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comments3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270" windowWidth="12120" windowHeight="8835" tabRatio="535" activeTab="0"/>
  </bookViews>
  <sheets>
    <sheet name="Appendix" sheetId="1" r:id="rId1"/>
    <sheet name="Form 42 -1A" sheetId="2" r:id="rId2"/>
    <sheet name="Form 42 2A" sheetId="3" r:id="rId3"/>
    <sheet name="Form 42 3A" sheetId="4" r:id="rId4"/>
    <sheet name="Form 42 4A" sheetId="5" r:id="rId5"/>
    <sheet name="Form 42 5A" sheetId="6" r:id="rId6"/>
    <sheet name="Form 42 6A" sheetId="7" r:id="rId7"/>
    <sheet name="Form 42 7A" sheetId="8" r:id="rId8"/>
    <sheet name="Form 42 8A p1" sheetId="9" r:id="rId9"/>
    <sheet name="Form 42 8A p2" sheetId="10" r:id="rId10"/>
    <sheet name="Form 42 8A p3" sheetId="11" r:id="rId11"/>
    <sheet name="Form 42 8A p4" sheetId="12" r:id="rId12"/>
    <sheet name="Form 42 8E p5" sheetId="13" state="hidden" r:id="rId13"/>
    <sheet name="Form 42 8E p6" sheetId="14" state="hidden" r:id="rId14"/>
    <sheet name="Form 42 8E p7" sheetId="15" state="hidden" r:id="rId15"/>
    <sheet name="Form 42 8E p8" sheetId="16" state="hidden" r:id="rId16"/>
    <sheet name="Form 42 8E p9" sheetId="17" state="hidden" r:id="rId17"/>
    <sheet name="Form 42 8E p10" sheetId="18" state="hidden" r:id="rId18"/>
    <sheet name="Form 42 8E p11" sheetId="19" state="hidden" r:id="rId19"/>
    <sheet name="Form 42 8E p12" sheetId="20" state="hidden" r:id="rId20"/>
    <sheet name="Form 42 8E p13" sheetId="21" state="hidden" r:id="rId21"/>
    <sheet name="Form 42 8E p14" sheetId="22" state="hidden" r:id="rId22"/>
    <sheet name="Form 42 8E p15" sheetId="23" state="hidden" r:id="rId23"/>
    <sheet name="Form 42 8E p16" sheetId="24" state="hidden" r:id="rId24"/>
    <sheet name="Form 42 8E p17" sheetId="25" state="hidden" r:id="rId25"/>
    <sheet name="Form 42 8E p18" sheetId="26" state="hidden" r:id="rId26"/>
    <sheet name="Form 42 8E p19" sheetId="27" state="hidden" r:id="rId27"/>
    <sheet name="Form 42 8E p20" sheetId="28" state="hidden" r:id="rId28"/>
    <sheet name="depreciation" sheetId="29" state="hidden" r:id="rId29"/>
    <sheet name="Emissions" sheetId="30" state="hidden" r:id="rId30"/>
  </sheets>
  <externalReferences>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P">#REF!</definedName>
    <definedName name="Derivation_of_Energy_Separation_Factors">#REF!</definedName>
    <definedName name="FGC" localSheetId="0">#REF!</definedName>
    <definedName name="FGC" localSheetId="1">#REF!</definedName>
    <definedName name="FGC" localSheetId="4">#REF!</definedName>
    <definedName name="FGC" localSheetId="6">#REF!</definedName>
    <definedName name="FGC">'depreciation'!$A$1:$Q$58</definedName>
    <definedName name="FORM42_1A">#REF!</definedName>
    <definedName name="FORM42_2A">'Form 42 2A'!$A$1:$T$37</definedName>
    <definedName name="FORM42_3A">'Form 42 3A'!$A$1:$T$32</definedName>
    <definedName name="FORM42_4A">#REF!</definedName>
    <definedName name="FORM42_5A" localSheetId="0">#REF!</definedName>
    <definedName name="FORM42_5A" localSheetId="1">#REF!</definedName>
    <definedName name="FORM42_5A" localSheetId="4">#REF!</definedName>
    <definedName name="FORM42_5A" localSheetId="6">#REF!</definedName>
    <definedName name="FORM42_5A">'Form 42 5A'!$A$1:$T$64</definedName>
    <definedName name="FORM42_6A">#REF!</definedName>
    <definedName name="FORM42_7A" localSheetId="0">#REF!</definedName>
    <definedName name="FORM42_7A" localSheetId="1">#REF!</definedName>
    <definedName name="FORM42_7A" localSheetId="4">#REF!</definedName>
    <definedName name="FORM42_7A" localSheetId="6">#REF!</definedName>
    <definedName name="FORM42_7A">'Form 42 7A'!$A$1:$W$46</definedName>
    <definedName name="FORM42_8A_P1" localSheetId="0">#REF!</definedName>
    <definedName name="FORM42_8A_P1" localSheetId="1">#REF!</definedName>
    <definedName name="FORM42_8A_P1" localSheetId="4">#REF!</definedName>
    <definedName name="FORM42_8A_P1" localSheetId="6">#REF!</definedName>
    <definedName name="FORM42_8A_P1">'Form 42 8A p1'!$A$1:$T$60</definedName>
    <definedName name="FORM42_8A_P10" localSheetId="0">#REF!</definedName>
    <definedName name="FORM42_8A_P10" localSheetId="1">#REF!</definedName>
    <definedName name="FORM42_8A_P10" localSheetId="4">#REF!</definedName>
    <definedName name="FORM42_8A_P10" localSheetId="6">#REF!</definedName>
    <definedName name="FORM42_8A_P10">'Form 42 8E p10'!$A$1:$T$53</definedName>
    <definedName name="FORM42_8A_P11" localSheetId="0">#REF!</definedName>
    <definedName name="FORM42_8A_P11" localSheetId="1">#REF!</definedName>
    <definedName name="FORM42_8A_P11" localSheetId="4">#REF!</definedName>
    <definedName name="FORM42_8A_P11" localSheetId="6">#REF!</definedName>
    <definedName name="FORM42_8A_P11">'Form 42 8E p11'!$A$1:$T$53</definedName>
    <definedName name="FORM42_8A_P12" localSheetId="0">#REF!</definedName>
    <definedName name="FORM42_8A_P12" localSheetId="1">#REF!</definedName>
    <definedName name="FORM42_8A_P12" localSheetId="4">#REF!</definedName>
    <definedName name="FORM42_8A_P12" localSheetId="6">#REF!</definedName>
    <definedName name="FORM42_8A_P12">'Form 42 8E p12'!$A$1:$T$53</definedName>
    <definedName name="FORM42_8A_P13" localSheetId="0">#REF!</definedName>
    <definedName name="FORM42_8A_P13" localSheetId="1">#REF!</definedName>
    <definedName name="FORM42_8A_P13" localSheetId="4">#REF!</definedName>
    <definedName name="FORM42_8A_P13" localSheetId="6">#REF!</definedName>
    <definedName name="FORM42_8A_P13">'Form 42 8E p13'!$A$1:$T$53</definedName>
    <definedName name="FORM42_8A_P14" localSheetId="0">#REF!</definedName>
    <definedName name="FORM42_8A_P14" localSheetId="1">#REF!</definedName>
    <definedName name="FORM42_8A_P14" localSheetId="4">#REF!</definedName>
    <definedName name="FORM42_8A_P14" localSheetId="6">#REF!</definedName>
    <definedName name="FORM42_8A_P14">'Form 42 8E p14'!$A$1:$T$53</definedName>
    <definedName name="FORM42_8A_P15" localSheetId="0">#REF!</definedName>
    <definedName name="FORM42_8A_P15" localSheetId="1">#REF!</definedName>
    <definedName name="FORM42_8A_P15" localSheetId="4">#REF!</definedName>
    <definedName name="FORM42_8A_P15" localSheetId="6">#REF!</definedName>
    <definedName name="FORM42_8A_P15">'Form 42 8E p15'!$A$1:$T$53</definedName>
    <definedName name="FORM42_8A_P16" localSheetId="0">#REF!</definedName>
    <definedName name="FORM42_8A_P16" localSheetId="1">#REF!</definedName>
    <definedName name="FORM42_8A_P16" localSheetId="4">#REF!</definedName>
    <definedName name="FORM42_8A_P16" localSheetId="6">#REF!</definedName>
    <definedName name="FORM42_8A_P16">'Form 42 8E p16'!$A$1:$T$53</definedName>
    <definedName name="FORM42_8A_P17" localSheetId="0">#REF!</definedName>
    <definedName name="FORM42_8A_P17" localSheetId="1">#REF!</definedName>
    <definedName name="FORM42_8A_P17" localSheetId="4">#REF!</definedName>
    <definedName name="FORM42_8A_P17" localSheetId="6">#REF!</definedName>
    <definedName name="FORM42_8A_P17">'Form 42 8E p17'!$A$1:$T$52</definedName>
    <definedName name="FORM42_8A_P18" localSheetId="0">#REF!</definedName>
    <definedName name="FORM42_8A_P18" localSheetId="1">#REF!</definedName>
    <definedName name="FORM42_8A_P18" localSheetId="4">#REF!</definedName>
    <definedName name="FORM42_8A_P18" localSheetId="6">#REF!</definedName>
    <definedName name="FORM42_8A_P18">'Form 42 8E p18'!$A$1:$T$52</definedName>
    <definedName name="FORM42_8A_P19" localSheetId="0">#REF!</definedName>
    <definedName name="FORM42_8A_P19" localSheetId="1">#REF!</definedName>
    <definedName name="FORM42_8A_P19" localSheetId="4">#REF!</definedName>
    <definedName name="FORM42_8A_P19" localSheetId="6">#REF!</definedName>
    <definedName name="FORM42_8A_P19">'Form 42 8E p19'!$A$1:$T$52</definedName>
    <definedName name="FORM42_8A_P2" localSheetId="0">#REF!</definedName>
    <definedName name="FORM42_8A_P2" localSheetId="1">#REF!</definedName>
    <definedName name="FORM42_8A_P2" localSheetId="4">#REF!</definedName>
    <definedName name="FORM42_8A_P2" localSheetId="6">#REF!</definedName>
    <definedName name="FORM42_8A_P2" localSheetId="10">'Form 42 8A p3'!$A$1:$T$52</definedName>
    <definedName name="FORM42_8A_P2">'Form 42 8A p2'!$A$1:$T$52</definedName>
    <definedName name="FORM42_8A_P20" localSheetId="0">#REF!</definedName>
    <definedName name="FORM42_8A_P20" localSheetId="1">#REF!</definedName>
    <definedName name="FORM42_8A_P20" localSheetId="4">#REF!</definedName>
    <definedName name="FORM42_8A_P20" localSheetId="6">#REF!</definedName>
    <definedName name="FORM42_8A_P20">'Form 42 8E p20'!$A$1:$T$52</definedName>
    <definedName name="FORM42_8A_P3" localSheetId="0">#REF!</definedName>
    <definedName name="FORM42_8A_P3" localSheetId="1">#REF!</definedName>
    <definedName name="FORM42_8A_P3" localSheetId="4">#REF!</definedName>
    <definedName name="FORM42_8A_P3" localSheetId="6">#REF!</definedName>
    <definedName name="FORM42_8A_P3">'Form 42 8A p4'!$A$1:$T$60</definedName>
    <definedName name="FORM42_8A_P4" localSheetId="0">#REF!</definedName>
    <definedName name="FORM42_8A_P4" localSheetId="1">#REF!</definedName>
    <definedName name="FORM42_8A_P4" localSheetId="4">#REF!</definedName>
    <definedName name="FORM42_8A_P4" localSheetId="6">#REF!</definedName>
    <definedName name="FORM42_8A_P4">#REF!</definedName>
    <definedName name="FORM42_8A_P5" localSheetId="0">#REF!</definedName>
    <definedName name="FORM42_8A_P5" localSheetId="1">#REF!</definedName>
    <definedName name="FORM42_8A_P5" localSheetId="4">#REF!</definedName>
    <definedName name="FORM42_8A_P5" localSheetId="6">#REF!</definedName>
    <definedName name="FORM42_8A_P5">'Form 42 8E p5'!$A$1:$T$53</definedName>
    <definedName name="FORM42_8A_P6" localSheetId="0">#REF!</definedName>
    <definedName name="FORM42_8A_P6" localSheetId="1">#REF!</definedName>
    <definedName name="FORM42_8A_P6" localSheetId="4">#REF!</definedName>
    <definedName name="FORM42_8A_P6" localSheetId="6">#REF!</definedName>
    <definedName name="FORM42_8A_P6">'Form 42 8E p6'!$A$1:$T$53</definedName>
    <definedName name="FORM42_8A_P7" localSheetId="0">#REF!</definedName>
    <definedName name="FORM42_8A_P7" localSheetId="1">#REF!</definedName>
    <definedName name="FORM42_8A_P7" localSheetId="4">#REF!</definedName>
    <definedName name="FORM42_8A_P7" localSheetId="6">#REF!</definedName>
    <definedName name="FORM42_8A_P7">'Form 42 8E p7'!$A$1:$T$54</definedName>
    <definedName name="FORM42_8A_P8" localSheetId="0">#REF!</definedName>
    <definedName name="FORM42_8A_P8" localSheetId="1">#REF!</definedName>
    <definedName name="FORM42_8A_P8" localSheetId="4">#REF!</definedName>
    <definedName name="FORM42_8A_P8" localSheetId="6">#REF!</definedName>
    <definedName name="FORM42_8A_P8">'Form 42 8E p8'!$A$1:$T$53</definedName>
    <definedName name="FORM42_8A_P9" localSheetId="0">#REF!</definedName>
    <definedName name="FORM42_8A_P9" localSheetId="1">#REF!</definedName>
    <definedName name="FORM42_8A_P9" localSheetId="4">#REF!</definedName>
    <definedName name="FORM42_8A_P9" localSheetId="6">#REF!</definedName>
    <definedName name="FORM42_8A_P9">'Form 42 8E p9'!$A$1:$T$53</definedName>
    <definedName name="_xlnm.Print_Area" localSheetId="0">'Appendix'!$A$1:$H$33</definedName>
    <definedName name="_xlnm.Print_Area" localSheetId="28">'depreciation'!$A$1:$J$1297</definedName>
    <definedName name="_xlnm.Print_Area" localSheetId="29">'Emissions'!$A$1:$AT$12</definedName>
    <definedName name="_xlnm.Print_Area" localSheetId="2">'Form 42 2A'!$A$1:$T$37</definedName>
    <definedName name="_xlnm.Print_Area" localSheetId="3">'Form 42 3A'!$A$1:$T$32</definedName>
    <definedName name="_xlnm.Print_Area" localSheetId="5">'Form 42 5A'!$A$1:$T$64</definedName>
    <definedName name="_xlnm.Print_Area" localSheetId="7">'Form 42 7A'!$A$1:$T$51</definedName>
    <definedName name="_xlnm.Print_Area" localSheetId="8">'Form 42 8A p1'!$A$1:$T$66</definedName>
    <definedName name="_xlnm.Print_Area" localSheetId="9">'Form 42 8A p2'!$A$1:$T$66</definedName>
    <definedName name="_xlnm.Print_Area" localSheetId="10">'Form 42 8A p3'!$A$1:$T$67</definedName>
    <definedName name="_xlnm.Print_Area" localSheetId="11">'Form 42 8A p4'!$A$1:$T$67</definedName>
    <definedName name="_xlnm.Print_Area" localSheetId="17">'Form 42 8E p10'!$A$1:$T$53</definedName>
    <definedName name="_xlnm.Print_Area" localSheetId="18">'Form 42 8E p11'!$A$1:$T$53</definedName>
    <definedName name="_xlnm.Print_Area" localSheetId="19">'Form 42 8E p12'!$A$1:$T$53</definedName>
    <definedName name="_xlnm.Print_Area" localSheetId="20">'Form 42 8E p13'!$A$1:$T$53</definedName>
    <definedName name="_xlnm.Print_Area" localSheetId="21">'Form 42 8E p14'!$A$1:$T$53</definedName>
    <definedName name="_xlnm.Print_Area" localSheetId="22">'Form 42 8E p15'!$A$1:$T$53</definedName>
    <definedName name="_xlnm.Print_Area" localSheetId="23">'Form 42 8E p16'!$A$1:$T$53</definedName>
    <definedName name="_xlnm.Print_Area" localSheetId="24">'Form 42 8E p17'!$A$1:$T$52</definedName>
    <definedName name="_xlnm.Print_Area" localSheetId="25">'Form 42 8E p18'!$A$1:$T$52</definedName>
    <definedName name="_xlnm.Print_Area" localSheetId="26">'Form 42 8E p19'!$A$1:$T$52</definedName>
    <definedName name="_xlnm.Print_Area" localSheetId="27">'Form 42 8E p20'!$A$1:$T$52</definedName>
    <definedName name="_xlnm.Print_Area" localSheetId="12">'Form 42 8E p5'!$A$1:$T$53</definedName>
    <definedName name="_xlnm.Print_Area" localSheetId="13">'Form 42 8E p6'!$A$1:$T$53</definedName>
    <definedName name="_xlnm.Print_Area" localSheetId="14">'Form 42 8E p7'!$A$1:$T$54</definedName>
    <definedName name="_xlnm.Print_Area" localSheetId="15">'Form 42 8E p8'!$A$1:$T$53</definedName>
    <definedName name="_xlnm.Print_Area" localSheetId="16">'Form 42 8E p9'!$A$1:$T$53</definedName>
    <definedName name="_xlnm.Print_Titles" localSheetId="29">'Emissions'!$A:$A</definedName>
    <definedName name="SEP_FACTOR">#REF!</definedName>
    <definedName name="SEPDEM">#REF!</definedName>
    <definedName name="SURVRPT">#REF!</definedName>
    <definedName name="Total_Emissions" localSheetId="0">#REF!</definedName>
    <definedName name="Total_Emissions" localSheetId="1">#REF!</definedName>
    <definedName name="Total_Emissions" localSheetId="4">#REF!</definedName>
    <definedName name="Total_Emissions" localSheetId="6">#REF!</definedName>
    <definedName name="Total_Emissions">'Emissions'!$A$1:$AT$12</definedName>
  </definedNames>
  <calcPr calcMode="manual" fullCalcOnLoad="1" calcCompleted="0" calcOnSave="0"/>
</workbook>
</file>

<file path=xl/comments10.xml><?xml version="1.0" encoding="utf-8"?>
<comments xmlns="http://schemas.openxmlformats.org/spreadsheetml/2006/main">
  <authors>
    <author>Corporate User</author>
  </authors>
  <commentList>
    <comment ref="B32" authorId="0">
      <text>
        <r>
          <rPr>
            <b/>
            <sz val="8"/>
            <rFont val="Tahoma"/>
            <family val="0"/>
          </rPr>
          <t>Depreciation Rate given by Mike Roderer in Accounting (x-5036).  The rate is derived from the Depreciation Study filed on a minimum filing requirement of every 4 years.  In order to obtain proper rate, Mike will need to know what primary account is used.</t>
        </r>
      </text>
    </comment>
    <comment ref="B35" authorId="0">
      <text>
        <r>
          <rPr>
            <b/>
            <sz val="8"/>
            <rFont val="Tahoma"/>
            <family val="0"/>
          </rPr>
          <t>Property Tax Rate given by Carole Igney and Bill Keith in Tax Accounting.  The rate is based on the taxes paid from the prior year as of December 31.  The rate is applied to the Net Book Value.  The assumption is that it is reasonable to use the Net Book Value, which is Plant In Service Less Accumulated Depreciation and is known as the Taxable Value for Property Tax Assessment.  There is NO Property Tax paid on CWIP!</t>
        </r>
      </text>
    </comment>
    <comment ref="B33" authorId="0">
      <text>
        <r>
          <rPr>
            <b/>
            <sz val="8"/>
            <rFont val="Tahoma"/>
            <family val="0"/>
          </rPr>
          <t xml:space="preserve">Amortization Period in Note 'F' given by Mike Roderer in Plant Accounting (x-5036).  The period is derived by dividing 100 by the depreciation rate to equal the approximate period in number of years.
</t>
        </r>
      </text>
    </comment>
  </commentList>
</comments>
</file>

<file path=xl/comments11.xml><?xml version="1.0" encoding="utf-8"?>
<comments xmlns="http://schemas.openxmlformats.org/spreadsheetml/2006/main">
  <authors>
    <author>Corporate User</author>
  </authors>
  <commentList>
    <comment ref="B32" authorId="0">
      <text>
        <r>
          <rPr>
            <b/>
            <sz val="8"/>
            <rFont val="Tahoma"/>
            <family val="0"/>
          </rPr>
          <t>Depreciation Rate given by Mike Roderer in Accounting (x-5036).  The rate is derived from the Depreciation Study filed on a minimum filing requirement of every 4 years.  In order to obtain proper rate, Mike will need to know what primary account is used.</t>
        </r>
      </text>
    </comment>
    <comment ref="B35" authorId="0">
      <text>
        <r>
          <rPr>
            <b/>
            <sz val="8"/>
            <rFont val="Tahoma"/>
            <family val="0"/>
          </rPr>
          <t>Property Tax Rate given by Carole Igney and Bill Keith in Tax Accounting.  The rate is based on the taxes paid from the prior year as of December 31.  The rate is applied to the Net Book Value.  The assumption is that it is reasonable to use the Net Book Value, which is Plant In Service Less Accumulated Depreciation and is known as the Taxable Value for Property Tax Assessment.  There is NO Property Tax paid on CWIP!</t>
        </r>
      </text>
    </comment>
    <comment ref="B33" authorId="0">
      <text>
        <r>
          <rPr>
            <b/>
            <sz val="8"/>
            <rFont val="Tahoma"/>
            <family val="0"/>
          </rPr>
          <t xml:space="preserve">Amortization Period in Note 'F' given by Mike Roderer in Plant Accounting (x-5036).  The period is derived by dividing 100 by the depreciation rate to equal the approximate period in number of years.
</t>
        </r>
      </text>
    </comment>
  </commentList>
</comments>
</file>

<file path=xl/comments12.xml><?xml version="1.0" encoding="utf-8"?>
<comments xmlns="http://schemas.openxmlformats.org/spreadsheetml/2006/main">
  <authors>
    <author>Corporate User</author>
  </authors>
  <commentList>
    <comment ref="B32" authorId="0">
      <text>
        <r>
          <rPr>
            <b/>
            <sz val="8"/>
            <rFont val="Tahoma"/>
            <family val="0"/>
          </rPr>
          <t>Depreciation Rate given by Mike Roderer in Accounting (x-5036).  The rate is derived from the Depreciation Study filed on a minimum filing requirement of every 4 years.  In order to obtain proper rate, Mike will need to know what primary account is used.</t>
        </r>
      </text>
    </comment>
    <comment ref="B35" authorId="0">
      <text>
        <r>
          <rPr>
            <b/>
            <sz val="8"/>
            <rFont val="Tahoma"/>
            <family val="0"/>
          </rPr>
          <t>Property Tax Rate given by Carole Igney and Bill Keith in Tax Accounting.  The rate is based on the taxes paid from the prior year as of December 31.  The rate is applied to the Net Book Value.  The assumption is that it is reasonable to use the Net Book Value, which is Plant In Service Less Accumulated Depreciation and is known as the Taxable Value for Property Tax Assessment.  There is NO Property Tax paid on CWIP!</t>
        </r>
      </text>
    </comment>
    <comment ref="B33" authorId="0">
      <text>
        <r>
          <rPr>
            <b/>
            <sz val="8"/>
            <rFont val="Tahoma"/>
            <family val="0"/>
          </rPr>
          <t xml:space="preserve">Amortization Period in Note 'F' given by Mike Roderer in Plant Accounting (x-5036).  The period is derived by dividing 100 by the depreciation rate to equal the approximate period in number of years.
</t>
        </r>
      </text>
    </comment>
  </commentList>
</comments>
</file>

<file path=xl/comments18.xml><?xml version="1.0" encoding="utf-8"?>
<comments xmlns="http://schemas.openxmlformats.org/spreadsheetml/2006/main">
  <authors>
    <author>Nancy Grove X31766</author>
  </authors>
  <commentList>
    <comment ref="G21" authorId="0">
      <text>
        <r>
          <rPr>
            <sz val="8"/>
            <rFont val="Tahoma"/>
            <family val="0"/>
          </rPr>
          <t xml:space="preserve">end bal of 2001 was 2153629 due to rounding of depreciation rate.  2153635 is correct and depreciation table has been adjusted accordingly.
</t>
        </r>
      </text>
    </comment>
  </commentList>
</comments>
</file>

<file path=xl/comments26.xml><?xml version="1.0" encoding="utf-8"?>
<comments xmlns="http://schemas.openxmlformats.org/spreadsheetml/2006/main">
  <authors>
    <author>TECO</author>
  </authors>
  <commentList>
    <comment ref="L15" authorId="0">
      <text>
        <r>
          <rPr>
            <sz val="16"/>
            <rFont val="Tahoma"/>
            <family val="2"/>
          </rPr>
          <t xml:space="preserve">As per 2001 audit/auditor's reccommendation, the amounts that were included in the filing and dec 2001 true - up, of account B0577 were to be taken out.  They did not belong in the clause.  The total to be removed is 60,370.  The auditor was more concerned with the amount and not necessarily the depreciation impact that would obviously occur.
Nancy Grove
</t>
        </r>
        <r>
          <rPr>
            <sz val="8"/>
            <rFont val="Tahoma"/>
            <family val="0"/>
          </rPr>
          <t xml:space="preserve">
</t>
        </r>
      </text>
    </comment>
  </commentList>
</comments>
</file>

<file path=xl/comments3.xml><?xml version="1.0" encoding="utf-8"?>
<comments xmlns="http://schemas.openxmlformats.org/spreadsheetml/2006/main">
  <authors>
    <author>Nancy Grove X31766</author>
    <author>Heidi Burg</author>
  </authors>
  <commentList>
    <comment ref="H28" authorId="0">
      <text>
        <r>
          <rPr>
            <sz val="18"/>
            <rFont val="Tahoma"/>
            <family val="2"/>
          </rPr>
          <t>comes from prior year true-up tab form 42 2a cell T32 minus current year's true-up tab form 42 2a cell H26.</t>
        </r>
      </text>
    </comment>
    <comment ref="O13" authorId="1">
      <text>
        <r>
          <rPr>
            <sz val="10"/>
            <rFont val="Tahoma"/>
            <family val="2"/>
          </rPr>
          <t xml:space="preserve">Input from report prepared by Tom Klamer </t>
        </r>
        <r>
          <rPr>
            <sz val="8"/>
            <rFont val="Tahoma"/>
            <family val="0"/>
          </rPr>
          <t xml:space="preserve">
</t>
        </r>
      </text>
    </comment>
    <comment ref="P13" authorId="1">
      <text>
        <r>
          <rPr>
            <sz val="10"/>
            <rFont val="Tahoma"/>
            <family val="2"/>
          </rPr>
          <t xml:space="preserve">Input from report prepared by Tom Klamer </t>
        </r>
        <r>
          <rPr>
            <sz val="8"/>
            <rFont val="Tahoma"/>
            <family val="0"/>
          </rPr>
          <t xml:space="preserve">
</t>
        </r>
      </text>
    </comment>
    <comment ref="Q13" authorId="1">
      <text>
        <r>
          <rPr>
            <sz val="10"/>
            <rFont val="Tahoma"/>
            <family val="2"/>
          </rPr>
          <t xml:space="preserve">Input from report prepared by Tom Klamer </t>
        </r>
        <r>
          <rPr>
            <sz val="8"/>
            <rFont val="Tahoma"/>
            <family val="0"/>
          </rPr>
          <t xml:space="preserve">
</t>
        </r>
      </text>
    </comment>
    <comment ref="R13" authorId="1">
      <text>
        <r>
          <rPr>
            <sz val="10"/>
            <rFont val="Tahoma"/>
            <family val="2"/>
          </rPr>
          <t xml:space="preserve">Input from report prepared by Tom Klamer </t>
        </r>
        <r>
          <rPr>
            <sz val="8"/>
            <rFont val="Tahoma"/>
            <family val="0"/>
          </rPr>
          <t xml:space="preserve">
</t>
        </r>
      </text>
    </comment>
    <comment ref="S13" authorId="1">
      <text>
        <r>
          <rPr>
            <sz val="10"/>
            <rFont val="Tahoma"/>
            <family val="2"/>
          </rPr>
          <t xml:space="preserve">Input from report prepared by Tom Klamer </t>
        </r>
        <r>
          <rPr>
            <sz val="8"/>
            <rFont val="Tahoma"/>
            <family val="0"/>
          </rPr>
          <t xml:space="preserve">
</t>
        </r>
      </text>
    </comment>
  </commentList>
</comments>
</file>

<file path=xl/comments30.xml><?xml version="1.0" encoding="utf-8"?>
<comments xmlns="http://schemas.openxmlformats.org/spreadsheetml/2006/main">
  <authors>
    <author>TECO</author>
  </authors>
  <commentList>
    <comment ref="R5" authorId="0">
      <text>
        <r>
          <rPr>
            <b/>
            <sz val="8"/>
            <rFont val="Tahoma"/>
            <family val="0"/>
          </rPr>
          <t>TECO:</t>
        </r>
        <r>
          <rPr>
            <sz val="8"/>
            <rFont val="Tahoma"/>
            <family val="0"/>
          </rPr>
          <t xml:space="preserve">
SO2 allowance report created by Ellen
</t>
        </r>
      </text>
    </comment>
    <comment ref="R7" authorId="0">
      <text>
        <r>
          <rPr>
            <b/>
            <sz val="8"/>
            <rFont val="Tahoma"/>
            <family val="0"/>
          </rPr>
          <t>TECO:</t>
        </r>
        <r>
          <rPr>
            <sz val="8"/>
            <rFont val="Tahoma"/>
            <family val="0"/>
          </rPr>
          <t xml:space="preserve">
SO2 Emissions Allowance Schedule from J. Losie
</t>
        </r>
      </text>
    </comment>
    <comment ref="R6" authorId="0">
      <text>
        <r>
          <rPr>
            <b/>
            <sz val="8"/>
            <rFont val="Tahoma"/>
            <family val="0"/>
          </rPr>
          <t>TECO:</t>
        </r>
        <r>
          <rPr>
            <sz val="8"/>
            <rFont val="Tahoma"/>
            <family val="0"/>
          </rPr>
          <t xml:space="preserve">
From Clyde Stockdale Memo.</t>
        </r>
      </text>
    </comment>
    <comment ref="T5" authorId="0">
      <text>
        <r>
          <rPr>
            <b/>
            <sz val="8"/>
            <rFont val="Tahoma"/>
            <family val="0"/>
          </rPr>
          <t>TECO:</t>
        </r>
        <r>
          <rPr>
            <sz val="8"/>
            <rFont val="Tahoma"/>
            <family val="0"/>
          </rPr>
          <t xml:space="preserve">
SO2 allowance report created by Ellen
</t>
        </r>
      </text>
    </comment>
    <comment ref="T6" authorId="0">
      <text>
        <r>
          <rPr>
            <b/>
            <sz val="8"/>
            <rFont val="Tahoma"/>
            <family val="0"/>
          </rPr>
          <t>TECO:</t>
        </r>
        <r>
          <rPr>
            <sz val="8"/>
            <rFont val="Tahoma"/>
            <family val="0"/>
          </rPr>
          <t xml:space="preserve">
From Clyde Stockdale Memo.</t>
        </r>
      </text>
    </comment>
    <comment ref="T7" authorId="0">
      <text>
        <r>
          <rPr>
            <b/>
            <sz val="8"/>
            <rFont val="Tahoma"/>
            <family val="0"/>
          </rPr>
          <t>TECO:</t>
        </r>
        <r>
          <rPr>
            <sz val="8"/>
            <rFont val="Tahoma"/>
            <family val="0"/>
          </rPr>
          <t xml:space="preserve">
SO2 Emissions Allowance Schedule from J. Losie
</t>
        </r>
      </text>
    </comment>
  </commentList>
</comments>
</file>

<file path=xl/comments6.xml><?xml version="1.0" encoding="utf-8"?>
<comments xmlns="http://schemas.openxmlformats.org/spreadsheetml/2006/main">
  <authors>
    <author>Corporate User</author>
    <author> </author>
    <author>Heidi Burg</author>
    <author>ot02273</author>
  </authors>
  <commentList>
    <comment ref="C14" authorId="0">
      <text>
        <r>
          <rPr>
            <b/>
            <sz val="12"/>
            <rFont val="Tahoma"/>
            <family val="2"/>
          </rPr>
          <t>Account 5730001 - Transmission Maint. - Environmental Operating Expenses recoverable through ECRC (effective 10/01/02) - Contact = Daryl O'Cain</t>
        </r>
      </text>
    </comment>
    <comment ref="C16" authorId="0">
      <text>
        <r>
          <rPr>
            <b/>
            <sz val="12"/>
            <rFont val="Tahoma"/>
            <family val="2"/>
          </rPr>
          <t>Account 5980001 - Distribution Maint. - Environmental Operating Expenses recoverable through ECRC (effective 10/01/02) - Contact = Ernie Hallare and Joan Borger</t>
        </r>
      </text>
    </comment>
    <comment ref="L14" authorId="0">
      <text>
        <r>
          <rPr>
            <sz val="8"/>
            <rFont val="Tahoma"/>
            <family val="0"/>
          </rPr>
          <t xml:space="preserve">  I</t>
        </r>
        <r>
          <rPr>
            <b/>
            <sz val="10"/>
            <rFont val="Tahoma"/>
            <family val="2"/>
          </rPr>
          <t>ncludes $3,000.00 for April 2003, due to input error ($190840.33 s/b $193840.33)</t>
        </r>
        <r>
          <rPr>
            <sz val="8"/>
            <rFont val="Tahoma"/>
            <family val="0"/>
          </rPr>
          <t xml:space="preserve">
</t>
        </r>
      </text>
    </comment>
    <comment ref="Y14" authorId="1">
      <text>
        <r>
          <rPr>
            <sz val="8"/>
            <rFont val="Tahoma"/>
            <family val="0"/>
          </rPr>
          <t xml:space="preserve">per Nancy, general cost of service method
</t>
        </r>
      </text>
    </comment>
    <comment ref="Y15" authorId="1">
      <text>
        <r>
          <rPr>
            <sz val="8"/>
            <rFont val="Tahoma"/>
            <family val="0"/>
          </rPr>
          <t xml:space="preserve">per Nancy, general cost of service method
</t>
        </r>
      </text>
    </comment>
    <comment ref="Y16" authorId="1">
      <text>
        <r>
          <rPr>
            <sz val="8"/>
            <rFont val="Tahoma"/>
            <family val="0"/>
          </rPr>
          <t xml:space="preserve">per Nancy, general cost of service method
</t>
        </r>
      </text>
    </comment>
    <comment ref="H29" authorId="2">
      <text>
        <r>
          <rPr>
            <sz val="10"/>
            <rFont val="Tahoma"/>
            <family val="2"/>
          </rPr>
          <t xml:space="preserve">Get factors from Greg McCullough - (actuals) they are derived from the energy which is developed in the Fuel schedules.  Forecasted would come from Gregg T - per the fuel forecast
</t>
        </r>
      </text>
    </comment>
    <comment ref="H31" authorId="1">
      <text>
        <r>
          <rPr>
            <b/>
            <sz val="12"/>
            <rFont val="Tahoma"/>
            <family val="2"/>
          </rPr>
          <t>per Nancy - these are the settlement compliance cost of service factors, they will not change for the period of 2003-2005</t>
        </r>
      </text>
    </comment>
    <comment ref="H32" authorId="1">
      <text>
        <r>
          <rPr>
            <b/>
            <sz val="12"/>
            <rFont val="Tahoma"/>
            <family val="2"/>
          </rPr>
          <t>per Nancy - these are the settlement compliance cost of service factors, they will not change for the period of 2003-2005</t>
        </r>
      </text>
    </comment>
    <comment ref="H33" authorId="1">
      <text>
        <r>
          <rPr>
            <b/>
            <sz val="12"/>
            <rFont val="Tahoma"/>
            <family val="2"/>
          </rPr>
          <t>per Nancy - these are the settlement compliance cost of service factors, they will not change for the period of 2003-2005</t>
        </r>
      </text>
    </comment>
    <comment ref="S33" authorId="3">
      <text>
        <r>
          <rPr>
            <sz val="8"/>
            <rFont val="Tahoma"/>
            <family val="0"/>
          </rPr>
          <t xml:space="preserve">
needs to be changed to base, inter., and pkg. for December!</t>
        </r>
      </text>
    </comment>
  </commentList>
</comments>
</file>

<file path=xl/comments8.xml><?xml version="1.0" encoding="utf-8"?>
<comments xmlns="http://schemas.openxmlformats.org/spreadsheetml/2006/main">
  <authors>
    <author>Corporate User</author>
    <author>ot02273</author>
  </authors>
  <commentList>
    <comment ref="W10" authorId="0">
      <text>
        <r>
          <rPr>
            <b/>
            <sz val="8"/>
            <rFont val="Tahoma"/>
            <family val="0"/>
          </rPr>
          <t>All Demand (No Energy applicable) per Heidi Burg</t>
        </r>
        <r>
          <rPr>
            <sz val="8"/>
            <rFont val="Tahoma"/>
            <family val="0"/>
          </rPr>
          <t xml:space="preserve">
</t>
        </r>
      </text>
    </comment>
    <comment ref="B32" authorId="1">
      <text>
        <r>
          <rPr>
            <b/>
            <sz val="8"/>
            <rFont val="Tahoma"/>
            <family val="0"/>
          </rPr>
          <t xml:space="preserve">Same rate for Turn and Bartow CT
</t>
        </r>
      </text>
    </comment>
  </commentList>
</comments>
</file>

<file path=xl/comments9.xml><?xml version="1.0" encoding="utf-8"?>
<comments xmlns="http://schemas.openxmlformats.org/spreadsheetml/2006/main">
  <authors>
    <author>Corporate User</author>
  </authors>
  <commentList>
    <comment ref="B32" authorId="0">
      <text>
        <r>
          <rPr>
            <b/>
            <sz val="8"/>
            <rFont val="Tahoma"/>
            <family val="0"/>
          </rPr>
          <t>Depreciation Rate given by Mike Roderer in Accounting (x-5036).  The rate is derived from the Depreciation Study filed on a minimum filing requirement of every 4 years.  In order to obtain proper rate, Mike will need to know what primary account is used.</t>
        </r>
      </text>
    </comment>
    <comment ref="B35" authorId="0">
      <text>
        <r>
          <rPr>
            <b/>
            <sz val="8"/>
            <rFont val="Tahoma"/>
            <family val="0"/>
          </rPr>
          <t>Property Tax Rate given by Carole Igney and Bill Keith in Tax Accounting.  The rate is based on the taxes paid from the prior year as of December 31.  The rate is applied to the Net Book Value.  The assumption is that it is reasonable to use the Net Book Value, which is Plant In Service Less Accumulated Depreciation and is known as the Taxable Value for Property Tax Assessment.  There is NO Property Tax paid on CWIP!</t>
        </r>
      </text>
    </comment>
    <comment ref="B33" authorId="0">
      <text>
        <r>
          <rPr>
            <b/>
            <sz val="8"/>
            <rFont val="Tahoma"/>
            <family val="0"/>
          </rPr>
          <t xml:space="preserve">Amortization Period in Note 'F' given by Mike Roderer in Plant Accounting (x-5036).  The period is derived by dividing 100 by the depreciation rate to equal the approximate period in number of years.
</t>
        </r>
      </text>
    </comment>
  </commentList>
</comments>
</file>

<file path=xl/sharedStrings.xml><?xml version="1.0" encoding="utf-8"?>
<sst xmlns="http://schemas.openxmlformats.org/spreadsheetml/2006/main" count="3774" uniqueCount="606">
  <si>
    <t>Environmental Cost Recovery Clause (ECRC)</t>
  </si>
  <si>
    <t xml:space="preserve"> </t>
  </si>
  <si>
    <t>Period</t>
  </si>
  <si>
    <t>Line</t>
  </si>
  <si>
    <t>End-of-Period True-Up Amount</t>
  </si>
  <si>
    <t>(in Dollars)</t>
  </si>
  <si>
    <t>End of</t>
  </si>
  <si>
    <t>May 99</t>
  </si>
  <si>
    <t>Total</t>
  </si>
  <si>
    <t>ECRC Revenues (net of Revenue Taxes)</t>
  </si>
  <si>
    <t>ECRC Revenues Applicable to Period (Lines 1 + 2)</t>
  </si>
  <si>
    <t>Jurisdictional ECRC Costs</t>
  </si>
  <si>
    <t>c.  Total Jurisdictional ECRC Costs</t>
  </si>
  <si>
    <t>Beginning Balance True-Up &amp; Interest Provision</t>
  </si>
  <si>
    <t>True-Up Collected/(Refunded) (see Line 2)</t>
  </si>
  <si>
    <t>End of Period Total True-Up (Lines 5+6+7+7a+8)</t>
  </si>
  <si>
    <t>Adjustments to Period Total True-Up Including Interest</t>
  </si>
  <si>
    <t>End of Period Total True-Up (Lines 9 + 10)</t>
  </si>
  <si>
    <t>Interest Provision</t>
  </si>
  <si>
    <t>Total of Beginning &amp; Ending True-Up (Lines 1 + 2)</t>
  </si>
  <si>
    <t>Average True-Up Amount (Line 3 x 1/2)</t>
  </si>
  <si>
    <t>Interest Rate (First Day of Reporting Business Month)</t>
  </si>
  <si>
    <t>Interest Rate (First Day of Subsequent Business Month)</t>
  </si>
  <si>
    <t>Total of Beginning &amp; Ending Interest Rates (Lines 5 + 6)</t>
  </si>
  <si>
    <t>Average Interest Rate (Line 7 x 1/2)</t>
  </si>
  <si>
    <t>Monthly Average Interest Rate (Line 8 x 1/12)</t>
  </si>
  <si>
    <t>Interest Provision for the Month (Line 4 x Line 9)</t>
  </si>
  <si>
    <t>Variance</t>
  </si>
  <si>
    <t>Description of O&amp;M Activities</t>
  </si>
  <si>
    <t>Recoverable Costs Allocated to Energy</t>
  </si>
  <si>
    <t>Recoverable Costs Allocated to Demand</t>
  </si>
  <si>
    <t>Notes:</t>
  </si>
  <si>
    <t>O&amp;M Activities</t>
  </si>
  <si>
    <t>Demand</t>
  </si>
  <si>
    <t>Energy</t>
  </si>
  <si>
    <t>1</t>
  </si>
  <si>
    <t>2</t>
  </si>
  <si>
    <t>Total of O&amp;M Activities</t>
  </si>
  <si>
    <t>3</t>
  </si>
  <si>
    <t>4</t>
  </si>
  <si>
    <t>5</t>
  </si>
  <si>
    <t>Retail Energy Jurisdictional Factor</t>
  </si>
  <si>
    <t>6</t>
  </si>
  <si>
    <t>7</t>
  </si>
  <si>
    <t>8</t>
  </si>
  <si>
    <t>9</t>
  </si>
  <si>
    <t>Total Jurisdictional Recoverable Costs for O&amp;M</t>
  </si>
  <si>
    <t>Activities (Lines 7 + 8)</t>
  </si>
  <si>
    <t>(A) Line 3 x Line 5</t>
  </si>
  <si>
    <t>(B) Line 4 x Line 6</t>
  </si>
  <si>
    <t>Total Investment Projects - Recoverable Costs</t>
  </si>
  <si>
    <t>Capital Investment Projects-Recoverable Costs</t>
  </si>
  <si>
    <t xml:space="preserve">      Method of Classification</t>
  </si>
  <si>
    <t>Description of Investment Projects (A)</t>
  </si>
  <si>
    <t>Jurisdictional Energy Recoverable Costs (B)</t>
  </si>
  <si>
    <t>Total Jurisdictional Recoverable Costs for</t>
  </si>
  <si>
    <t>Investment Projects (Lines 7 + 8)</t>
  </si>
  <si>
    <t>(B)  Line 3 x Line 5</t>
  </si>
  <si>
    <t>(C)  Line 4 x Line 6</t>
  </si>
  <si>
    <t>Return on Capital Investments, Depreciation and Taxes</t>
  </si>
  <si>
    <t xml:space="preserve">End of </t>
  </si>
  <si>
    <t>Beginning of</t>
  </si>
  <si>
    <t>Description</t>
  </si>
  <si>
    <t>Period Amount</t>
  </si>
  <si>
    <t>Investments</t>
  </si>
  <si>
    <t>a.  Expenditures/Additions</t>
  </si>
  <si>
    <t>b.  Clearings to Plant</t>
  </si>
  <si>
    <t>c.  Retirements</t>
  </si>
  <si>
    <t>d. Other</t>
  </si>
  <si>
    <t>Plant-in-Service/Depreciation Base</t>
  </si>
  <si>
    <t>Less:  Accumulated Depreciation</t>
  </si>
  <si>
    <t>CWIP - Non-Interest Bearing</t>
  </si>
  <si>
    <t>Net Investment (Lines 2 + 3 + 4)</t>
  </si>
  <si>
    <t>Average Net Investment</t>
  </si>
  <si>
    <t>Return on Average Net Investment</t>
  </si>
  <si>
    <t>a.  Equity Component Grossed Up For Taxes (A)</t>
  </si>
  <si>
    <t>b.  Debt Component (Line 6 x 2.82% x 1/12)</t>
  </si>
  <si>
    <t>Investment Expenses</t>
  </si>
  <si>
    <t>a.  Depreciation</t>
  </si>
  <si>
    <t>b.  Amortization</t>
  </si>
  <si>
    <t>c.  Dismantlement</t>
  </si>
  <si>
    <t>d.  Property Taxes</t>
  </si>
  <si>
    <t xml:space="preserve">e.  Other </t>
  </si>
  <si>
    <t>Total System Recoverable Expenses (Lines 7 + 8)</t>
  </si>
  <si>
    <t>a.  Recoverable Costs Allocated to Energy</t>
  </si>
  <si>
    <t>b.  Recoverable Costs Allocated to Demand</t>
  </si>
  <si>
    <t>10</t>
  </si>
  <si>
    <t>Energy Jurisdictional Factor</t>
  </si>
  <si>
    <t>11</t>
  </si>
  <si>
    <t>Demand Jurisdictional Factor</t>
  </si>
  <si>
    <t>12</t>
  </si>
  <si>
    <t>Retail Energy-Related Recoverable Costs (B)</t>
  </si>
  <si>
    <t>13</t>
  </si>
  <si>
    <t>Retail Demand-Related Recoverable Costs (C)</t>
  </si>
  <si>
    <t>14</t>
  </si>
  <si>
    <t>Total Jurisdictional Recoverable Costs (Lines 12 + 13)</t>
  </si>
  <si>
    <t>(A)</t>
  </si>
  <si>
    <t>Lines 6 x 8.8238% x 1/12.  Based on ROE of 11.75% and weighted income tax rate of 38.575% (expansion factor of 1.628002)</t>
  </si>
  <si>
    <t>(B)</t>
  </si>
  <si>
    <t>Line 9a x Line 10</t>
  </si>
  <si>
    <t>(C)</t>
  </si>
  <si>
    <t>Line 9b x Line 11</t>
  </si>
  <si>
    <t xml:space="preserve">d. Other </t>
  </si>
  <si>
    <t xml:space="preserve">Less:  Accumulated Depreciation </t>
  </si>
  <si>
    <t>Other (A)</t>
  </si>
  <si>
    <t>a.  Equity Component Grossed Up For Taxes (B)</t>
  </si>
  <si>
    <t>e.  Other (D)</t>
  </si>
  <si>
    <t>Retail Energy-Related Recoverable Costs (C)</t>
  </si>
  <si>
    <t>Retail Demand-Related Recoverable Costs (D)</t>
  </si>
  <si>
    <t>(D)</t>
  </si>
  <si>
    <t>a.  Other (A)</t>
  </si>
  <si>
    <t>4a Other (A)</t>
  </si>
  <si>
    <t>Represents the Net Book Value of the replaced Gannon Ignition Oil Tank which is currently recovered through base rates.</t>
  </si>
  <si>
    <t>FLUE GAS CONDITIONING - BB1 (L-34)</t>
  </si>
  <si>
    <t>FLUE GAS CONDITIONING - BB2 (L-35)</t>
  </si>
  <si>
    <t>IN SERVICE</t>
  </si>
  <si>
    <t xml:space="preserve">DEPREC. </t>
  </si>
  <si>
    <t>RATE</t>
  </si>
  <si>
    <t>EXP.</t>
  </si>
  <si>
    <t>ACC. DEPR.</t>
  </si>
  <si>
    <t>12/93</t>
  </si>
  <si>
    <t>1/94</t>
  </si>
  <si>
    <t>2/94</t>
  </si>
  <si>
    <t>3/94</t>
  </si>
  <si>
    <t>4/94</t>
  </si>
  <si>
    <t>5/94</t>
  </si>
  <si>
    <t>6/94</t>
  </si>
  <si>
    <t>7/94</t>
  </si>
  <si>
    <t>8/94</t>
  </si>
  <si>
    <t>9/94</t>
  </si>
  <si>
    <t>10/94</t>
  </si>
  <si>
    <t>11/94</t>
  </si>
  <si>
    <t>12/94</t>
  </si>
  <si>
    <t>1/95</t>
  </si>
  <si>
    <t>2/95</t>
  </si>
  <si>
    <t>3/95</t>
  </si>
  <si>
    <t>4/95</t>
  </si>
  <si>
    <t>5/95</t>
  </si>
  <si>
    <t>6/95</t>
  </si>
  <si>
    <t>7/95</t>
  </si>
  <si>
    <t>8/95</t>
  </si>
  <si>
    <t>9/95</t>
  </si>
  <si>
    <t>10/95</t>
  </si>
  <si>
    <t>11/95</t>
  </si>
  <si>
    <t>12/95</t>
  </si>
  <si>
    <t>1/96</t>
  </si>
  <si>
    <t>2/96</t>
  </si>
  <si>
    <t>3/96</t>
  </si>
  <si>
    <t>4/96</t>
  </si>
  <si>
    <t>5/96</t>
  </si>
  <si>
    <t>6/96</t>
  </si>
  <si>
    <t>7/96</t>
  </si>
  <si>
    <t>8/96</t>
  </si>
  <si>
    <t>9/96</t>
  </si>
  <si>
    <t>10/96</t>
  </si>
  <si>
    <t>11/96</t>
  </si>
  <si>
    <t>12/96</t>
  </si>
  <si>
    <t>1/97</t>
  </si>
  <si>
    <t>2/97</t>
  </si>
  <si>
    <t>3/97</t>
  </si>
  <si>
    <t>4/97</t>
  </si>
  <si>
    <t>5/97</t>
  </si>
  <si>
    <t>6/97</t>
  </si>
  <si>
    <t>7/97</t>
  </si>
  <si>
    <t>8/97</t>
  </si>
  <si>
    <t>9/97</t>
  </si>
  <si>
    <t>10/97</t>
  </si>
  <si>
    <t>11/97</t>
  </si>
  <si>
    <t>12/97</t>
  </si>
  <si>
    <t>1/98</t>
  </si>
  <si>
    <t>2/98</t>
  </si>
  <si>
    <t>3/98</t>
  </si>
  <si>
    <t>4/98</t>
  </si>
  <si>
    <t>5/98</t>
  </si>
  <si>
    <t>6/98</t>
  </si>
  <si>
    <t>7/98</t>
  </si>
  <si>
    <t>8/98</t>
  </si>
  <si>
    <t>9/98</t>
  </si>
  <si>
    <t>10/98</t>
  </si>
  <si>
    <t>11/98</t>
  </si>
  <si>
    <t>12/98</t>
  </si>
  <si>
    <t>1/99</t>
  </si>
  <si>
    <t>2/99</t>
  </si>
  <si>
    <t>3/99</t>
  </si>
  <si>
    <t>4/99</t>
  </si>
  <si>
    <t>5/99</t>
  </si>
  <si>
    <t>6/99</t>
  </si>
  <si>
    <t>7/99</t>
  </si>
  <si>
    <t>8/99</t>
  </si>
  <si>
    <t>9/99</t>
  </si>
  <si>
    <t>10/99</t>
  </si>
  <si>
    <t>11/99</t>
  </si>
  <si>
    <t>12/99</t>
  </si>
  <si>
    <t>BIG BEND 3 - FGD INTEGRATION B-42</t>
  </si>
  <si>
    <t>Jan 98</t>
  </si>
  <si>
    <t>Feb 98</t>
  </si>
  <si>
    <t>Mar 98</t>
  </si>
  <si>
    <t>Apr 98</t>
  </si>
  <si>
    <t>May 98</t>
  </si>
  <si>
    <t>Jun 98</t>
  </si>
  <si>
    <t>Jul 98</t>
  </si>
  <si>
    <t>Aug 98</t>
  </si>
  <si>
    <t>Sep 98</t>
  </si>
  <si>
    <t>Oct 98</t>
  </si>
  <si>
    <t>Nov 98</t>
  </si>
  <si>
    <t>Dec 98</t>
  </si>
  <si>
    <t>Jan 99</t>
  </si>
  <si>
    <t>Feb 99</t>
  </si>
  <si>
    <t>Mar 99</t>
  </si>
  <si>
    <t>Apr 99</t>
  </si>
  <si>
    <t>Jun 99</t>
  </si>
  <si>
    <t>Jul 99</t>
  </si>
  <si>
    <t>Aug 99</t>
  </si>
  <si>
    <t>Sep 99</t>
  </si>
  <si>
    <t>Oct 99</t>
  </si>
  <si>
    <t>Nov 99</t>
  </si>
  <si>
    <t>Dec 99</t>
  </si>
  <si>
    <t>BIG BEND UNIT 1 CLASSIFIER REPLACEMENT (B50)</t>
  </si>
  <si>
    <t>DEC 98</t>
  </si>
  <si>
    <t>JAN 99</t>
  </si>
  <si>
    <t>FEB99</t>
  </si>
  <si>
    <t>MAR99</t>
  </si>
  <si>
    <t>APR 99</t>
  </si>
  <si>
    <t>MAY 99</t>
  </si>
  <si>
    <t>JUN 99</t>
  </si>
  <si>
    <t>JUL 99</t>
  </si>
  <si>
    <t>AUG 99</t>
  </si>
  <si>
    <t>SEP 99</t>
  </si>
  <si>
    <t>OCT 99</t>
  </si>
  <si>
    <t>NOV 99</t>
  </si>
  <si>
    <t>DEC 99</t>
  </si>
  <si>
    <t>BIG BEND UNIT 2 CLASSIFIER REPLACEMENT (B54)</t>
  </si>
  <si>
    <t>MAY 98</t>
  </si>
  <si>
    <t>JUN 98</t>
  </si>
  <si>
    <t>JUL 98</t>
  </si>
  <si>
    <t>AUG 98</t>
  </si>
  <si>
    <t>SEP 98</t>
  </si>
  <si>
    <t>OCT 98</t>
  </si>
  <si>
    <t>NOV 98</t>
  </si>
  <si>
    <t>GANNON IGNITION OIL TANK (G20)</t>
  </si>
  <si>
    <t>JAN 98</t>
  </si>
  <si>
    <t>FEB98</t>
  </si>
  <si>
    <t>MAR98</t>
  </si>
  <si>
    <t>APR 98</t>
  </si>
  <si>
    <t>DEC 97</t>
  </si>
  <si>
    <t>BIG BEND FUEL TANK #1  (B14)</t>
  </si>
  <si>
    <t>BIG BEND FUEL TANK #2  (B03)</t>
  </si>
  <si>
    <t>PHILLIPS FUEL OIL TANK #10 (A8068)</t>
  </si>
  <si>
    <t>PHILLIPS FUEL OIL TANK #4 (A8067)</t>
  </si>
  <si>
    <t>GANNON COAL CRUSHER (G02)</t>
  </si>
  <si>
    <t>BIG BEND CEM ADDITION  (L-13)</t>
  </si>
  <si>
    <t>GN SALTWATER TRANSFER SUMP DISCHARGE (G-90)</t>
  </si>
  <si>
    <t>GN WATER MANAGEMENT BALANCING SYSTEM (H-05)</t>
  </si>
  <si>
    <t>BIG BEND WASTE WATER LINE ADDITION (L-63)</t>
  </si>
  <si>
    <t>TOTAL EMISSIONS REFLECTED ON 42-5E</t>
  </si>
  <si>
    <t>Emissions expense per G/L</t>
  </si>
  <si>
    <t>Cogen Purchases</t>
  </si>
  <si>
    <t>FMPA/Lkld or Econ Sales</t>
  </si>
  <si>
    <t>TOTAL EMISSIONS PER 42.5E</t>
  </si>
  <si>
    <t>FMPA/LKLD ALLOWANCE</t>
  </si>
  <si>
    <t>AS BOOKED</t>
  </si>
  <si>
    <t>AS REVISED</t>
  </si>
  <si>
    <t xml:space="preserve"> DEC 96 </t>
  </si>
  <si>
    <t xml:space="preserve"> JAN 97</t>
  </si>
  <si>
    <t xml:space="preserve"> FEB 97</t>
  </si>
  <si>
    <t xml:space="preserve"> MAR 97</t>
  </si>
  <si>
    <t xml:space="preserve"> APR 97</t>
  </si>
  <si>
    <t xml:space="preserve"> MAY 97</t>
  </si>
  <si>
    <t xml:space="preserve"> JUN 97</t>
  </si>
  <si>
    <t xml:space="preserve"> JUL 97</t>
  </si>
  <si>
    <t xml:space="preserve"> AUG 97</t>
  </si>
  <si>
    <t xml:space="preserve"> SEP 97</t>
  </si>
  <si>
    <t xml:space="preserve"> OCT 97</t>
  </si>
  <si>
    <t>.NOV 97</t>
  </si>
  <si>
    <t>G32</t>
  </si>
  <si>
    <t>G02</t>
  </si>
  <si>
    <t>B14</t>
  </si>
  <si>
    <t>B03</t>
  </si>
  <si>
    <t>A8068</t>
  </si>
  <si>
    <t xml:space="preserve">TOTAL FLUE GAS CONDITIONING </t>
  </si>
  <si>
    <t>G75</t>
  </si>
  <si>
    <t>G76</t>
  </si>
  <si>
    <t>G20</t>
  </si>
  <si>
    <t>A8067</t>
  </si>
  <si>
    <t>Adjusted</t>
  </si>
  <si>
    <t>In Service</t>
  </si>
  <si>
    <t>GANNON 6 CLASSIFIER (G32)</t>
  </si>
  <si>
    <t>GANNON 5 CLASSIFIER REPLACEMENT (G45)</t>
  </si>
  <si>
    <t>1/00</t>
  </si>
  <si>
    <t>2/00</t>
  </si>
  <si>
    <t>3/00</t>
  </si>
  <si>
    <t>4/00</t>
  </si>
  <si>
    <t>5/00</t>
  </si>
  <si>
    <t>6/00</t>
  </si>
  <si>
    <t>7/00</t>
  </si>
  <si>
    <t>8/00</t>
  </si>
  <si>
    <t>9/00</t>
  </si>
  <si>
    <t>10/00</t>
  </si>
  <si>
    <t>11/00</t>
  </si>
  <si>
    <t>12/00</t>
  </si>
  <si>
    <t>January 00</t>
  </si>
  <si>
    <t>February 00</t>
  </si>
  <si>
    <t>March 00</t>
  </si>
  <si>
    <t>April 00</t>
  </si>
  <si>
    <t>May 00</t>
  </si>
  <si>
    <t>June 00</t>
  </si>
  <si>
    <t>July 00</t>
  </si>
  <si>
    <t>August 00</t>
  </si>
  <si>
    <t>September 00</t>
  </si>
  <si>
    <t>October 00</t>
  </si>
  <si>
    <t>November 00</t>
  </si>
  <si>
    <t>December 00</t>
  </si>
  <si>
    <t>Jan 00</t>
  </si>
  <si>
    <t>Feb 00</t>
  </si>
  <si>
    <t>Mar 00</t>
  </si>
  <si>
    <t>Apr 00</t>
  </si>
  <si>
    <t>Jun 00</t>
  </si>
  <si>
    <t>Jul 00</t>
  </si>
  <si>
    <t>Aug 00</t>
  </si>
  <si>
    <t>Sep 00</t>
  </si>
  <si>
    <t>Oct 00</t>
  </si>
  <si>
    <t>Nov 00</t>
  </si>
  <si>
    <t>Dec 00</t>
  </si>
  <si>
    <t>JAN 00</t>
  </si>
  <si>
    <t>FEB 00</t>
  </si>
  <si>
    <t>MAR 00</t>
  </si>
  <si>
    <t>APR 00</t>
  </si>
  <si>
    <t>MAY 00</t>
  </si>
  <si>
    <t>JUN 00</t>
  </si>
  <si>
    <t>JUL 00</t>
  </si>
  <si>
    <t>AUG 00</t>
  </si>
  <si>
    <t>SEP 00</t>
  </si>
  <si>
    <t>OCT 00</t>
  </si>
  <si>
    <t>NOV 00</t>
  </si>
  <si>
    <t>DEC 00</t>
  </si>
  <si>
    <t>BIG BEND 1&amp;2 SCRUBBER</t>
  </si>
  <si>
    <t>MERCURY TESTING PLATFORM (B9176)</t>
  </si>
  <si>
    <t>G45</t>
  </si>
  <si>
    <t>B54</t>
  </si>
  <si>
    <t>B91</t>
  </si>
  <si>
    <t>M00 - M99</t>
  </si>
  <si>
    <t>Nox Reduction</t>
  </si>
  <si>
    <t>FGD #3 Optimization</t>
  </si>
  <si>
    <t>PM Minimization</t>
  </si>
  <si>
    <t>a.  Expenditures/Additions Blankets</t>
  </si>
  <si>
    <t>May 01</t>
  </si>
  <si>
    <t>Jan 01</t>
  </si>
  <si>
    <t>Feb 01</t>
  </si>
  <si>
    <t>Mar 01</t>
  </si>
  <si>
    <t>Apr 01</t>
  </si>
  <si>
    <t>Jun 01</t>
  </si>
  <si>
    <t>Jul 01</t>
  </si>
  <si>
    <t>Aug 01</t>
  </si>
  <si>
    <t>Sep 01</t>
  </si>
  <si>
    <t>Oct 01</t>
  </si>
  <si>
    <t>Nov 01</t>
  </si>
  <si>
    <t>Dec 01</t>
  </si>
  <si>
    <t>1/01</t>
  </si>
  <si>
    <t>2/01</t>
  </si>
  <si>
    <t>3/01</t>
  </si>
  <si>
    <t>4/01</t>
  </si>
  <si>
    <t>5/01</t>
  </si>
  <si>
    <t>6/01</t>
  </si>
  <si>
    <t>7/01</t>
  </si>
  <si>
    <t>8/01</t>
  </si>
  <si>
    <t>9/01</t>
  </si>
  <si>
    <t>10/01</t>
  </si>
  <si>
    <t>11/01</t>
  </si>
  <si>
    <t>12/01</t>
  </si>
  <si>
    <t>JAN 01</t>
  </si>
  <si>
    <t>FEB 01</t>
  </si>
  <si>
    <t>MAR 01</t>
  </si>
  <si>
    <t>APR 01</t>
  </si>
  <si>
    <t>MAY 01</t>
  </si>
  <si>
    <t>JUN 01</t>
  </si>
  <si>
    <t>JUL 01</t>
  </si>
  <si>
    <t>AUG 01</t>
  </si>
  <si>
    <t>SEP 01</t>
  </si>
  <si>
    <t>OCT 01</t>
  </si>
  <si>
    <t>NOV 01</t>
  </si>
  <si>
    <t>DEC 01</t>
  </si>
  <si>
    <t>Needs to be higher than 916</t>
  </si>
  <si>
    <t>Needs to be higher than 186</t>
  </si>
  <si>
    <t>Retirements</t>
  </si>
  <si>
    <t>Blended</t>
  </si>
  <si>
    <t>02/01</t>
  </si>
  <si>
    <t>03/01</t>
  </si>
  <si>
    <t>04/01</t>
  </si>
  <si>
    <t>05/01</t>
  </si>
  <si>
    <t>06/01</t>
  </si>
  <si>
    <t>07/01</t>
  </si>
  <si>
    <t>08/01</t>
  </si>
  <si>
    <t>09/01</t>
  </si>
  <si>
    <t>Page 20 of 20</t>
  </si>
  <si>
    <t>Page 19 of 20</t>
  </si>
  <si>
    <t>Page 5 of 20</t>
  </si>
  <si>
    <t>Page 6 of 20</t>
  </si>
  <si>
    <t>Page 7 of 20</t>
  </si>
  <si>
    <t>Page 8 of 20</t>
  </si>
  <si>
    <t>Page 9 of 20</t>
  </si>
  <si>
    <t>Page 10 of 20</t>
  </si>
  <si>
    <t>Page 11 of 20</t>
  </si>
  <si>
    <t>Page 12 of 20</t>
  </si>
  <si>
    <t>Page 13 of 20</t>
  </si>
  <si>
    <t>Page 14 of 20</t>
  </si>
  <si>
    <t>Page 15 of 20</t>
  </si>
  <si>
    <t>Page 16 of 20</t>
  </si>
  <si>
    <t>Page 17 of 20</t>
  </si>
  <si>
    <t>Page 18 of 20</t>
  </si>
  <si>
    <t>Interchange SO2</t>
  </si>
  <si>
    <t>May 02</t>
  </si>
  <si>
    <t>1/02</t>
  </si>
  <si>
    <t>2/02</t>
  </si>
  <si>
    <t>3/02</t>
  </si>
  <si>
    <t>4/02</t>
  </si>
  <si>
    <t>5/02</t>
  </si>
  <si>
    <t>6/02</t>
  </si>
  <si>
    <t>7/02</t>
  </si>
  <si>
    <t>8/02</t>
  </si>
  <si>
    <t>9/02</t>
  </si>
  <si>
    <t>10/02</t>
  </si>
  <si>
    <t>11/02</t>
  </si>
  <si>
    <t>12/02</t>
  </si>
  <si>
    <t>Jan 02</t>
  </si>
  <si>
    <t>Feb 02</t>
  </si>
  <si>
    <t>Mar 02</t>
  </si>
  <si>
    <t>Apr 02</t>
  </si>
  <si>
    <t>Jun 02</t>
  </si>
  <si>
    <t>Jul 02</t>
  </si>
  <si>
    <t>Aug 02</t>
  </si>
  <si>
    <t>Sep 02</t>
  </si>
  <si>
    <t>Oct 02</t>
  </si>
  <si>
    <t>Nov 02</t>
  </si>
  <si>
    <t>Dec 02</t>
  </si>
  <si>
    <t>BB1</t>
  </si>
  <si>
    <t>BB2</t>
  </si>
  <si>
    <t>BB4</t>
  </si>
  <si>
    <t>BB3</t>
  </si>
  <si>
    <t>PROGRESS ENERGY FLORIDA</t>
  </si>
  <si>
    <t>ENVIRONMENTAL COST RECOVERY</t>
  </si>
  <si>
    <t>JANUARY 2003 - DECEMBER 2003</t>
  </si>
  <si>
    <t>Form Appendix</t>
  </si>
  <si>
    <t>Form 42-8E</t>
  </si>
  <si>
    <t>February 03</t>
  </si>
  <si>
    <t>March 03</t>
  </si>
  <si>
    <t>April 03</t>
  </si>
  <si>
    <t>May 03</t>
  </si>
  <si>
    <t>June 03</t>
  </si>
  <si>
    <t>July 03</t>
  </si>
  <si>
    <t>August 03</t>
  </si>
  <si>
    <t>September 03</t>
  </si>
  <si>
    <t>October 03</t>
  </si>
  <si>
    <t>November 03</t>
  </si>
  <si>
    <t>December 03</t>
  </si>
  <si>
    <t>January 03</t>
  </si>
  <si>
    <t>January 2003 through December 2003</t>
  </si>
  <si>
    <t>Over/(Under) Recovery (Line 3 - Line 4c)</t>
  </si>
  <si>
    <t>Variance Report of O&amp;M Activities</t>
  </si>
  <si>
    <t>(In Dollars)</t>
  </si>
  <si>
    <t>Amount</t>
  </si>
  <si>
    <t>Percent</t>
  </si>
  <si>
    <t>Substation Environmental Investigation, Remediation, and Pollution Prevention</t>
  </si>
  <si>
    <t>1a</t>
  </si>
  <si>
    <t>Substation Environmental Investigation, Remediation, and Pollution Prevention - Costs included in Base Rates</t>
  </si>
  <si>
    <t>Distribution System Environmental Investigation, Remediation, and Pollution Prevention</t>
  </si>
  <si>
    <t>Total O&amp;M Activities</t>
  </si>
  <si>
    <t>Column (2) = Estimated actual</t>
  </si>
  <si>
    <t>Column (3) = Column (1) - Column (2)</t>
  </si>
  <si>
    <t>Column (4) = Column (3) / Column (2)</t>
  </si>
  <si>
    <t>Recoverable Costs Allocated to Energy - Transm</t>
  </si>
  <si>
    <t>Recoverable Costs Allocated to Demand - Transm</t>
  </si>
  <si>
    <t>Recoverable Costs Allocated to Demand - Distrib</t>
  </si>
  <si>
    <t>Retail Transmission Energy Jurisdictional Factor</t>
  </si>
  <si>
    <t>Retail Transmission Demand Jurisdictional Factor</t>
  </si>
  <si>
    <t>Retail Distribution Demand Jurisdictional Factor</t>
  </si>
  <si>
    <t>Jurisdictional Energy Recoverable Costs - Transm (A)</t>
  </si>
  <si>
    <t>Jurisdictional Demand Recoverable Costs - Transm (B)</t>
  </si>
  <si>
    <t>Jurisdictional Demand Recoverable Costs - Distrib (B)</t>
  </si>
  <si>
    <t>Transmission</t>
  </si>
  <si>
    <t>Tranmission maintenance is allocated on demand</t>
  </si>
  <si>
    <t>Distribution</t>
  </si>
  <si>
    <t>Distribution maintenance is allocated on demand</t>
  </si>
  <si>
    <t>Pipeline Integrity Management</t>
  </si>
  <si>
    <t>Pipeline Integrity Management, Review/Update Plan and Risk Assessments</t>
  </si>
  <si>
    <t>Production maintenance is allocated on demand</t>
  </si>
  <si>
    <t>Production</t>
  </si>
  <si>
    <t>3a</t>
  </si>
  <si>
    <t>4a</t>
  </si>
  <si>
    <t>4b</t>
  </si>
  <si>
    <t>For Project:  xxx</t>
  </si>
  <si>
    <t>Demand Jurisdictional Factor - Production (Base)</t>
  </si>
  <si>
    <t>N/A</t>
  </si>
  <si>
    <t>Demand Jurisdictional Factor - Production (Peaking)</t>
  </si>
  <si>
    <t>Demand Jurisdictional Factor - Production (Intermediate)</t>
  </si>
  <si>
    <t>Calculation of the Current Period Estimated/Actual Amount</t>
  </si>
  <si>
    <t>Above Ground Tank Secondary Containment - Crystal River 1 &amp; 2</t>
  </si>
  <si>
    <t>3b</t>
  </si>
  <si>
    <t>Description of Capital Investment Activities</t>
  </si>
  <si>
    <t>Total Capital Investment Activities</t>
  </si>
  <si>
    <t xml:space="preserve">     (Order No. PSC-02-1735-FOF-E1)</t>
  </si>
  <si>
    <t>a. Deferred True-Up from October 2002 to December 2002</t>
  </si>
  <si>
    <t>Recoverable Costs Allocated to Demand - Production - Base</t>
  </si>
  <si>
    <t>Recoverable Costs Allocated to Demand - Production - Intermediate</t>
  </si>
  <si>
    <t>Recoverable Costs Allocated to Demand - Production - Peaking</t>
  </si>
  <si>
    <t>Retail Demand Jurisdictional Factor - Production - Base</t>
  </si>
  <si>
    <t>Retail Demand Jurisdictional Factor - Production - Intermediate</t>
  </si>
  <si>
    <t>Retail Demand Jurisdictional Factor - Production - Peaking</t>
  </si>
  <si>
    <t>Pipeline Integrity Management - Bartow/Anclote Pipeline</t>
  </si>
  <si>
    <t>Above Ground Tank Secondary Containment - Crystal River 1&amp;2</t>
  </si>
  <si>
    <t>Jurisdictional Demand Recoverable Costs - Production - Base (C)</t>
  </si>
  <si>
    <t>Jurisdictional Demand Recoverable Costs - Production - Intermediate (C)</t>
  </si>
  <si>
    <t>Jurisdictional Demand Recoverable Costs - Production - Peaking (C)</t>
  </si>
  <si>
    <t>True-Up Provision</t>
  </si>
  <si>
    <t>Projection</t>
  </si>
  <si>
    <t>Above Ground Tank Secondary Containment</t>
  </si>
  <si>
    <t>4c</t>
  </si>
  <si>
    <t>Above Ground Tank Secondary Containment - Turner CT's</t>
  </si>
  <si>
    <t>Above Ground Tank Secondary Containment -  Bartow CT's</t>
  </si>
  <si>
    <t>Above Ground Tank Secondary Containment - Turner CTs</t>
  </si>
  <si>
    <t>Above Ground Tank Secondary Containment - Bartow CTs</t>
  </si>
  <si>
    <t>Page 1 of 4</t>
  </si>
  <si>
    <t>Page 2 of 4</t>
  </si>
  <si>
    <t>Page 3 of 4</t>
  </si>
  <si>
    <t>Page 4 of 4</t>
  </si>
  <si>
    <t>For Project:  PIPELINE INTEGRITY MANAGEMENT - Bartow/Anclote Pipeline (Project 3b)</t>
  </si>
  <si>
    <t>For Project:  ABOVE GROUND TANK SECONDARY CONTAINMENT - TURNER CTs (Project 4a)</t>
  </si>
  <si>
    <t>For Project:  ABOVE GROUND TANK SECONDARY CONTAINMENT - BARTOW CTs (Project 4b)</t>
  </si>
  <si>
    <t>For Project:  ABOVE GROUND TANK SECONDARY CONTAINMENT - CRYSTAL RIVER 1 &amp; 2 (Project 4c)</t>
  </si>
  <si>
    <t>Source:</t>
  </si>
  <si>
    <t xml:space="preserve"> Based on 2002 Rate Case Settlement (Order No. PSC-02-0655-AS-EI)</t>
  </si>
  <si>
    <t>Line 8c</t>
  </si>
  <si>
    <t>(E)</t>
  </si>
  <si>
    <t>(F)</t>
  </si>
  <si>
    <t>(G)</t>
  </si>
  <si>
    <t>(H)</t>
  </si>
  <si>
    <t>(I)</t>
  </si>
  <si>
    <t>d. Other (A)</t>
  </si>
  <si>
    <t>Plant-in-Service/Depreciation Base (B)</t>
  </si>
  <si>
    <t>a.  Equity Component Grossed Up For Taxes (D)</t>
  </si>
  <si>
    <t>b.  Amortization (F)</t>
  </si>
  <si>
    <t>e.  Other  (G)</t>
  </si>
  <si>
    <t>Retail Energy-Related Recoverable Costs (H)</t>
  </si>
  <si>
    <t>Retail Demand-Related Recoverable Costs (I)</t>
  </si>
  <si>
    <t>Net Investment (Lines 2 - 3 + 4)</t>
  </si>
  <si>
    <t>Adjustments to Reserve for Gross Salvage (none for this period) and Other Recoveries (none for this period) and Cost of Removal based on Depreciation Rate for Bartow/Anclote Pipeline.</t>
  </si>
  <si>
    <t>Line 9a x Line 10 x 1.00000 line loss multiplier.  None for this period.</t>
  </si>
  <si>
    <t>(J)</t>
  </si>
  <si>
    <t>d.  Property Taxes (J)</t>
  </si>
  <si>
    <t>Lines 2 + 3 x 89% @ .0183381 x 1/12 + 11% @ .0196598 x 1/12.  Ratio from Property Tax Administration Department, based on plant allocation reported and 2002 Actual Property Tax Milage Rate.</t>
  </si>
  <si>
    <t>Less: Accumulated Depreciation (C)</t>
  </si>
  <si>
    <t>Lines 2 + 3 x .020912 x 1/12.  Based on 2002 Actual Property Tax Milage Rate.</t>
  </si>
  <si>
    <t>Lines 2 + 3 x .018338 x 1/12.  Based on 2002 Actual Property Tax Milage Rate.</t>
  </si>
  <si>
    <t>Adjustments to Reserve for Gross Salvage (none for this period) and Other Recoveries (none for this period) and Cost of Removal based on Depreciation Rate for Above Ground Tank Secondary Containment - Turner CTs.</t>
  </si>
  <si>
    <t>Adjustments to Reserve for Gross Salvage (none for this period) and Other Recoveries (none for this period) and Cost of Removal based on Depreciation Rate for Above Ground Tank Secondary Containment - Crystal River 1&amp;2.</t>
  </si>
  <si>
    <t>Adjustments to Reserve for Gross Salvage (none for this period) and Other Recoveries (none for this period) and Cost of Removal based on Depreciation Rate for Above Ground Tank Secondary Containment - Bartow CTs.</t>
  </si>
  <si>
    <t>Amortization period is approximately 28 years for Bartow/Anclote Pipeline.</t>
  </si>
  <si>
    <t>Amortization period is approximately 21 years for Above Ground Tank Secondary Containment - Turner CTs.</t>
  </si>
  <si>
    <t>Amortization period is approximately 21 years for Above Ground Tank Secondary Containment - Bartow CTs.</t>
  </si>
  <si>
    <t>Amortization period is approximately 28 years for Above Ground Tank Secondary Containment - Crystal River 1&amp;2.</t>
  </si>
  <si>
    <t>Line 2 x 3.60% x 1/12.  Depreciation rate based on 1997 Depreciation Study (Order No. PSC-98-1723-FOF-EI).</t>
  </si>
  <si>
    <t>Line 2 x 4.80% x 1/12.  Depreciation rate based on 1997 Depreciation Study (Order No. PSC-98-1723-FOF-EI).</t>
  </si>
  <si>
    <t>Actual</t>
  </si>
  <si>
    <t>Line 2 x 5.70% x 1/12.  Depreciation rate based on 1997 Depreciation Study (Order No. PSC-98-1723-FOF-EI).</t>
  </si>
  <si>
    <t>Line 2 x 5.3% x 1/12.  Depreciation rate based on 1997 Depreciation Study (Order No. PSC-98-1723-FOF-EI).</t>
  </si>
  <si>
    <t>Line 6 x 10.7500% x 1/12.  Based on ROE of 12.00%, equity component of capital structure of 6.61%, and statutory income tax rate of 38.575% (expansion factor of 1.628002).  Based on 2002 Rate Case Settlement (Order No. PSC-02-0655-AS-EI).</t>
  </si>
  <si>
    <t>b.  Debt Component (Line 6 x 2.57% x 1/12)</t>
  </si>
  <si>
    <t>FINAL TRUE-UP</t>
  </si>
  <si>
    <t>Calculation of the Final True-up Amount</t>
  </si>
  <si>
    <t>Form 42-1A</t>
  </si>
  <si>
    <t>Form 42-2A</t>
  </si>
  <si>
    <t>Form 42-3A</t>
  </si>
  <si>
    <t>Form 42-5A</t>
  </si>
  <si>
    <t>Form 42-7A</t>
  </si>
  <si>
    <t>Form 42-8A</t>
  </si>
  <si>
    <t>a.  Depreciation (E)</t>
  </si>
  <si>
    <t>Recoverable Costs Allocated to Demand - Prod</t>
  </si>
  <si>
    <t>Method of Classification</t>
  </si>
  <si>
    <t>COMMISSION FORMS 42-1A THROUGH 42-8A</t>
  </si>
  <si>
    <t>Column (1) is the End of Period Totals on Form 42-7A</t>
  </si>
  <si>
    <t>Column (1) is the End of Period Totals on Form 42-5A</t>
  </si>
  <si>
    <t>DOCKET NO. 040007-EI</t>
  </si>
  <si>
    <t>PROGRESS ENERGY FLORIDA, INC.</t>
  </si>
  <si>
    <t>a.  O &amp; M  Activities (Form 42-5A, Line 9)</t>
  </si>
  <si>
    <t>b.  Capital Investment Projects (Form 42-7A, Line 9)</t>
  </si>
  <si>
    <t>Interest Provision (Form 42-3A, Line 10)</t>
  </si>
  <si>
    <t>Beginning True-Up Amount (Form 42-2A, Line 7 + 7a + 10)</t>
  </si>
  <si>
    <t>Ending True-Up Amount Before Interest (Line 1 + Form 42-2A, Lines 5 + 8)</t>
  </si>
  <si>
    <t>Form 42-4A</t>
  </si>
  <si>
    <t>Retail Production Demand Jurisdictional Factor - Intrmd</t>
  </si>
  <si>
    <t>Jurisdictional Demand Recoverable Costs - Prod-Intrmd (B)</t>
  </si>
  <si>
    <t>Form 42-6A</t>
  </si>
  <si>
    <t>Variance Report of Capital Investment Projects - Recoverable Costs</t>
  </si>
  <si>
    <t>(A)  Each project's Total System Recoverable Expenses on Form 42-8A, Line 9</t>
  </si>
  <si>
    <t>Estimated/Actual</t>
  </si>
  <si>
    <t>Description and reason for 'Other' adjustments to net investment.  None for this period.</t>
  </si>
  <si>
    <t>Applicable beginning of period and end of period depreciable base by plant name(s), unit(s), or plant account(s).</t>
  </si>
  <si>
    <t>Description and reason for 'Other' adjustments to investment expenses.  None for this period.</t>
  </si>
  <si>
    <t>Final True-Up Amount to be Refunded/(Recovered)</t>
  </si>
  <si>
    <t>(Form 42-2A, Line 5 + 6 + 10)</t>
  </si>
  <si>
    <t>(Lines 1 - 2)</t>
  </si>
  <si>
    <t>Estimated/Actual True-Up Amount approved for the period</t>
  </si>
  <si>
    <t>Over/(Under) Recovery for the Period</t>
  </si>
  <si>
    <t>January 2003 - December 2003</t>
  </si>
  <si>
    <t>in the Projection Period January 2005 to December 2005</t>
  </si>
  <si>
    <t>(Order No. PSC-03-1348-FOF-EI)</t>
  </si>
  <si>
    <r>
      <t xml:space="preserve">EXHIBIT </t>
    </r>
    <r>
      <rPr>
        <b/>
        <u val="single"/>
        <sz val="12"/>
        <rFont val="Arial"/>
        <family val="2"/>
      </rPr>
      <t xml:space="preserve">      </t>
    </r>
    <r>
      <rPr>
        <b/>
        <sz val="12"/>
        <rFont val="Arial"/>
        <family val="2"/>
      </rPr>
      <t xml:space="preserve"> (JP-1)</t>
    </r>
  </si>
</sst>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_)"/>
    <numFmt numFmtId="166" formatCode="0.0%"/>
    <numFmt numFmtId="167" formatCode="#,##0.0000000_);\(#,##0.0000000\)"/>
    <numFmt numFmtId="168" formatCode="0.000000_)"/>
    <numFmt numFmtId="169" formatCode="0.0000000_)"/>
    <numFmt numFmtId="170" formatCode="#,##0.0_);\(#,##0.0\)"/>
    <numFmt numFmtId="171" formatCode="mmmm\-yy"/>
    <numFmt numFmtId="172" formatCode="_(&quot;$&quot;* #,##0.000_);_(&quot;$&quot;* \(#,##0.000\);_(&quot;$&quot;* &quot;-&quot;??_);_(@_)"/>
    <numFmt numFmtId="173" formatCode="_(&quot;$&quot;* #,##0.0000_);_(&quot;$&quot;* \(#,##0.0000\);_(&quot;$&quot;* &quot;-&quot;??_);_(@_)"/>
    <numFmt numFmtId="174" formatCode="_(&quot;$&quot;* #,##0.0_);_(&quot;$&quot;* \(#,##0.0\);_(&quot;$&quot;* &quot;-&quot;??_);_(@_)"/>
    <numFmt numFmtId="175" formatCode="_(&quot;$&quot;* #,##0_);_(&quot;$&quot;* \(#,##0\);_(&quot;$&quot;* &quot;-&quot;??_);_(@_)"/>
    <numFmt numFmtId="176" formatCode="#,##0.000_);\(#,##0.000\)"/>
    <numFmt numFmtId="177" formatCode="#,##0.0000_);\(#,##0.0000\)"/>
    <numFmt numFmtId="178" formatCode="#,##0.00000_);\(#,##0.00000\)"/>
    <numFmt numFmtId="179" formatCode="#,##0.000000_);\(#,##0.000000\)"/>
    <numFmt numFmtId="180" formatCode="#,##0.00000000_);\(#,##0.00000000\)"/>
    <numFmt numFmtId="181" formatCode="#,##0.000000000_);\(#,##0.000000000\)"/>
    <numFmt numFmtId="182" formatCode="#,##0.0000000000_);\(#,##0.0000000000\)"/>
    <numFmt numFmtId="183" formatCode="#,##0.00000000000_);\(#,##0.00000000000\)"/>
    <numFmt numFmtId="184" formatCode="&quot;$&quot;#,##0.0_);\(&quot;$&quot;#,##0.0\)"/>
    <numFmt numFmtId="185" formatCode="0.0000000"/>
    <numFmt numFmtId="186" formatCode="_(* #,##0.0_);_(* \(#,##0.0\);_(* &quot;-&quot;??_);_(@_)"/>
    <numFmt numFmtId="187" formatCode="_(* #,##0_);_(* \(#,##0\);_(* &quot;-&quot;??_);_(@_)"/>
    <numFmt numFmtId="188" formatCode="0.000000"/>
    <numFmt numFmtId="189" formatCode="0.00000000"/>
    <numFmt numFmtId="190" formatCode="0.000"/>
    <numFmt numFmtId="191" formatCode="0.000000000"/>
    <numFmt numFmtId="192" formatCode="0.00000"/>
    <numFmt numFmtId="193" formatCode="0.0000"/>
    <numFmt numFmtId="194" formatCode="0.0"/>
    <numFmt numFmtId="195" formatCode="#,##0.000000000000_);\(#,##0.000000000000\)"/>
    <numFmt numFmtId="196" formatCode="#,##0.0000000000000_);\(#,##0.0000000000000\)"/>
    <numFmt numFmtId="197" formatCode="#,##0.00000000000000_);\(#,##0.00000000000000\)"/>
    <numFmt numFmtId="198" formatCode="#,##0.000000000000000_);\(#,##0.000000000000000\)"/>
    <numFmt numFmtId="199" formatCode="&quot;$&quot;#,##0.000_);\(&quot;$&quot;#,##0.000\)"/>
    <numFmt numFmtId="200" formatCode="&quot;$&quot;#,##0.0000_);\(&quot;$&quot;#,##0.0000\)"/>
    <numFmt numFmtId="201" formatCode="&quot;$&quot;#,##0.00000_);\(&quot;$&quot;#,##0.00000\)"/>
    <numFmt numFmtId="202" formatCode="&quot;$&quot;#,##0.000000_);\(&quot;$&quot;#,##0.000000\)"/>
    <numFmt numFmtId="203" formatCode="&quot;$&quot;#,##0.0000000_);\(&quot;$&quot;#,##0.0000000\)"/>
    <numFmt numFmtId="204" formatCode="&quot;$&quot;#,##0.00000000_);\(&quot;$&quot;#,##0.00000000\)"/>
    <numFmt numFmtId="205" formatCode="&quot;$&quot;#,##0.000000000_);\(&quot;$&quot;#,##0.000000000\)"/>
    <numFmt numFmtId="206" formatCode="&quot;$&quot;#,##0.0000000000_);\(&quot;$&quot;#,##0.0000000000\)"/>
    <numFmt numFmtId="207" formatCode="&quot;$&quot;#,##0.00000000000_);\(&quot;$&quot;#,##0.00000000000\)"/>
    <numFmt numFmtId="208" formatCode="_(* #,##0.00000_);_(* \(#,##0.00000\);_(* &quot;-&quot;??_);_(@_)"/>
    <numFmt numFmtId="209" formatCode="_(* #,##0.000_);_(* \(#,##0.000\);_(* &quot;-&quot;??_);_(@_)"/>
    <numFmt numFmtId="210" formatCode="_(* #,##0.0000_);_(* \(#,##0.0000\);_(* &quot;-&quot;??_);_(@_)"/>
    <numFmt numFmtId="211" formatCode="#,##0.000_);[Red]\(#,##0.000\)"/>
    <numFmt numFmtId="212" formatCode="_(&quot;$&quot;* #,##0.00000_);_(&quot;$&quot;* \(#,##0.00000\);_(&quot;$&quot;* &quot;-&quot;??_);_(@_)"/>
    <numFmt numFmtId="213" formatCode="_(&quot;$&quot;* #,##0.000000_);_(&quot;$&quot;* \(#,##0.000000\);_(&quot;$&quot;* &quot;-&quot;??_);_(@_)"/>
    <numFmt numFmtId="214" formatCode="_(&quot;$&quot;* #,##0.0000000_);_(&quot;$&quot;* \(#,##0.0000000\);_(&quot;$&quot;* &quot;-&quot;??_);_(@_)"/>
    <numFmt numFmtId="215" formatCode="#,##0.0000000;[Red]#,##0.0000000"/>
  </numFmts>
  <fonts count="25">
    <font>
      <sz val="12"/>
      <name val="Arial"/>
      <family val="0"/>
    </font>
    <font>
      <b/>
      <sz val="10"/>
      <name val="Arial"/>
      <family val="0"/>
    </font>
    <font>
      <i/>
      <sz val="10"/>
      <name val="Arial"/>
      <family val="0"/>
    </font>
    <font>
      <b/>
      <i/>
      <sz val="10"/>
      <name val="Arial"/>
      <family val="0"/>
    </font>
    <font>
      <sz val="10"/>
      <name val="Arial"/>
      <family val="0"/>
    </font>
    <font>
      <b/>
      <u val="single"/>
      <sz val="12"/>
      <name val="Arial"/>
      <family val="2"/>
    </font>
    <font>
      <b/>
      <sz val="12"/>
      <name val="Arial"/>
      <family val="2"/>
    </font>
    <font>
      <u val="single"/>
      <sz val="12"/>
      <name val="Arial"/>
      <family val="2"/>
    </font>
    <font>
      <sz val="12"/>
      <color indexed="12"/>
      <name val="Arial"/>
      <family val="2"/>
    </font>
    <font>
      <sz val="8"/>
      <name val="Tahoma"/>
      <family val="0"/>
    </font>
    <font>
      <b/>
      <sz val="8"/>
      <name val="Tahoma"/>
      <family val="0"/>
    </font>
    <font>
      <sz val="12"/>
      <color indexed="10"/>
      <name val="Arial"/>
      <family val="2"/>
    </font>
    <font>
      <b/>
      <sz val="12"/>
      <color indexed="10"/>
      <name val="Arial"/>
      <family val="2"/>
    </font>
    <font>
      <b/>
      <sz val="12"/>
      <color indexed="12"/>
      <name val="Arial"/>
      <family val="2"/>
    </font>
    <font>
      <sz val="12"/>
      <color indexed="8"/>
      <name val="Arial"/>
      <family val="2"/>
    </font>
    <font>
      <sz val="18"/>
      <name val="Tahoma"/>
      <family val="2"/>
    </font>
    <font>
      <sz val="16"/>
      <name val="Tahoma"/>
      <family val="2"/>
    </font>
    <font>
      <u val="single"/>
      <sz val="9"/>
      <color indexed="36"/>
      <name val="Arial"/>
      <family val="0"/>
    </font>
    <font>
      <u val="single"/>
      <sz val="9"/>
      <color indexed="12"/>
      <name val="Arial"/>
      <family val="0"/>
    </font>
    <font>
      <b/>
      <sz val="12"/>
      <name val="Tahoma"/>
      <family val="2"/>
    </font>
    <font>
      <b/>
      <sz val="10"/>
      <name val="Tahoma"/>
      <family val="2"/>
    </font>
    <font>
      <sz val="10"/>
      <name val="Tahoma"/>
      <family val="2"/>
    </font>
    <font>
      <sz val="12"/>
      <color indexed="18"/>
      <name val="Arial"/>
      <family val="2"/>
    </font>
    <font>
      <sz val="8"/>
      <name val="Arial"/>
      <family val="0"/>
    </font>
    <font>
      <b/>
      <sz val="8"/>
      <name val="Arial"/>
      <family val="2"/>
    </font>
  </fonts>
  <fills count="2">
    <fill>
      <patternFill/>
    </fill>
    <fill>
      <patternFill patternType="gray125"/>
    </fill>
  </fills>
  <borders count="5">
    <border>
      <left/>
      <right/>
      <top/>
      <bottom/>
      <diagonal/>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color indexed="63"/>
      </top>
      <bottom style="double"/>
    </border>
  </borders>
  <cellStyleXfs count="22">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9" fontId="4" fillId="0" borderId="0" applyFont="0" applyFill="0" applyBorder="0" applyAlignment="0" applyProtection="0"/>
  </cellStyleXfs>
  <cellXfs count="147">
    <xf numFmtId="37" fontId="0" fillId="0" borderId="0" xfId="0" applyAlignment="1">
      <alignment/>
    </xf>
    <xf numFmtId="37" fontId="0" fillId="0" borderId="0" xfId="0" applyAlignment="1" applyProtection="1">
      <alignment/>
      <protection/>
    </xf>
    <xf numFmtId="37" fontId="0" fillId="0" borderId="0" xfId="0" applyAlignment="1" applyProtection="1">
      <alignment horizontal="centerContinuous"/>
      <protection/>
    </xf>
    <xf numFmtId="37" fontId="6" fillId="0" borderId="0" xfId="0" applyFont="1" applyAlignment="1" applyProtection="1">
      <alignment horizontal="centerContinuous"/>
      <protection/>
    </xf>
    <xf numFmtId="37" fontId="0" fillId="0" borderId="1" xfId="0" applyBorder="1" applyAlignment="1" applyProtection="1">
      <alignment/>
      <protection/>
    </xf>
    <xf numFmtId="5" fontId="0" fillId="0" borderId="0" xfId="0" applyNumberFormat="1" applyAlignment="1" applyProtection="1">
      <alignment/>
      <protection/>
    </xf>
    <xf numFmtId="37" fontId="0" fillId="0" borderId="2" xfId="0" applyBorder="1" applyAlignment="1" applyProtection="1">
      <alignment/>
      <protection/>
    </xf>
    <xf numFmtId="5" fontId="0" fillId="0" borderId="1" xfId="0" applyNumberFormat="1" applyBorder="1" applyAlignment="1" applyProtection="1">
      <alignment/>
      <protection/>
    </xf>
    <xf numFmtId="37" fontId="5" fillId="0" borderId="0" xfId="0" applyFont="1" applyAlignment="1">
      <alignment horizontal="centerContinuous"/>
    </xf>
    <xf numFmtId="37" fontId="0" fillId="0" borderId="0" xfId="0" applyFont="1" applyAlignment="1">
      <alignment horizontal="centerContinuous"/>
    </xf>
    <xf numFmtId="37" fontId="7" fillId="0" borderId="0" xfId="0" applyFont="1" applyAlignment="1">
      <alignment horizontal="centerContinuous"/>
    </xf>
    <xf numFmtId="37" fontId="6" fillId="0" borderId="0" xfId="0" applyFont="1" applyAlignment="1">
      <alignment horizontal="centerContinuous"/>
    </xf>
    <xf numFmtId="37" fontId="6" fillId="0" borderId="0" xfId="0" applyFont="1" applyAlignment="1">
      <alignment/>
    </xf>
    <xf numFmtId="37" fontId="0" fillId="0" borderId="0" xfId="0" applyFont="1" applyAlignment="1">
      <alignment/>
    </xf>
    <xf numFmtId="37" fontId="0" fillId="0" borderId="1" xfId="0" applyBorder="1" applyAlignment="1">
      <alignment/>
    </xf>
    <xf numFmtId="37" fontId="0" fillId="0" borderId="2" xfId="0" applyBorder="1" applyAlignment="1">
      <alignment/>
    </xf>
    <xf numFmtId="37" fontId="0" fillId="0" borderId="0" xfId="0" applyNumberFormat="1" applyAlignment="1" applyProtection="1">
      <alignment/>
      <protection/>
    </xf>
    <xf numFmtId="37" fontId="0" fillId="0" borderId="2" xfId="0" applyNumberFormat="1" applyBorder="1" applyAlignment="1" applyProtection="1">
      <alignment/>
      <protection/>
    </xf>
    <xf numFmtId="37" fontId="0" fillId="0" borderId="0" xfId="0" applyFont="1" applyAlignment="1" applyProtection="1">
      <alignment horizontal="centerContinuous"/>
      <protection/>
    </xf>
    <xf numFmtId="37" fontId="0" fillId="0" borderId="1" xfId="0" applyBorder="1" applyAlignment="1" applyProtection="1">
      <alignment horizontal="center"/>
      <protection/>
    </xf>
    <xf numFmtId="10" fontId="0" fillId="0" borderId="0" xfId="0" applyNumberFormat="1" applyAlignment="1" applyProtection="1">
      <alignment/>
      <protection/>
    </xf>
    <xf numFmtId="164" fontId="0" fillId="0" borderId="0" xfId="0" applyNumberFormat="1" applyAlignment="1" applyProtection="1">
      <alignment/>
      <protection/>
    </xf>
    <xf numFmtId="164" fontId="0" fillId="0" borderId="2" xfId="0" applyNumberFormat="1" applyBorder="1" applyAlignment="1" applyProtection="1">
      <alignment/>
      <protection/>
    </xf>
    <xf numFmtId="165" fontId="0" fillId="0" borderId="0" xfId="0" applyNumberFormat="1" applyAlignment="1" applyProtection="1">
      <alignment/>
      <protection/>
    </xf>
    <xf numFmtId="167" fontId="0" fillId="0" borderId="0" xfId="0" applyNumberFormat="1" applyAlignment="1" applyProtection="1">
      <alignment/>
      <protection/>
    </xf>
    <xf numFmtId="37" fontId="0" fillId="0" borderId="1" xfId="0" applyBorder="1" applyAlignment="1" applyProtection="1">
      <alignment horizontal="left"/>
      <protection/>
    </xf>
    <xf numFmtId="5" fontId="0" fillId="0" borderId="2" xfId="0" applyNumberFormat="1" applyBorder="1" applyAlignment="1" applyProtection="1">
      <alignment/>
      <protection/>
    </xf>
    <xf numFmtId="37" fontId="0" fillId="0" borderId="0" xfId="0" applyAlignment="1" applyProtection="1">
      <alignment horizontal="center"/>
      <protection/>
    </xf>
    <xf numFmtId="168" fontId="0" fillId="0" borderId="0" xfId="0" applyNumberFormat="1" applyAlignment="1" applyProtection="1">
      <alignment/>
      <protection/>
    </xf>
    <xf numFmtId="37" fontId="0" fillId="0" borderId="0" xfId="0" applyAlignment="1">
      <alignment horizontal="center"/>
    </xf>
    <xf numFmtId="37" fontId="0" fillId="0" borderId="0" xfId="0" applyAlignment="1">
      <alignment horizontal="right"/>
    </xf>
    <xf numFmtId="37" fontId="0" fillId="0" borderId="0" xfId="0" applyAlignment="1" applyProtection="1">
      <alignment horizontal="right"/>
      <protection/>
    </xf>
    <xf numFmtId="37" fontId="8" fillId="0" borderId="0" xfId="0" applyFont="1" applyAlignment="1" applyProtection="1">
      <alignment/>
      <protection locked="0"/>
    </xf>
    <xf numFmtId="17" fontId="0" fillId="0" borderId="0" xfId="0" applyNumberFormat="1" applyAlignment="1">
      <alignment/>
    </xf>
    <xf numFmtId="37" fontId="0" fillId="0" borderId="0" xfId="0" applyAlignment="1" applyProtection="1" quotePrefix="1">
      <alignment/>
      <protection/>
    </xf>
    <xf numFmtId="37" fontId="0" fillId="0" borderId="0" xfId="0" applyNumberFormat="1" applyAlignment="1">
      <alignment/>
    </xf>
    <xf numFmtId="167" fontId="0" fillId="0" borderId="0" xfId="0" applyNumberFormat="1" applyAlignment="1" applyProtection="1">
      <alignment horizontal="right"/>
      <protection/>
    </xf>
    <xf numFmtId="167" fontId="0" fillId="0" borderId="0" xfId="0" applyNumberFormat="1" applyAlignment="1" applyProtection="1">
      <alignment/>
      <protection/>
    </xf>
    <xf numFmtId="37" fontId="4" fillId="0" borderId="0" xfId="0" applyFont="1" applyAlignment="1">
      <alignment/>
    </xf>
    <xf numFmtId="39" fontId="0" fillId="0" borderId="0" xfId="0" applyNumberFormat="1" applyAlignment="1">
      <alignment/>
    </xf>
    <xf numFmtId="37" fontId="0" fillId="0" borderId="0" xfId="0" applyBorder="1" applyAlignment="1" applyProtection="1">
      <alignment/>
      <protection/>
    </xf>
    <xf numFmtId="49" fontId="0" fillId="0" borderId="0" xfId="0" applyNumberFormat="1" applyAlignment="1" applyProtection="1">
      <alignment/>
      <protection/>
    </xf>
    <xf numFmtId="37" fontId="6" fillId="0" borderId="0" xfId="0" applyFont="1" applyAlignment="1">
      <alignment horizontal="center"/>
    </xf>
    <xf numFmtId="37" fontId="0" fillId="0" borderId="0" xfId="0" applyAlignment="1" quotePrefix="1">
      <alignment/>
    </xf>
    <xf numFmtId="17" fontId="0" fillId="0" borderId="1" xfId="0" applyNumberFormat="1" applyBorder="1" applyAlignment="1">
      <alignment horizontal="center"/>
    </xf>
    <xf numFmtId="17" fontId="0" fillId="0" borderId="1" xfId="0" applyNumberFormat="1" applyBorder="1" applyAlignment="1" applyProtection="1">
      <alignment horizontal="center"/>
      <protection/>
    </xf>
    <xf numFmtId="5" fontId="0" fillId="0" borderId="0" xfId="0" applyNumberFormat="1" applyAlignment="1">
      <alignment/>
    </xf>
    <xf numFmtId="37" fontId="8" fillId="0" borderId="0" xfId="0" applyFont="1" applyAlignment="1">
      <alignment/>
    </xf>
    <xf numFmtId="10" fontId="8" fillId="0" borderId="0" xfId="0" applyNumberFormat="1" applyFont="1" applyAlignment="1" applyProtection="1">
      <alignment/>
      <protection/>
    </xf>
    <xf numFmtId="5" fontId="8" fillId="0" borderId="0" xfId="0" applyNumberFormat="1" applyFont="1" applyAlignment="1" applyProtection="1">
      <alignment/>
      <protection/>
    </xf>
    <xf numFmtId="37" fontId="11" fillId="0" borderId="0" xfId="0" applyFont="1" applyAlignment="1">
      <alignment horizontal="center"/>
    </xf>
    <xf numFmtId="37" fontId="12" fillId="0" borderId="0" xfId="0" applyFont="1" applyAlignment="1">
      <alignment horizontal="center"/>
    </xf>
    <xf numFmtId="37" fontId="12" fillId="0" borderId="0" xfId="0" applyFont="1" applyAlignment="1">
      <alignment/>
    </xf>
    <xf numFmtId="37" fontId="13" fillId="0" borderId="0" xfId="0" applyFont="1" applyAlignment="1">
      <alignment/>
    </xf>
    <xf numFmtId="37" fontId="8" fillId="0" borderId="2" xfId="0" applyFont="1" applyBorder="1" applyAlignment="1" applyProtection="1">
      <alignment/>
      <protection/>
    </xf>
    <xf numFmtId="37" fontId="8" fillId="0" borderId="2" xfId="0" applyFont="1" applyBorder="1" applyAlignment="1">
      <alignment/>
    </xf>
    <xf numFmtId="37" fontId="8" fillId="0" borderId="2" xfId="0" applyNumberFormat="1" applyFont="1" applyBorder="1" applyAlignment="1" applyProtection="1">
      <alignment/>
      <protection/>
    </xf>
    <xf numFmtId="37" fontId="8" fillId="0" borderId="0" xfId="0" applyFont="1" applyAlignment="1" applyProtection="1">
      <alignment horizontal="centerContinuous"/>
      <protection/>
    </xf>
    <xf numFmtId="37" fontId="14" fillId="0" borderId="0" xfId="0" applyFont="1" applyAlignment="1">
      <alignment/>
    </xf>
    <xf numFmtId="37" fontId="0" fillId="0" borderId="0" xfId="0" applyBorder="1" applyAlignment="1">
      <alignment/>
    </xf>
    <xf numFmtId="37" fontId="0" fillId="0" borderId="0" xfId="0" applyBorder="1" applyAlignment="1">
      <alignment horizontal="center"/>
    </xf>
    <xf numFmtId="168" fontId="0" fillId="0" borderId="0" xfId="0" applyNumberFormat="1" applyBorder="1" applyAlignment="1" applyProtection="1">
      <alignment/>
      <protection/>
    </xf>
    <xf numFmtId="170" fontId="0" fillId="0" borderId="0" xfId="0" applyNumberFormat="1" applyAlignment="1" applyProtection="1">
      <alignment/>
      <protection/>
    </xf>
    <xf numFmtId="39" fontId="0" fillId="0" borderId="0" xfId="0" applyNumberFormat="1" applyAlignment="1" applyProtection="1">
      <alignment/>
      <protection/>
    </xf>
    <xf numFmtId="176" fontId="0" fillId="0" borderId="0" xfId="0" applyNumberFormat="1" applyAlignment="1" applyProtection="1">
      <alignment/>
      <protection/>
    </xf>
    <xf numFmtId="43" fontId="0" fillId="0" borderId="0" xfId="15" applyAlignment="1">
      <alignment/>
    </xf>
    <xf numFmtId="37" fontId="12" fillId="0" borderId="0" xfId="0" applyFont="1" applyBorder="1" applyAlignment="1">
      <alignment/>
    </xf>
    <xf numFmtId="37" fontId="0" fillId="0" borderId="0" xfId="0" applyFont="1" applyAlignment="1" applyProtection="1">
      <alignment horizontal="left"/>
      <protection/>
    </xf>
    <xf numFmtId="17" fontId="0" fillId="0" borderId="1" xfId="0" applyNumberFormat="1" applyBorder="1" applyAlignment="1" quotePrefix="1">
      <alignment horizontal="center"/>
    </xf>
    <xf numFmtId="43" fontId="0" fillId="0" borderId="0" xfId="15" applyAlignment="1" applyProtection="1">
      <alignment/>
      <protection/>
    </xf>
    <xf numFmtId="168" fontId="0" fillId="0" borderId="0" xfId="0" applyNumberFormat="1" applyAlignment="1" applyProtection="1">
      <alignment horizontal="center"/>
      <protection/>
    </xf>
    <xf numFmtId="5" fontId="8" fillId="0" borderId="0" xfId="0" applyNumberFormat="1" applyFont="1" applyAlignment="1" applyProtection="1" quotePrefix="1">
      <alignment horizontal="right"/>
      <protection/>
    </xf>
    <xf numFmtId="37" fontId="0" fillId="0" borderId="0" xfId="0" applyAlignment="1" quotePrefix="1">
      <alignment horizontal="left"/>
    </xf>
    <xf numFmtId="17" fontId="0" fillId="0" borderId="0" xfId="0" applyNumberFormat="1" applyAlignment="1" quotePrefix="1">
      <alignment horizontal="left"/>
    </xf>
    <xf numFmtId="5" fontId="0" fillId="0" borderId="0" xfId="0" applyNumberFormat="1" applyFont="1" applyAlignment="1" applyProtection="1">
      <alignment/>
      <protection/>
    </xf>
    <xf numFmtId="37" fontId="0" fillId="0" borderId="0" xfId="0" applyAlignment="1">
      <alignment horizontal="left"/>
    </xf>
    <xf numFmtId="37" fontId="0" fillId="0" borderId="0" xfId="0" applyFill="1" applyBorder="1" applyAlignment="1">
      <alignment/>
    </xf>
    <xf numFmtId="37" fontId="0" fillId="0" borderId="3" xfId="0" applyBorder="1" applyAlignment="1">
      <alignment/>
    </xf>
    <xf numFmtId="175" fontId="0" fillId="0" borderId="0" xfId="17" applyNumberFormat="1" applyAlignment="1">
      <alignment/>
    </xf>
    <xf numFmtId="175" fontId="0" fillId="0" borderId="4" xfId="17" applyNumberFormat="1" applyBorder="1" applyAlignment="1">
      <alignment/>
    </xf>
    <xf numFmtId="37" fontId="6" fillId="0" borderId="0" xfId="0" applyFont="1" applyAlignment="1">
      <alignment horizontal="center"/>
    </xf>
    <xf numFmtId="37" fontId="0" fillId="0" borderId="3" xfId="0" applyBorder="1" applyAlignment="1">
      <alignment horizontal="center"/>
    </xf>
    <xf numFmtId="37" fontId="0" fillId="0" borderId="0" xfId="0" applyAlignment="1">
      <alignment vertical="top"/>
    </xf>
    <xf numFmtId="37" fontId="8" fillId="0" borderId="3" xfId="0" applyFont="1" applyBorder="1" applyAlignment="1">
      <alignment/>
    </xf>
    <xf numFmtId="37" fontId="8" fillId="0" borderId="0" xfId="0" applyFont="1" applyBorder="1" applyAlignment="1">
      <alignment/>
    </xf>
    <xf numFmtId="37" fontId="0" fillId="0" borderId="0" xfId="0" applyFont="1" applyBorder="1" applyAlignment="1">
      <alignment/>
    </xf>
    <xf numFmtId="37" fontId="0" fillId="0" borderId="0" xfId="0" applyFont="1" applyBorder="1" applyAlignment="1" applyProtection="1">
      <alignment/>
      <protection/>
    </xf>
    <xf numFmtId="37" fontId="8" fillId="0" borderId="0" xfId="0" applyNumberFormat="1" applyFont="1" applyAlignment="1" applyProtection="1">
      <alignment/>
      <protection/>
    </xf>
    <xf numFmtId="192" fontId="8" fillId="0" borderId="0" xfId="0" applyNumberFormat="1" applyFont="1" applyAlignment="1">
      <alignment/>
    </xf>
    <xf numFmtId="192" fontId="0" fillId="0" borderId="0" xfId="0" applyNumberFormat="1" applyFont="1" applyAlignment="1">
      <alignment/>
    </xf>
    <xf numFmtId="37" fontId="0" fillId="0" borderId="0" xfId="0" applyFont="1" applyAlignment="1">
      <alignment horizontal="center"/>
    </xf>
    <xf numFmtId="37" fontId="0" fillId="0" borderId="0" xfId="0" applyNumberFormat="1" applyAlignment="1" applyProtection="1">
      <alignment horizontal="center"/>
      <protection/>
    </xf>
    <xf numFmtId="37" fontId="0" fillId="0" borderId="0" xfId="0" applyAlignment="1" applyProtection="1" quotePrefix="1">
      <alignment horizontal="center"/>
      <protection/>
    </xf>
    <xf numFmtId="37" fontId="0" fillId="0" borderId="0" xfId="0" applyAlignment="1">
      <alignment horizontal="center" vertical="top"/>
    </xf>
    <xf numFmtId="37" fontId="0" fillId="0" borderId="0" xfId="0" applyAlignment="1" applyProtection="1">
      <alignment horizontal="center" vertical="top"/>
      <protection/>
    </xf>
    <xf numFmtId="37" fontId="0" fillId="0" borderId="0" xfId="0" applyAlignment="1" quotePrefix="1">
      <alignment horizontal="center" vertical="top"/>
    </xf>
    <xf numFmtId="37" fontId="0" fillId="0" borderId="0" xfId="0" applyFill="1" applyAlignment="1">
      <alignment/>
    </xf>
    <xf numFmtId="37" fontId="5" fillId="0" borderId="0" xfId="0" applyFont="1" applyFill="1" applyAlignment="1">
      <alignment horizontal="centerContinuous"/>
    </xf>
    <xf numFmtId="37" fontId="0" fillId="0" borderId="0" xfId="0" applyFont="1" applyFill="1" applyAlignment="1" applyProtection="1">
      <alignment horizontal="centerContinuous"/>
      <protection/>
    </xf>
    <xf numFmtId="37" fontId="0" fillId="0" borderId="0" xfId="0" applyFill="1" applyAlignment="1" applyProtection="1">
      <alignment horizontal="right"/>
      <protection/>
    </xf>
    <xf numFmtId="37" fontId="0" fillId="0" borderId="0" xfId="0" applyFill="1" applyAlignment="1" applyProtection="1">
      <alignment horizontal="centerContinuous"/>
      <protection/>
    </xf>
    <xf numFmtId="37" fontId="0" fillId="0" borderId="0" xfId="0" applyFill="1" applyAlignment="1">
      <alignment horizontal="right"/>
    </xf>
    <xf numFmtId="37" fontId="0" fillId="0" borderId="0" xfId="0" applyFont="1" applyFill="1" applyAlignment="1">
      <alignment horizontal="centerContinuous"/>
    </xf>
    <xf numFmtId="37" fontId="6" fillId="0" borderId="0" xfId="0" applyFont="1" applyFill="1" applyAlignment="1" applyProtection="1">
      <alignment horizontal="centerContinuous"/>
      <protection/>
    </xf>
    <xf numFmtId="37" fontId="8" fillId="0" borderId="0" xfId="0" applyFont="1" applyFill="1" applyAlignment="1" applyProtection="1">
      <alignment horizontal="centerContinuous"/>
      <protection/>
    </xf>
    <xf numFmtId="37" fontId="0" fillId="0" borderId="0" xfId="0" applyFill="1" applyAlignment="1">
      <alignment horizontal="center"/>
    </xf>
    <xf numFmtId="37" fontId="0" fillId="0" borderId="1" xfId="0" applyFill="1" applyBorder="1" applyAlignment="1" applyProtection="1">
      <alignment horizontal="left"/>
      <protection/>
    </xf>
    <xf numFmtId="37" fontId="0" fillId="0" borderId="1" xfId="0" applyFill="1" applyBorder="1" applyAlignment="1" applyProtection="1">
      <alignment horizontal="center"/>
      <protection/>
    </xf>
    <xf numFmtId="37" fontId="0" fillId="0" borderId="0" xfId="0" applyFill="1" applyAlignment="1" applyProtection="1">
      <alignment/>
      <protection/>
    </xf>
    <xf numFmtId="37" fontId="0" fillId="0" borderId="0" xfId="0" applyFill="1" applyAlignment="1" applyProtection="1">
      <alignment horizontal="center"/>
      <protection/>
    </xf>
    <xf numFmtId="5" fontId="0" fillId="0" borderId="0" xfId="0" applyNumberFormat="1" applyFill="1" applyAlignment="1" applyProtection="1">
      <alignment/>
      <protection/>
    </xf>
    <xf numFmtId="5" fontId="8" fillId="0" borderId="0" xfId="0" applyNumberFormat="1" applyFont="1" applyFill="1" applyAlignment="1" applyProtection="1">
      <alignment/>
      <protection/>
    </xf>
    <xf numFmtId="37" fontId="8" fillId="0" borderId="0" xfId="0" applyFont="1" applyFill="1" applyAlignment="1">
      <alignment/>
    </xf>
    <xf numFmtId="37" fontId="0" fillId="0" borderId="2" xfId="0" applyFill="1" applyBorder="1" applyAlignment="1" applyProtection="1">
      <alignment/>
      <protection/>
    </xf>
    <xf numFmtId="5" fontId="0" fillId="0" borderId="2" xfId="0" applyNumberFormat="1" applyFill="1" applyBorder="1" applyAlignment="1" applyProtection="1">
      <alignment/>
      <protection/>
    </xf>
    <xf numFmtId="37" fontId="0" fillId="0" borderId="2" xfId="0" applyNumberFormat="1" applyFill="1" applyBorder="1" applyAlignment="1" applyProtection="1">
      <alignment/>
      <protection/>
    </xf>
    <xf numFmtId="37" fontId="0" fillId="0" borderId="0" xfId="0" applyNumberFormat="1" applyFill="1" applyAlignment="1" applyProtection="1">
      <alignment/>
      <protection/>
    </xf>
    <xf numFmtId="37" fontId="22" fillId="0" borderId="0" xfId="0" applyFont="1" applyFill="1" applyAlignment="1">
      <alignment/>
    </xf>
    <xf numFmtId="167" fontId="0" fillId="0" borderId="0" xfId="0" applyNumberFormat="1" applyFill="1" applyAlignment="1" applyProtection="1">
      <alignment/>
      <protection/>
    </xf>
    <xf numFmtId="167" fontId="22" fillId="0" borderId="0" xfId="0" applyNumberFormat="1" applyFont="1" applyFill="1" applyAlignment="1" applyProtection="1">
      <alignment horizontal="center"/>
      <protection/>
    </xf>
    <xf numFmtId="167" fontId="8" fillId="0" borderId="0" xfId="0" applyNumberFormat="1" applyFont="1" applyFill="1" applyAlignment="1" applyProtection="1">
      <alignment/>
      <protection/>
    </xf>
    <xf numFmtId="5" fontId="0" fillId="0" borderId="1" xfId="0" applyNumberFormat="1" applyFill="1" applyBorder="1" applyAlignment="1" applyProtection="1">
      <alignment/>
      <protection/>
    </xf>
    <xf numFmtId="37" fontId="7" fillId="0" borderId="0" xfId="0" applyFont="1" applyFill="1" applyAlignment="1">
      <alignment horizontal="right"/>
    </xf>
    <xf numFmtId="37" fontId="0" fillId="0" borderId="0" xfId="0" applyFill="1" applyAlignment="1" quotePrefix="1">
      <alignment horizontal="right"/>
    </xf>
    <xf numFmtId="37" fontId="0" fillId="0" borderId="0" xfId="0" applyFont="1" applyFill="1" applyAlignment="1" quotePrefix="1">
      <alignment horizontal="right"/>
    </xf>
    <xf numFmtId="37" fontId="0" fillId="0" borderId="0" xfId="0" applyFont="1" applyFill="1" applyAlignment="1">
      <alignment/>
    </xf>
    <xf numFmtId="37" fontId="0" fillId="0" borderId="0" xfId="0" applyFill="1" applyAlignment="1">
      <alignment horizontal="left"/>
    </xf>
    <xf numFmtId="17" fontId="0" fillId="0" borderId="1" xfId="0" applyNumberFormat="1" applyFill="1" applyBorder="1" applyAlignment="1">
      <alignment horizontal="center"/>
    </xf>
    <xf numFmtId="10" fontId="0" fillId="0" borderId="0" xfId="21" applyNumberFormat="1" applyFill="1" applyBorder="1" applyAlignment="1">
      <alignment/>
    </xf>
    <xf numFmtId="10" fontId="0" fillId="0" borderId="0" xfId="21" applyNumberFormat="1" applyFill="1" applyAlignment="1" applyProtection="1">
      <alignment/>
      <protection/>
    </xf>
    <xf numFmtId="10" fontId="0" fillId="0" borderId="0" xfId="21" applyNumberFormat="1" applyFill="1" applyAlignment="1">
      <alignment/>
    </xf>
    <xf numFmtId="37" fontId="0" fillId="0" borderId="0" xfId="0" applyFill="1" applyBorder="1" applyAlignment="1" applyProtection="1">
      <alignment/>
      <protection/>
    </xf>
    <xf numFmtId="175" fontId="0" fillId="0" borderId="0" xfId="17" applyNumberFormat="1" applyAlignment="1" applyProtection="1">
      <alignment/>
      <protection/>
    </xf>
    <xf numFmtId="175" fontId="0" fillId="0" borderId="3" xfId="17" applyNumberFormat="1" applyBorder="1" applyAlignment="1">
      <alignment/>
    </xf>
    <xf numFmtId="175" fontId="0" fillId="0" borderId="0" xfId="17" applyNumberFormat="1" applyBorder="1" applyAlignment="1" applyProtection="1">
      <alignment/>
      <protection/>
    </xf>
    <xf numFmtId="192" fontId="8" fillId="0" borderId="0" xfId="0" applyNumberFormat="1" applyFont="1" applyFill="1" applyAlignment="1">
      <alignment/>
    </xf>
    <xf numFmtId="37" fontId="0" fillId="0" borderId="0" xfId="0" applyNumberFormat="1" applyFont="1" applyAlignment="1" applyProtection="1">
      <alignment/>
      <protection/>
    </xf>
    <xf numFmtId="37" fontId="0" fillId="0" borderId="0" xfId="0" applyFont="1" applyAlignment="1">
      <alignment horizontal="right"/>
    </xf>
    <xf numFmtId="166" fontId="0" fillId="0" borderId="0" xfId="21" applyNumberFormat="1" applyAlignment="1">
      <alignment horizontal="right"/>
    </xf>
    <xf numFmtId="166" fontId="0" fillId="0" borderId="3" xfId="21" applyNumberFormat="1" applyBorder="1" applyAlignment="1">
      <alignment horizontal="right"/>
    </xf>
    <xf numFmtId="166" fontId="0" fillId="0" borderId="0" xfId="0" applyNumberFormat="1" applyAlignment="1">
      <alignment horizontal="right"/>
    </xf>
    <xf numFmtId="37" fontId="0" fillId="0" borderId="2" xfId="0" applyFont="1" applyFill="1" applyBorder="1" applyAlignment="1" applyProtection="1">
      <alignment/>
      <protection/>
    </xf>
    <xf numFmtId="37" fontId="0" fillId="0" borderId="0" xfId="0" applyAlignment="1">
      <alignment horizontal="center"/>
    </xf>
    <xf numFmtId="37" fontId="6" fillId="0" borderId="0" xfId="0" applyFont="1" applyAlignment="1">
      <alignment horizontal="center"/>
    </xf>
    <xf numFmtId="37" fontId="0" fillId="0" borderId="0" xfId="0" applyAlignment="1">
      <alignment horizontal="left" wrapText="1"/>
    </xf>
    <xf numFmtId="37" fontId="8" fillId="0" borderId="0" xfId="0" applyFont="1" applyAlignment="1">
      <alignment horizontal="center"/>
    </xf>
    <xf numFmtId="37"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externalLink" Target="externalLinks/externalLink2.xml" /><Relationship Id="rId35" Type="http://schemas.openxmlformats.org/officeDocument/2006/relationships/externalLink" Target="externalLinks/externalLink3.xml" /><Relationship Id="rId36" Type="http://schemas.openxmlformats.org/officeDocument/2006/relationships/externalLink" Target="externalLinks/externalLink4.xml" /><Relationship Id="rId37" Type="http://schemas.openxmlformats.org/officeDocument/2006/relationships/externalLink" Target="externalLinks/externalLink5.xml" /><Relationship Id="rId38" Type="http://schemas.openxmlformats.org/officeDocument/2006/relationships/externalLink" Target="externalLinks/externalLink6.xml" /><Relationship Id="rId39" Type="http://schemas.openxmlformats.org/officeDocument/2006/relationships/externalLink" Target="externalLinks/externalLink7.xml" /><Relationship Id="rId40" Type="http://schemas.openxmlformats.org/officeDocument/2006/relationships/externalLink" Target="externalLinks/externalLink8.xml" /><Relationship Id="rId41" Type="http://schemas.openxmlformats.org/officeDocument/2006/relationships/externalLink" Target="externalLinks/externalLink9.xml" /><Relationship Id="rId42" Type="http://schemas.openxmlformats.org/officeDocument/2006/relationships/externalLink" Target="externalLinks/externalLink10.xml" /><Relationship Id="rId43" Type="http://schemas.openxmlformats.org/officeDocument/2006/relationships/externalLink" Target="externalLinks/externalLink11.xml" /><Relationship Id="rId44" Type="http://schemas.openxmlformats.org/officeDocument/2006/relationships/externalLink" Target="externalLinks/externalLink12.xml" /><Relationship Id="rId4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uel\caldazab\closeout\Jun03\je5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caldazab\closeout\Oct03\Monthly%20Fuel.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caldazab\closeout\Nov03\Monthly%20Fuel.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caldazab\closeout\dec03\Monthly%20Fue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Fuel\caldazab\closeout\Jan03\je5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Fuel\caldazab\closeout\Feb03\je5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Fuel\caldazab\closeout\Mar03\je5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Fuel\caldazab\closeout\Apr03\je5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Fuel\caldazab\closeout\May03\je5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Fuel\caldazab\closeout\Jul03\je5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Fuel\caldazab\closeout\Aug03\je5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Fuel\caldazab\closeout\Sep03\je5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rst011m rev sum"/>
      <sheetName val="FUEL REV"/>
      <sheetName val="RETAIL FAC"/>
      <sheetName val="GEN EXP ADJ"/>
      <sheetName val="JE27 RECON"/>
      <sheetName val="CAPACITY CLAUSE"/>
      <sheetName val="CLEAN UP"/>
      <sheetName val="CCR"/>
      <sheetName val="A1"/>
      <sheetName val="Module2"/>
      <sheetName val="1"/>
      <sheetName val="2"/>
      <sheetName val="Module1"/>
    </sheetNames>
    <sheetDataSet>
      <sheetData sheetId="3">
        <row r="15">
          <cell r="E15">
            <v>0.9768</v>
          </cell>
        </row>
      </sheetData>
      <sheetData sheetId="7">
        <row r="116">
          <cell r="P116">
            <v>0.01</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ETAIL FAC"/>
      <sheetName val="UNBILLED"/>
      <sheetName val="GEN EXP ADJ"/>
      <sheetName val="JE27 RECON"/>
      <sheetName val="FUEL REV"/>
      <sheetName val="CCR"/>
      <sheetName val="COGEN"/>
      <sheetName val="Jun"/>
      <sheetName val="Jul"/>
      <sheetName val="Aug"/>
      <sheetName val="Sep"/>
      <sheetName val="Oct"/>
      <sheetName val="Module2"/>
      <sheetName val="1"/>
      <sheetName val="2"/>
      <sheetName val="Module1"/>
    </sheetNames>
    <sheetDataSet>
      <sheetData sheetId="2">
        <row r="22">
          <cell r="N22">
            <v>0.9751</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RETAIL FAC"/>
      <sheetName val="UNBILLED"/>
      <sheetName val="GEN EXP ADJ"/>
      <sheetName val="JE27 RECON"/>
      <sheetName val="FUEL REV"/>
      <sheetName val="CCR"/>
      <sheetName val="COGEN"/>
      <sheetName val="Jun"/>
      <sheetName val="Jul"/>
      <sheetName val="Aug"/>
      <sheetName val="Sep"/>
      <sheetName val="Oct"/>
      <sheetName val="Nov"/>
      <sheetName val="Module2"/>
      <sheetName val="1"/>
      <sheetName val="2"/>
      <sheetName val="Module1"/>
    </sheetNames>
    <sheetDataSet>
      <sheetData sheetId="2">
        <row r="22">
          <cell r="O22">
            <v>0.9749</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RETAIL FAC"/>
      <sheetName val="UNBILLED"/>
      <sheetName val="GEN EXP ADJ"/>
      <sheetName val="JE27 RECON"/>
      <sheetName val="FUEL REV"/>
      <sheetName val="CCR"/>
      <sheetName val="COGEN"/>
      <sheetName val="Jun"/>
      <sheetName val="Jul"/>
      <sheetName val="Aug"/>
      <sheetName val="Sep"/>
      <sheetName val="Oct"/>
      <sheetName val="Nov"/>
      <sheetName val="Dec"/>
      <sheetName val="Module2"/>
      <sheetName val="1"/>
      <sheetName val="2"/>
      <sheetName val="Module1"/>
    </sheetNames>
    <sheetDataSet>
      <sheetData sheetId="2">
        <row r="22">
          <cell r="P22">
            <v>0.9825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rst011m rev sum"/>
      <sheetName val="FUEL REV"/>
      <sheetName val="RETAIL FAC"/>
      <sheetName val="GEN EXP ADJ"/>
      <sheetName val="JE27 RECON"/>
      <sheetName val="CAPACITY CLAUSE"/>
      <sheetName val="CLEAN UP"/>
      <sheetName val="CCR"/>
      <sheetName val="A1"/>
      <sheetName val="Module2"/>
      <sheetName val="1"/>
      <sheetName val="2"/>
      <sheetName val="Module1"/>
    </sheetNames>
    <sheetDataSet>
      <sheetData sheetId="3">
        <row r="15">
          <cell r="E15">
            <v>0.984</v>
          </cell>
        </row>
      </sheetData>
      <sheetData sheetId="7">
        <row r="114">
          <cell r="F114">
            <v>0.0129</v>
          </cell>
        </row>
        <row r="116">
          <cell r="F116">
            <v>0.0127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urst011m rev sum"/>
      <sheetName val="FUEL REV"/>
      <sheetName val="RETAIL FAC"/>
      <sheetName val="GEN EXP ADJ"/>
      <sheetName val="JE27 RECON"/>
      <sheetName val="CAPACITY CLAUSE"/>
      <sheetName val="CLEAN UP"/>
      <sheetName val="CCR"/>
      <sheetName val="A1"/>
      <sheetName val="Module2"/>
      <sheetName val="1"/>
      <sheetName val="2"/>
      <sheetName val="Module1"/>
    </sheetNames>
    <sheetDataSet>
      <sheetData sheetId="3">
        <row r="15">
          <cell r="E15">
            <v>0.9743</v>
          </cell>
        </row>
      </sheetData>
      <sheetData sheetId="7">
        <row r="116">
          <cell r="H116">
            <v>0.0125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st011m rev sum"/>
      <sheetName val="FUEL REV"/>
      <sheetName val="RETAIL FAC"/>
      <sheetName val="GEN EXP ADJ"/>
      <sheetName val="JE27 RECON"/>
      <sheetName val="CAPACITY CLAUSE"/>
      <sheetName val="CLEAN UP"/>
      <sheetName val="CCR"/>
      <sheetName val="A1"/>
      <sheetName val="Module2"/>
      <sheetName val="1"/>
      <sheetName val="2"/>
      <sheetName val="Module1"/>
    </sheetNames>
    <sheetDataSet>
      <sheetData sheetId="3">
        <row r="15">
          <cell r="E15">
            <v>0.9754</v>
          </cell>
        </row>
      </sheetData>
      <sheetData sheetId="7">
        <row r="116">
          <cell r="J116">
            <v>0.0118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urst011m rev sum"/>
      <sheetName val="FUEL REV"/>
      <sheetName val="RETAIL FAC"/>
      <sheetName val="GEN EXP ADJ"/>
      <sheetName val="JE27 RECON"/>
      <sheetName val="CAPACITY CLAUSE"/>
      <sheetName val="CLEAN UP"/>
      <sheetName val="CCR"/>
      <sheetName val="A1"/>
      <sheetName val="Module2"/>
      <sheetName val="1"/>
      <sheetName val="2"/>
      <sheetName val="Module1"/>
    </sheetNames>
    <sheetDataSet>
      <sheetData sheetId="3">
        <row r="15">
          <cell r="E15">
            <v>0.9757</v>
          </cell>
        </row>
      </sheetData>
      <sheetData sheetId="7">
        <row r="116">
          <cell r="L116">
            <v>0.0119</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st011m rev sum"/>
      <sheetName val="FUEL REV"/>
      <sheetName val="RETAIL FAC"/>
      <sheetName val="GEN EXP ADJ"/>
      <sheetName val="JE27 RECON"/>
      <sheetName val="CAPACITY CLAUSE"/>
      <sheetName val="CLEAN UP"/>
      <sheetName val="CCR"/>
      <sheetName val="A1"/>
      <sheetName val="Module2"/>
      <sheetName val="1"/>
      <sheetName val="2"/>
      <sheetName val="Module1"/>
    </sheetNames>
    <sheetDataSet>
      <sheetData sheetId="3">
        <row r="15">
          <cell r="E15">
            <v>0.98</v>
          </cell>
        </row>
      </sheetData>
      <sheetData sheetId="7">
        <row r="116">
          <cell r="N116">
            <v>0.0121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urst011m rev sum"/>
      <sheetName val="FUEL REV"/>
      <sheetName val="RETAIL FAC"/>
      <sheetName val="GEN EXP ADJ"/>
      <sheetName val="JE27 RECON"/>
      <sheetName val="CAPACITY CLAUSE"/>
      <sheetName val="CLEAN UP"/>
      <sheetName val="CCR"/>
      <sheetName val="A1"/>
      <sheetName val="Module2"/>
      <sheetName val="1"/>
      <sheetName val="2"/>
      <sheetName val="Module1"/>
    </sheetNames>
    <sheetDataSet>
      <sheetData sheetId="3">
        <row r="15">
          <cell r="E15">
            <v>0.9794</v>
          </cell>
        </row>
      </sheetData>
      <sheetData sheetId="7">
        <row r="116">
          <cell r="R116">
            <v>0.0105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st011m rev sum"/>
      <sheetName val="FUEL REV"/>
      <sheetName val="RETAIL FAC"/>
      <sheetName val="GEN EXP ADJ"/>
      <sheetName val="JE27 RECON"/>
      <sheetName val="CAPACITY CLAUSE"/>
      <sheetName val="CLEAN UP"/>
      <sheetName val="CCR"/>
      <sheetName val="A1"/>
      <sheetName val="Module2"/>
      <sheetName val="1"/>
      <sheetName val="2"/>
      <sheetName val="Module1"/>
    </sheetNames>
    <sheetDataSet>
      <sheetData sheetId="3">
        <row r="15">
          <cell r="E15">
            <v>0.9765</v>
          </cell>
        </row>
      </sheetData>
      <sheetData sheetId="7">
        <row r="116">
          <cell r="T116">
            <v>0.0106</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st011m rev sum"/>
      <sheetName val="FUEL REV"/>
      <sheetName val="RETAIL FAC"/>
      <sheetName val="GEN EXP ADJ"/>
      <sheetName val="JE27 RECON"/>
      <sheetName val="CAPACITY CLAUSE"/>
      <sheetName val="CLEAN UP"/>
      <sheetName val="CCR"/>
      <sheetName val="A1"/>
      <sheetName val="Module2"/>
      <sheetName val="1"/>
      <sheetName val="2"/>
      <sheetName val="Module1"/>
    </sheetNames>
    <sheetDataSet>
      <sheetData sheetId="3">
        <row r="15">
          <cell r="E15">
            <v>0.9777</v>
          </cell>
        </row>
      </sheetData>
      <sheetData sheetId="7">
        <row r="116">
          <cell r="V116">
            <v>0.0106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8.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9.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10.vml" /><Relationship Id="rId3"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7"/>
  <sheetViews>
    <sheetView tabSelected="1" zoomScale="75" zoomScaleNormal="75" workbookViewId="0" topLeftCell="A1">
      <selection activeCell="F8" sqref="F8"/>
    </sheetView>
  </sheetViews>
  <sheetFormatPr defaultColWidth="8.88671875" defaultRowHeight="15"/>
  <sheetData>
    <row r="1" ht="15">
      <c r="H1" s="30" t="s">
        <v>441</v>
      </c>
    </row>
    <row r="2" ht="15">
      <c r="H2" s="30"/>
    </row>
    <row r="3" ht="15">
      <c r="H3" s="30"/>
    </row>
    <row r="6" spans="1:8" ht="15.75">
      <c r="A6" s="143" t="s">
        <v>605</v>
      </c>
      <c r="B6" s="143"/>
      <c r="C6" s="143"/>
      <c r="D6" s="143"/>
      <c r="E6" s="143"/>
      <c r="F6" s="143"/>
      <c r="G6" s="143"/>
      <c r="H6" s="143"/>
    </row>
    <row r="11" spans="1:8" ht="15.75">
      <c r="A11" s="143" t="s">
        <v>581</v>
      </c>
      <c r="B11" s="143"/>
      <c r="C11" s="143"/>
      <c r="D11" s="143"/>
      <c r="E11" s="143"/>
      <c r="F11" s="143"/>
      <c r="G11" s="143"/>
      <c r="H11" s="143"/>
    </row>
    <row r="12" spans="1:8" ht="15">
      <c r="A12" s="142" t="s">
        <v>439</v>
      </c>
      <c r="B12" s="142"/>
      <c r="C12" s="142"/>
      <c r="D12" s="142"/>
      <c r="E12" s="142"/>
      <c r="F12" s="142"/>
      <c r="G12" s="142"/>
      <c r="H12" s="142"/>
    </row>
    <row r="13" spans="1:8" ht="15">
      <c r="A13" s="142" t="s">
        <v>577</v>
      </c>
      <c r="B13" s="142"/>
      <c r="C13" s="142"/>
      <c r="D13" s="142"/>
      <c r="E13" s="142"/>
      <c r="F13" s="142"/>
      <c r="G13" s="142"/>
      <c r="H13" s="142"/>
    </row>
    <row r="17" spans="1:8" ht="15.75">
      <c r="A17" s="143" t="s">
        <v>440</v>
      </c>
      <c r="B17" s="143"/>
      <c r="C17" s="143"/>
      <c r="D17" s="143"/>
      <c r="E17" s="143"/>
      <c r="F17" s="143"/>
      <c r="G17" s="143"/>
      <c r="H17" s="143"/>
    </row>
    <row r="18" spans="1:8" ht="15">
      <c r="A18" s="142" t="s">
        <v>566</v>
      </c>
      <c r="B18" s="142"/>
      <c r="C18" s="142"/>
      <c r="D18" s="142"/>
      <c r="E18" s="142"/>
      <c r="F18" s="142"/>
      <c r="G18" s="142"/>
      <c r="H18" s="142"/>
    </row>
    <row r="19" spans="1:8" ht="15">
      <c r="A19" s="142" t="s">
        <v>580</v>
      </c>
      <c r="B19" s="142"/>
      <c r="C19" s="142"/>
      <c r="D19" s="142"/>
      <c r="E19" s="142"/>
      <c r="F19" s="142"/>
      <c r="G19" s="142"/>
      <c r="H19" s="142"/>
    </row>
    <row r="20" spans="1:8" ht="15">
      <c r="A20" s="142"/>
      <c r="B20" s="142"/>
      <c r="C20" s="142"/>
      <c r="D20" s="142"/>
      <c r="E20" s="142"/>
      <c r="F20" s="142"/>
      <c r="G20" s="142"/>
      <c r="H20" s="142"/>
    </row>
    <row r="27" spans="3:6" ht="15">
      <c r="C27" s="96"/>
      <c r="D27" s="96"/>
      <c r="E27" s="96"/>
      <c r="F27" s="96"/>
    </row>
  </sheetData>
  <mergeCells count="8">
    <mergeCell ref="A20:H20"/>
    <mergeCell ref="A18:H18"/>
    <mergeCell ref="A6:H6"/>
    <mergeCell ref="A12:H12"/>
    <mergeCell ref="A13:H13"/>
    <mergeCell ref="A17:H17"/>
    <mergeCell ref="A19:H19"/>
    <mergeCell ref="A11:H11"/>
  </mergeCells>
  <printOptions horizontalCentered="1"/>
  <pageMargins left="0" right="0" top="0.75" bottom="0.25" header="0.5" footer="0.5"/>
  <pageSetup horizontalDpi="600" verticalDpi="600" orientation="landscape" r:id="rId1"/>
</worksheet>
</file>

<file path=xl/worksheets/sheet10.xml><?xml version="1.0" encoding="utf-8"?>
<worksheet xmlns="http://schemas.openxmlformats.org/spreadsheetml/2006/main" xmlns:r="http://schemas.openxmlformats.org/officeDocument/2006/relationships">
  <sheetPr codeName="Sheet9" transitionEvaluation="1"/>
  <dimension ref="A1:U65"/>
  <sheetViews>
    <sheetView defaultGridColor="0" zoomScale="75" zoomScaleNormal="75" colorId="22" workbookViewId="0" topLeftCell="A1">
      <selection activeCell="F30" sqref="F30"/>
    </sheetView>
  </sheetViews>
  <sheetFormatPr defaultColWidth="9.77734375" defaultRowHeight="15"/>
  <cols>
    <col min="1" max="1" width="10.5546875" style="96" customWidth="1"/>
    <col min="2" max="6" width="9.77734375" style="96" customWidth="1"/>
    <col min="7" max="12" width="12.77734375" style="96" customWidth="1"/>
    <col min="13" max="16" width="14.3359375" style="96" customWidth="1"/>
    <col min="17" max="21" width="12.77734375" style="96" customWidth="1"/>
    <col min="22" max="16384" width="9.77734375" style="96" customWidth="1"/>
  </cols>
  <sheetData>
    <row r="1" spans="1:21" ht="15.75">
      <c r="A1" s="8" t="str">
        <f>Appendix!A11</f>
        <v>PROGRESS ENERGY FLORIDA, INC.</v>
      </c>
      <c r="B1" s="98"/>
      <c r="C1" s="98"/>
      <c r="D1" s="98"/>
      <c r="E1" s="98"/>
      <c r="F1" s="98"/>
      <c r="G1" s="98"/>
      <c r="H1" s="98"/>
      <c r="I1" s="98"/>
      <c r="J1" s="98"/>
      <c r="K1" s="98"/>
      <c r="L1" s="98"/>
      <c r="M1" s="98"/>
      <c r="N1" s="98"/>
      <c r="O1" s="98"/>
      <c r="P1" s="98"/>
      <c r="Q1" s="98"/>
      <c r="R1" s="98"/>
      <c r="S1" s="98"/>
      <c r="T1" s="99" t="s">
        <v>573</v>
      </c>
      <c r="U1" s="100"/>
    </row>
    <row r="2" spans="1:20" ht="15">
      <c r="A2" s="100" t="s">
        <v>0</v>
      </c>
      <c r="B2" s="100"/>
      <c r="C2" s="100"/>
      <c r="D2" s="100"/>
      <c r="E2" s="100"/>
      <c r="F2" s="100"/>
      <c r="G2" s="100"/>
      <c r="H2" s="100"/>
      <c r="I2" s="100"/>
      <c r="J2" s="100"/>
      <c r="K2" s="100"/>
      <c r="L2" s="100"/>
      <c r="M2" s="100"/>
      <c r="N2" s="100"/>
      <c r="O2" s="100"/>
      <c r="P2" s="100"/>
      <c r="Q2" s="100"/>
      <c r="R2" s="100"/>
      <c r="S2" s="100"/>
      <c r="T2" s="101" t="s">
        <v>521</v>
      </c>
    </row>
    <row r="3" spans="1:20" ht="15">
      <c r="A3" s="100" t="str">
        <f>'Form 42 -1A'!A3:I3</f>
        <v>Calculation of the Final True-up Amount</v>
      </c>
      <c r="B3" s="102"/>
      <c r="C3" s="102"/>
      <c r="D3" s="102"/>
      <c r="E3" s="102"/>
      <c r="F3" s="102"/>
      <c r="G3" s="102"/>
      <c r="H3" s="102"/>
      <c r="I3" s="98"/>
      <c r="J3" s="98"/>
      <c r="K3" s="98"/>
      <c r="L3" s="98"/>
      <c r="M3" s="98"/>
      <c r="N3" s="98"/>
      <c r="O3" s="98"/>
      <c r="P3" s="98"/>
      <c r="Q3" s="98"/>
      <c r="R3" s="98"/>
      <c r="S3" s="98"/>
      <c r="T3" s="101"/>
    </row>
    <row r="4" spans="1:19" ht="15.75">
      <c r="A4" s="11" t="str">
        <f>'Form 42 -1A'!A4</f>
        <v>January 2003 through December 2003</v>
      </c>
      <c r="B4" s="98"/>
      <c r="C4" s="98"/>
      <c r="D4" s="98"/>
      <c r="E4" s="98"/>
      <c r="F4" s="98"/>
      <c r="G4" s="98"/>
      <c r="H4" s="98"/>
      <c r="I4" s="98"/>
      <c r="J4" s="98"/>
      <c r="K4" s="98"/>
      <c r="L4" s="98"/>
      <c r="M4" s="98"/>
      <c r="N4" s="98"/>
      <c r="O4" s="98"/>
      <c r="P4" s="98"/>
      <c r="Q4" s="98"/>
      <c r="R4" s="98"/>
      <c r="S4" s="98"/>
    </row>
    <row r="5" spans="1:20" ht="15.75">
      <c r="A5" s="103" t="s">
        <v>1</v>
      </c>
      <c r="B5" s="98"/>
      <c r="C5" s="98"/>
      <c r="D5" s="98"/>
      <c r="E5" s="98"/>
      <c r="F5" s="98"/>
      <c r="G5" s="98"/>
      <c r="H5" s="98"/>
      <c r="I5" s="98"/>
      <c r="J5" s="98"/>
      <c r="K5" s="98"/>
      <c r="L5" s="98"/>
      <c r="M5" s="98"/>
      <c r="N5" s="98"/>
      <c r="O5" s="98"/>
      <c r="P5" s="98"/>
      <c r="Q5" s="98"/>
      <c r="R5" s="98"/>
      <c r="S5" s="98"/>
      <c r="T5" s="100"/>
    </row>
    <row r="6" spans="1:19" ht="15">
      <c r="A6" s="104" t="s">
        <v>59</v>
      </c>
      <c r="B6" s="98"/>
      <c r="C6" s="98"/>
      <c r="D6" s="98"/>
      <c r="E6" s="98"/>
      <c r="F6" s="98"/>
      <c r="G6" s="98"/>
      <c r="H6" s="98"/>
      <c r="I6" s="98"/>
      <c r="J6" s="98"/>
      <c r="K6" s="98"/>
      <c r="L6" s="98"/>
      <c r="M6" s="98"/>
      <c r="N6" s="98"/>
      <c r="O6" s="98"/>
      <c r="P6" s="98"/>
      <c r="Q6" s="98"/>
      <c r="R6" s="98"/>
      <c r="S6" s="98"/>
    </row>
    <row r="7" spans="1:19" ht="15">
      <c r="A7" s="98" t="s">
        <v>525</v>
      </c>
      <c r="B7" s="98"/>
      <c r="C7" s="98"/>
      <c r="D7" s="98"/>
      <c r="E7" s="98"/>
      <c r="F7" s="98"/>
      <c r="G7" s="98"/>
      <c r="H7" s="98"/>
      <c r="I7" s="98"/>
      <c r="J7" s="98"/>
      <c r="K7" s="98"/>
      <c r="L7" s="98"/>
      <c r="M7" s="98"/>
      <c r="N7" s="98"/>
      <c r="O7" s="98"/>
      <c r="P7" s="98"/>
      <c r="Q7" s="98"/>
      <c r="R7" s="98"/>
      <c r="S7" s="98"/>
    </row>
    <row r="8" spans="1:21" ht="15.75">
      <c r="A8" s="97" t="s">
        <v>5</v>
      </c>
      <c r="B8" s="98"/>
      <c r="C8" s="98"/>
      <c r="D8" s="98"/>
      <c r="E8" s="98"/>
      <c r="F8" s="98"/>
      <c r="G8" s="98"/>
      <c r="H8" s="98"/>
      <c r="I8" s="98"/>
      <c r="J8" s="98"/>
      <c r="K8" s="98"/>
      <c r="L8" s="98"/>
      <c r="M8" s="98"/>
      <c r="N8" s="98"/>
      <c r="O8" s="98"/>
      <c r="P8" s="98"/>
      <c r="Q8" s="98"/>
      <c r="R8" s="98"/>
      <c r="S8" s="98"/>
      <c r="T8" s="99"/>
      <c r="U8" s="100"/>
    </row>
    <row r="9" ht="15"/>
    <row r="10" spans="1:20" ht="15">
      <c r="A10" s="100"/>
      <c r="T10" s="105" t="s">
        <v>60</v>
      </c>
    </row>
    <row r="11" spans="7:20" ht="15">
      <c r="G11" s="105" t="s">
        <v>61</v>
      </c>
      <c r="H11" s="105" t="s">
        <v>561</v>
      </c>
      <c r="I11" s="105" t="s">
        <v>561</v>
      </c>
      <c r="J11" s="105" t="s">
        <v>561</v>
      </c>
      <c r="K11" s="105" t="s">
        <v>561</v>
      </c>
      <c r="L11" s="105" t="s">
        <v>561</v>
      </c>
      <c r="M11" s="105" t="s">
        <v>561</v>
      </c>
      <c r="N11" s="105" t="s">
        <v>561</v>
      </c>
      <c r="O11" s="105" t="s">
        <v>561</v>
      </c>
      <c r="P11" s="105" t="s">
        <v>561</v>
      </c>
      <c r="Q11" s="105" t="s">
        <v>561</v>
      </c>
      <c r="R11" s="105" t="s">
        <v>561</v>
      </c>
      <c r="S11" s="105" t="s">
        <v>561</v>
      </c>
      <c r="T11" s="105" t="s">
        <v>2</v>
      </c>
    </row>
    <row r="12" spans="1:20" ht="15.75" thickBot="1">
      <c r="A12" s="106" t="s">
        <v>3</v>
      </c>
      <c r="B12" s="100"/>
      <c r="C12" s="106" t="s">
        <v>62</v>
      </c>
      <c r="E12" s="100"/>
      <c r="F12" s="100"/>
      <c r="G12" s="107" t="s">
        <v>63</v>
      </c>
      <c r="H12" s="107" t="str">
        <f>'Form 42 2A'!H10</f>
        <v>January 03</v>
      </c>
      <c r="I12" s="107" t="str">
        <f>'Form 42 2A'!I10</f>
        <v>February 03</v>
      </c>
      <c r="J12" s="107" t="str">
        <f>'Form 42 2A'!J10</f>
        <v>March 03</v>
      </c>
      <c r="K12" s="107" t="str">
        <f>'Form 42 2A'!K10</f>
        <v>April 03</v>
      </c>
      <c r="L12" s="107" t="str">
        <f>'Form 42 2A'!L10</f>
        <v>May 03</v>
      </c>
      <c r="M12" s="107" t="str">
        <f>'Form 42 2A'!M10</f>
        <v>June 03</v>
      </c>
      <c r="N12" s="107" t="str">
        <f>'Form 42 2A'!N10</f>
        <v>July 03</v>
      </c>
      <c r="O12" s="107" t="str">
        <f>'Form 42 2A'!O10</f>
        <v>August 03</v>
      </c>
      <c r="P12" s="107" t="str">
        <f>'Form 42 2A'!P10</f>
        <v>September 03</v>
      </c>
      <c r="Q12" s="107" t="str">
        <f>'Form 42 2A'!Q10</f>
        <v>October 03</v>
      </c>
      <c r="R12" s="107" t="str">
        <f>'Form 42 2A'!R10</f>
        <v>November 03</v>
      </c>
      <c r="S12" s="107" t="str">
        <f>'Form 42 2A'!S10</f>
        <v>December 03</v>
      </c>
      <c r="T12" s="107" t="s">
        <v>8</v>
      </c>
    </row>
    <row r="13" spans="1:4" ht="15">
      <c r="A13" s="108"/>
      <c r="B13" s="108"/>
      <c r="C13" s="108"/>
      <c r="D13" s="109"/>
    </row>
    <row r="14" spans="1:19" ht="15">
      <c r="A14" s="101" t="s">
        <v>35</v>
      </c>
      <c r="B14" s="96" t="s">
        <v>64</v>
      </c>
      <c r="R14" s="105"/>
      <c r="S14" s="105"/>
    </row>
    <row r="15" spans="1:20" ht="15">
      <c r="A15" s="108"/>
      <c r="B15" s="108" t="s">
        <v>65</v>
      </c>
      <c r="C15" s="108"/>
      <c r="D15" s="108"/>
      <c r="E15" s="108"/>
      <c r="F15" s="108"/>
      <c r="G15" s="108"/>
      <c r="H15" s="110">
        <v>0</v>
      </c>
      <c r="I15" s="110">
        <v>0</v>
      </c>
      <c r="J15" s="110">
        <v>0</v>
      </c>
      <c r="K15" s="110">
        <v>0</v>
      </c>
      <c r="L15" s="110">
        <v>0</v>
      </c>
      <c r="M15" s="110">
        <v>0</v>
      </c>
      <c r="N15" s="110">
        <v>0</v>
      </c>
      <c r="O15" s="111">
        <v>0</v>
      </c>
      <c r="P15" s="111">
        <v>0</v>
      </c>
      <c r="Q15" s="111">
        <v>0</v>
      </c>
      <c r="R15" s="111">
        <v>0</v>
      </c>
      <c r="S15" s="111">
        <f>12.56-8.07+6861.87+529.13+377359.57+4792.23+7.08+119677.48+128.62</f>
        <v>509360.47</v>
      </c>
      <c r="T15" s="110"/>
    </row>
    <row r="16" spans="2:19" ht="15">
      <c r="B16" s="96" t="s">
        <v>66</v>
      </c>
      <c r="H16" s="96">
        <v>0</v>
      </c>
      <c r="I16" s="96">
        <v>0</v>
      </c>
      <c r="J16" s="96">
        <v>0</v>
      </c>
      <c r="K16" s="96">
        <v>0</v>
      </c>
      <c r="L16" s="96">
        <v>0</v>
      </c>
      <c r="M16" s="96">
        <v>0</v>
      </c>
      <c r="N16" s="96">
        <v>0</v>
      </c>
      <c r="O16" s="96">
        <v>0</v>
      </c>
      <c r="P16" s="96">
        <v>0</v>
      </c>
      <c r="Q16" s="96">
        <v>0</v>
      </c>
      <c r="R16" s="96">
        <v>0</v>
      </c>
      <c r="S16" s="96">
        <v>0</v>
      </c>
    </row>
    <row r="17" spans="2:19" ht="15">
      <c r="B17" s="96" t="s">
        <v>67</v>
      </c>
      <c r="H17" s="96">
        <v>0</v>
      </c>
      <c r="I17" s="96">
        <v>0</v>
      </c>
      <c r="J17" s="96">
        <v>0</v>
      </c>
      <c r="K17" s="96">
        <v>0</v>
      </c>
      <c r="L17" s="96">
        <v>0</v>
      </c>
      <c r="M17" s="96">
        <v>0</v>
      </c>
      <c r="N17" s="96">
        <v>0</v>
      </c>
      <c r="O17" s="96">
        <v>0</v>
      </c>
      <c r="P17" s="96">
        <v>0</v>
      </c>
      <c r="Q17" s="96">
        <v>0</v>
      </c>
      <c r="R17" s="96">
        <v>0</v>
      </c>
      <c r="S17" s="96">
        <v>0</v>
      </c>
    </row>
    <row r="18" spans="2:19" ht="15">
      <c r="B18" s="96" t="s">
        <v>536</v>
      </c>
      <c r="H18" s="96">
        <v>0</v>
      </c>
      <c r="I18" s="96">
        <v>0</v>
      </c>
      <c r="J18" s="96">
        <v>0</v>
      </c>
      <c r="K18" s="96">
        <v>0</v>
      </c>
      <c r="L18" s="96">
        <v>0</v>
      </c>
      <c r="M18" s="96">
        <v>0</v>
      </c>
      <c r="N18" s="96">
        <v>0</v>
      </c>
      <c r="O18" s="96">
        <v>0</v>
      </c>
      <c r="P18" s="96">
        <v>0</v>
      </c>
      <c r="Q18" s="96">
        <v>0</v>
      </c>
      <c r="R18" s="96">
        <v>0</v>
      </c>
      <c r="S18" s="96">
        <v>0</v>
      </c>
    </row>
    <row r="19" ht="15"/>
    <row r="20" spans="1:19" ht="15">
      <c r="A20" s="99" t="s">
        <v>36</v>
      </c>
      <c r="B20" s="108" t="s">
        <v>537</v>
      </c>
      <c r="C20" s="108"/>
      <c r="D20" s="108"/>
      <c r="E20" s="108"/>
      <c r="F20" s="108"/>
      <c r="G20" s="110">
        <v>0</v>
      </c>
      <c r="H20" s="96">
        <v>0</v>
      </c>
      <c r="I20" s="96">
        <v>0</v>
      </c>
      <c r="J20" s="96">
        <v>0</v>
      </c>
      <c r="K20" s="96">
        <v>0</v>
      </c>
      <c r="L20" s="96">
        <v>0</v>
      </c>
      <c r="M20" s="96">
        <v>0</v>
      </c>
      <c r="N20" s="96">
        <v>0</v>
      </c>
      <c r="O20" s="96">
        <v>0</v>
      </c>
      <c r="P20" s="96">
        <v>0</v>
      </c>
      <c r="Q20" s="96">
        <v>0</v>
      </c>
      <c r="R20" s="96">
        <v>0</v>
      </c>
      <c r="S20" s="96">
        <v>0</v>
      </c>
    </row>
    <row r="21" spans="1:19" ht="15">
      <c r="A21" s="101" t="s">
        <v>38</v>
      </c>
      <c r="B21" s="108" t="s">
        <v>549</v>
      </c>
      <c r="G21" s="96">
        <v>0</v>
      </c>
      <c r="H21" s="96">
        <v>0</v>
      </c>
      <c r="I21" s="96">
        <v>0</v>
      </c>
      <c r="J21" s="96">
        <v>0</v>
      </c>
      <c r="K21" s="96">
        <v>0</v>
      </c>
      <c r="L21" s="96">
        <v>0</v>
      </c>
      <c r="M21" s="96">
        <v>0</v>
      </c>
      <c r="N21" s="96">
        <v>0</v>
      </c>
      <c r="O21" s="96">
        <v>0</v>
      </c>
      <c r="P21" s="96">
        <v>0</v>
      </c>
      <c r="Q21" s="96">
        <v>0</v>
      </c>
      <c r="R21" s="96">
        <v>0</v>
      </c>
      <c r="S21" s="96">
        <v>0</v>
      </c>
    </row>
    <row r="22" spans="1:19" ht="15">
      <c r="A22" s="99" t="s">
        <v>39</v>
      </c>
      <c r="B22" s="108" t="s">
        <v>71</v>
      </c>
      <c r="C22" s="108"/>
      <c r="D22" s="108"/>
      <c r="E22" s="108"/>
      <c r="F22" s="108"/>
      <c r="G22" s="113">
        <v>0</v>
      </c>
      <c r="H22" s="113">
        <v>0</v>
      </c>
      <c r="I22" s="113">
        <v>0</v>
      </c>
      <c r="J22" s="113">
        <v>0</v>
      </c>
      <c r="K22" s="113">
        <v>0</v>
      </c>
      <c r="L22" s="113">
        <v>0</v>
      </c>
      <c r="M22" s="113">
        <v>0</v>
      </c>
      <c r="N22" s="113">
        <v>0</v>
      </c>
      <c r="O22" s="141">
        <f>O15</f>
        <v>0</v>
      </c>
      <c r="P22" s="141">
        <f>O22+P15</f>
        <v>0</v>
      </c>
      <c r="Q22" s="141">
        <f>P22+Q15</f>
        <v>0</v>
      </c>
      <c r="R22" s="141">
        <f>Q22+R15</f>
        <v>0</v>
      </c>
      <c r="S22" s="141">
        <f>R22+S15</f>
        <v>509360.47</v>
      </c>
    </row>
    <row r="23" spans="1:20" ht="15">
      <c r="A23" s="99" t="s">
        <v>40</v>
      </c>
      <c r="B23" s="108" t="s">
        <v>543</v>
      </c>
      <c r="C23" s="108"/>
      <c r="D23" s="108"/>
      <c r="E23" s="108"/>
      <c r="F23" s="108"/>
      <c r="G23" s="114">
        <f aca="true" t="shared" si="0" ref="G23:S23">G20+G21+G22</f>
        <v>0</v>
      </c>
      <c r="H23" s="115">
        <f t="shared" si="0"/>
        <v>0</v>
      </c>
      <c r="I23" s="115">
        <f t="shared" si="0"/>
        <v>0</v>
      </c>
      <c r="J23" s="115">
        <f t="shared" si="0"/>
        <v>0</v>
      </c>
      <c r="K23" s="115">
        <f t="shared" si="0"/>
        <v>0</v>
      </c>
      <c r="L23" s="115">
        <f t="shared" si="0"/>
        <v>0</v>
      </c>
      <c r="M23" s="115">
        <f t="shared" si="0"/>
        <v>0</v>
      </c>
      <c r="N23" s="115">
        <f t="shared" si="0"/>
        <v>0</v>
      </c>
      <c r="O23" s="115">
        <f t="shared" si="0"/>
        <v>0</v>
      </c>
      <c r="P23" s="115">
        <f t="shared" si="0"/>
        <v>0</v>
      </c>
      <c r="Q23" s="115">
        <f t="shared" si="0"/>
        <v>0</v>
      </c>
      <c r="R23" s="115">
        <f t="shared" si="0"/>
        <v>0</v>
      </c>
      <c r="S23" s="115">
        <f t="shared" si="0"/>
        <v>509360.47</v>
      </c>
      <c r="T23" s="116"/>
    </row>
    <row r="24" ht="15"/>
    <row r="25" spans="1:19" ht="15">
      <c r="A25" s="101" t="s">
        <v>42</v>
      </c>
      <c r="B25" s="96" t="s">
        <v>73</v>
      </c>
      <c r="H25" s="96">
        <f aca="true" t="shared" si="1" ref="H25:S25">ROUND((+G23+H23)/2,0)</f>
        <v>0</v>
      </c>
      <c r="I25" s="96">
        <f t="shared" si="1"/>
        <v>0</v>
      </c>
      <c r="J25" s="96">
        <f t="shared" si="1"/>
        <v>0</v>
      </c>
      <c r="K25" s="96">
        <f t="shared" si="1"/>
        <v>0</v>
      </c>
      <c r="L25" s="96">
        <f t="shared" si="1"/>
        <v>0</v>
      </c>
      <c r="M25" s="96">
        <f t="shared" si="1"/>
        <v>0</v>
      </c>
      <c r="N25" s="96">
        <f t="shared" si="1"/>
        <v>0</v>
      </c>
      <c r="O25" s="96">
        <f t="shared" si="1"/>
        <v>0</v>
      </c>
      <c r="P25" s="96">
        <f t="shared" si="1"/>
        <v>0</v>
      </c>
      <c r="Q25" s="96">
        <f t="shared" si="1"/>
        <v>0</v>
      </c>
      <c r="R25" s="96">
        <f t="shared" si="1"/>
        <v>0</v>
      </c>
      <c r="S25" s="96">
        <f t="shared" si="1"/>
        <v>254680</v>
      </c>
    </row>
    <row r="26" ht="15"/>
    <row r="27" spans="1:2" ht="15">
      <c r="A27" s="101" t="s">
        <v>43</v>
      </c>
      <c r="B27" s="96" t="s">
        <v>74</v>
      </c>
    </row>
    <row r="28" spans="1:20" ht="15">
      <c r="A28" s="108"/>
      <c r="B28" s="96" t="s">
        <v>538</v>
      </c>
      <c r="C28" s="108"/>
      <c r="D28" s="108"/>
      <c r="E28" s="108"/>
      <c r="F28" s="129">
        <v>0.1075</v>
      </c>
      <c r="G28" s="108"/>
      <c r="H28" s="108">
        <f>H25*$F$28/12</f>
        <v>0</v>
      </c>
      <c r="I28" s="108">
        <f aca="true" t="shared" si="2" ref="I28:S28">I25*$F$28/12</f>
        <v>0</v>
      </c>
      <c r="J28" s="108">
        <f t="shared" si="2"/>
        <v>0</v>
      </c>
      <c r="K28" s="108">
        <f t="shared" si="2"/>
        <v>0</v>
      </c>
      <c r="L28" s="108">
        <f t="shared" si="2"/>
        <v>0</v>
      </c>
      <c r="M28" s="108">
        <f t="shared" si="2"/>
        <v>0</v>
      </c>
      <c r="N28" s="108">
        <f t="shared" si="2"/>
        <v>0</v>
      </c>
      <c r="O28" s="108">
        <f t="shared" si="2"/>
        <v>0</v>
      </c>
      <c r="P28" s="108">
        <f t="shared" si="2"/>
        <v>0</v>
      </c>
      <c r="Q28" s="108">
        <f t="shared" si="2"/>
        <v>0</v>
      </c>
      <c r="R28" s="108">
        <f t="shared" si="2"/>
        <v>0</v>
      </c>
      <c r="S28" s="108">
        <f t="shared" si="2"/>
        <v>2281.508333333333</v>
      </c>
      <c r="T28" s="110">
        <f>SUM(H28:S28)</f>
        <v>2281.508333333333</v>
      </c>
    </row>
    <row r="29" spans="2:20" ht="15">
      <c r="B29" s="96" t="s">
        <v>565</v>
      </c>
      <c r="F29" s="130">
        <v>0.0257</v>
      </c>
      <c r="H29" s="108">
        <f>H25*$F$29/12</f>
        <v>0</v>
      </c>
      <c r="I29" s="108">
        <f aca="true" t="shared" si="3" ref="I29:S29">I25*$F$29/12</f>
        <v>0</v>
      </c>
      <c r="J29" s="108">
        <f t="shared" si="3"/>
        <v>0</v>
      </c>
      <c r="K29" s="108">
        <f t="shared" si="3"/>
        <v>0</v>
      </c>
      <c r="L29" s="108">
        <f t="shared" si="3"/>
        <v>0</v>
      </c>
      <c r="M29" s="108">
        <f t="shared" si="3"/>
        <v>0</v>
      </c>
      <c r="N29" s="108">
        <f t="shared" si="3"/>
        <v>0</v>
      </c>
      <c r="O29" s="108">
        <f t="shared" si="3"/>
        <v>0</v>
      </c>
      <c r="P29" s="108">
        <f t="shared" si="3"/>
        <v>0</v>
      </c>
      <c r="Q29" s="108">
        <f t="shared" si="3"/>
        <v>0</v>
      </c>
      <c r="R29" s="108">
        <f t="shared" si="3"/>
        <v>0</v>
      </c>
      <c r="S29" s="108">
        <f t="shared" si="3"/>
        <v>545.4396666666667</v>
      </c>
      <c r="T29" s="96">
        <f>SUM(H29:S29)</f>
        <v>545.4396666666667</v>
      </c>
    </row>
    <row r="30" ht="15">
      <c r="F30" s="130"/>
    </row>
    <row r="31" spans="1:2" ht="15">
      <c r="A31" s="101" t="s">
        <v>44</v>
      </c>
      <c r="B31" s="96" t="s">
        <v>77</v>
      </c>
    </row>
    <row r="32" spans="2:20" ht="15">
      <c r="B32" s="76" t="s">
        <v>574</v>
      </c>
      <c r="C32" s="76"/>
      <c r="D32" s="128">
        <v>0.048</v>
      </c>
      <c r="E32" s="76"/>
      <c r="H32" s="96">
        <f>H20*$D$32/12</f>
        <v>0</v>
      </c>
      <c r="I32" s="96">
        <f aca="true" t="shared" si="4" ref="I32:S32">I20*$D$32/12</f>
        <v>0</v>
      </c>
      <c r="J32" s="96">
        <f t="shared" si="4"/>
        <v>0</v>
      </c>
      <c r="K32" s="96">
        <f t="shared" si="4"/>
        <v>0</v>
      </c>
      <c r="L32" s="96">
        <f t="shared" si="4"/>
        <v>0</v>
      </c>
      <c r="M32" s="96">
        <f t="shared" si="4"/>
        <v>0</v>
      </c>
      <c r="N32" s="96">
        <f t="shared" si="4"/>
        <v>0</v>
      </c>
      <c r="O32" s="96">
        <f t="shared" si="4"/>
        <v>0</v>
      </c>
      <c r="P32" s="96">
        <f t="shared" si="4"/>
        <v>0</v>
      </c>
      <c r="Q32" s="96">
        <f t="shared" si="4"/>
        <v>0</v>
      </c>
      <c r="R32" s="96">
        <f t="shared" si="4"/>
        <v>0</v>
      </c>
      <c r="S32" s="96">
        <f t="shared" si="4"/>
        <v>0</v>
      </c>
      <c r="T32" s="96">
        <f>SUM(H32:S32)</f>
        <v>0</v>
      </c>
    </row>
    <row r="33" spans="2:20" ht="15">
      <c r="B33" s="96" t="s">
        <v>539</v>
      </c>
      <c r="H33" s="96">
        <v>0</v>
      </c>
      <c r="I33" s="96">
        <v>0</v>
      </c>
      <c r="J33" s="96">
        <v>0</v>
      </c>
      <c r="K33" s="96">
        <v>0</v>
      </c>
      <c r="L33" s="96">
        <v>0</v>
      </c>
      <c r="M33" s="96">
        <v>0</v>
      </c>
      <c r="N33" s="96">
        <v>0</v>
      </c>
      <c r="O33" s="96">
        <v>0</v>
      </c>
      <c r="P33" s="96">
        <v>0</v>
      </c>
      <c r="Q33" s="96">
        <v>0</v>
      </c>
      <c r="R33" s="96">
        <v>0</v>
      </c>
      <c r="S33" s="96">
        <v>0</v>
      </c>
      <c r="T33" s="96">
        <f>SUM(H33:S33)</f>
        <v>0</v>
      </c>
    </row>
    <row r="34" spans="2:20" ht="15">
      <c r="B34" s="96" t="s">
        <v>80</v>
      </c>
      <c r="H34" s="105" t="s">
        <v>491</v>
      </c>
      <c r="I34" s="105" t="s">
        <v>491</v>
      </c>
      <c r="J34" s="105" t="s">
        <v>491</v>
      </c>
      <c r="K34" s="105" t="s">
        <v>491</v>
      </c>
      <c r="L34" s="105" t="s">
        <v>491</v>
      </c>
      <c r="M34" s="105" t="s">
        <v>491</v>
      </c>
      <c r="N34" s="105" t="s">
        <v>491</v>
      </c>
      <c r="O34" s="105" t="s">
        <v>491</v>
      </c>
      <c r="P34" s="105" t="s">
        <v>491</v>
      </c>
      <c r="Q34" s="105" t="s">
        <v>491</v>
      </c>
      <c r="R34" s="105" t="s">
        <v>491</v>
      </c>
      <c r="S34" s="105" t="s">
        <v>491</v>
      </c>
      <c r="T34" s="105" t="s">
        <v>491</v>
      </c>
    </row>
    <row r="35" spans="2:20" ht="15">
      <c r="B35" s="96" t="s">
        <v>547</v>
      </c>
      <c r="H35" s="108">
        <f aca="true" t="shared" si="5" ref="H35:R35">(H20+H21)*0.020912/12</f>
        <v>0</v>
      </c>
      <c r="I35" s="108">
        <f t="shared" si="5"/>
        <v>0</v>
      </c>
      <c r="J35" s="108">
        <f t="shared" si="5"/>
        <v>0</v>
      </c>
      <c r="K35" s="108">
        <f t="shared" si="5"/>
        <v>0</v>
      </c>
      <c r="L35" s="108">
        <f t="shared" si="5"/>
        <v>0</v>
      </c>
      <c r="M35" s="108">
        <f t="shared" si="5"/>
        <v>0</v>
      </c>
      <c r="N35" s="108">
        <f t="shared" si="5"/>
        <v>0</v>
      </c>
      <c r="O35" s="108">
        <f t="shared" si="5"/>
        <v>0</v>
      </c>
      <c r="P35" s="108">
        <f t="shared" si="5"/>
        <v>0</v>
      </c>
      <c r="Q35" s="108">
        <f t="shared" si="5"/>
        <v>0</v>
      </c>
      <c r="R35" s="108">
        <f t="shared" si="5"/>
        <v>0</v>
      </c>
      <c r="S35" s="108">
        <f>(S20+S21)*0.020912/12</f>
        <v>0</v>
      </c>
      <c r="T35" s="96">
        <f>SUM(H35:S35)</f>
        <v>0</v>
      </c>
    </row>
    <row r="36" spans="1:20" ht="15">
      <c r="A36" s="108"/>
      <c r="B36" s="108" t="s">
        <v>540</v>
      </c>
      <c r="C36" s="108"/>
      <c r="D36" s="108"/>
      <c r="E36" s="108"/>
      <c r="F36" s="108"/>
      <c r="G36" s="108"/>
      <c r="H36" s="113">
        <v>0</v>
      </c>
      <c r="I36" s="113">
        <v>0</v>
      </c>
      <c r="J36" s="113">
        <v>0</v>
      </c>
      <c r="K36" s="113">
        <v>0</v>
      </c>
      <c r="L36" s="113">
        <v>0</v>
      </c>
      <c r="M36" s="113">
        <v>0</v>
      </c>
      <c r="N36" s="113">
        <v>0</v>
      </c>
      <c r="O36" s="113">
        <v>0</v>
      </c>
      <c r="P36" s="113">
        <v>0</v>
      </c>
      <c r="Q36" s="113">
        <v>0</v>
      </c>
      <c r="R36" s="113">
        <v>0</v>
      </c>
      <c r="S36" s="113">
        <v>0</v>
      </c>
      <c r="T36" s="113">
        <f>SUM(H36:S36)</f>
        <v>0</v>
      </c>
    </row>
    <row r="37" ht="15"/>
    <row r="38" spans="1:20" ht="15">
      <c r="A38" s="101" t="s">
        <v>45</v>
      </c>
      <c r="B38" s="96" t="s">
        <v>83</v>
      </c>
      <c r="H38" s="96">
        <f aca="true" t="shared" si="6" ref="H38:R38">ROUND(+H28+H29+H32+H33+H34+H35+H36,0)</f>
        <v>0</v>
      </c>
      <c r="I38" s="96">
        <f t="shared" si="6"/>
        <v>0</v>
      </c>
      <c r="J38" s="96">
        <f t="shared" si="6"/>
        <v>0</v>
      </c>
      <c r="K38" s="96">
        <f t="shared" si="6"/>
        <v>0</v>
      </c>
      <c r="L38" s="96">
        <f t="shared" si="6"/>
        <v>0</v>
      </c>
      <c r="M38" s="96">
        <f t="shared" si="6"/>
        <v>0</v>
      </c>
      <c r="N38" s="96">
        <f t="shared" si="6"/>
        <v>0</v>
      </c>
      <c r="O38" s="96">
        <f t="shared" si="6"/>
        <v>0</v>
      </c>
      <c r="P38" s="96">
        <f t="shared" si="6"/>
        <v>0</v>
      </c>
      <c r="Q38" s="96">
        <f t="shared" si="6"/>
        <v>0</v>
      </c>
      <c r="R38" s="96">
        <f t="shared" si="6"/>
        <v>0</v>
      </c>
      <c r="S38" s="96">
        <f>ROUND(+S28+S29+S32+S33+S34+S35+S36,0)</f>
        <v>2827</v>
      </c>
      <c r="T38" s="96">
        <f>SUM(H38:S38)</f>
        <v>2827</v>
      </c>
    </row>
    <row r="39" spans="2:20" ht="15">
      <c r="B39" s="96" t="s">
        <v>84</v>
      </c>
      <c r="H39" s="96">
        <f aca="true" t="shared" si="7" ref="H39:P39">ROUND(+H38*0,0)</f>
        <v>0</v>
      </c>
      <c r="I39" s="96">
        <f t="shared" si="7"/>
        <v>0</v>
      </c>
      <c r="J39" s="96">
        <f t="shared" si="7"/>
        <v>0</v>
      </c>
      <c r="K39" s="96">
        <f t="shared" si="7"/>
        <v>0</v>
      </c>
      <c r="L39" s="96">
        <f t="shared" si="7"/>
        <v>0</v>
      </c>
      <c r="M39" s="96">
        <f t="shared" si="7"/>
        <v>0</v>
      </c>
      <c r="N39" s="96">
        <f t="shared" si="7"/>
        <v>0</v>
      </c>
      <c r="O39" s="96">
        <f t="shared" si="7"/>
        <v>0</v>
      </c>
      <c r="P39" s="96">
        <f t="shared" si="7"/>
        <v>0</v>
      </c>
      <c r="Q39" s="96">
        <f>ROUND(+Q38*0,0)</f>
        <v>0</v>
      </c>
      <c r="R39" s="96">
        <f>ROUND(+R38*0,0)</f>
        <v>0</v>
      </c>
      <c r="S39" s="96">
        <f>ROUND(+S38*0,0)</f>
        <v>0</v>
      </c>
      <c r="T39" s="96">
        <f>SUM(H39:S39)</f>
        <v>0</v>
      </c>
    </row>
    <row r="40" spans="2:20" ht="15">
      <c r="B40" s="96" t="s">
        <v>85</v>
      </c>
      <c r="H40" s="96">
        <f aca="true" t="shared" si="8" ref="H40:P40">ROUND(+H38*1,0)</f>
        <v>0</v>
      </c>
      <c r="I40" s="96">
        <f t="shared" si="8"/>
        <v>0</v>
      </c>
      <c r="J40" s="96">
        <f t="shared" si="8"/>
        <v>0</v>
      </c>
      <c r="K40" s="96">
        <f t="shared" si="8"/>
        <v>0</v>
      </c>
      <c r="L40" s="96">
        <f t="shared" si="8"/>
        <v>0</v>
      </c>
      <c r="M40" s="96">
        <f t="shared" si="8"/>
        <v>0</v>
      </c>
      <c r="N40" s="96">
        <f t="shared" si="8"/>
        <v>0</v>
      </c>
      <c r="O40" s="96">
        <f t="shared" si="8"/>
        <v>0</v>
      </c>
      <c r="P40" s="96">
        <f t="shared" si="8"/>
        <v>0</v>
      </c>
      <c r="Q40" s="96">
        <f>ROUND(+Q38*1,0)</f>
        <v>0</v>
      </c>
      <c r="R40" s="96">
        <f>ROUND(+R38*1,0)</f>
        <v>0</v>
      </c>
      <c r="S40" s="96">
        <f>ROUND(+S38*1,0)</f>
        <v>2827</v>
      </c>
      <c r="T40" s="96">
        <f>SUM(H40:S40)</f>
        <v>2827</v>
      </c>
    </row>
    <row r="41" ht="15"/>
    <row r="42" spans="1:20" ht="15">
      <c r="A42" s="99" t="s">
        <v>86</v>
      </c>
      <c r="B42" s="108" t="s">
        <v>87</v>
      </c>
      <c r="C42" s="108"/>
      <c r="D42" s="108"/>
      <c r="E42" s="108"/>
      <c r="F42" s="108"/>
      <c r="G42" s="118"/>
      <c r="H42" s="119" t="s">
        <v>491</v>
      </c>
      <c r="I42" s="119" t="s">
        <v>491</v>
      </c>
      <c r="J42" s="119" t="s">
        <v>491</v>
      </c>
      <c r="K42" s="119" t="s">
        <v>491</v>
      </c>
      <c r="L42" s="119" t="s">
        <v>491</v>
      </c>
      <c r="M42" s="119" t="s">
        <v>491</v>
      </c>
      <c r="N42" s="119" t="s">
        <v>491</v>
      </c>
      <c r="O42" s="119" t="s">
        <v>491</v>
      </c>
      <c r="P42" s="119" t="s">
        <v>491</v>
      </c>
      <c r="Q42" s="119" t="s">
        <v>491</v>
      </c>
      <c r="R42" s="119" t="s">
        <v>491</v>
      </c>
      <c r="S42" s="119" t="s">
        <v>491</v>
      </c>
      <c r="T42" s="118"/>
    </row>
    <row r="43" spans="1:20" ht="15">
      <c r="A43" s="99" t="s">
        <v>88</v>
      </c>
      <c r="B43" s="108" t="s">
        <v>492</v>
      </c>
      <c r="C43" s="108"/>
      <c r="D43" s="108"/>
      <c r="E43" s="108"/>
      <c r="F43" s="108"/>
      <c r="G43" s="118"/>
      <c r="H43" s="118">
        <v>0</v>
      </c>
      <c r="I43" s="118">
        <v>0</v>
      </c>
      <c r="J43" s="118">
        <v>0</v>
      </c>
      <c r="K43" s="118">
        <v>0</v>
      </c>
      <c r="L43" s="118">
        <v>0</v>
      </c>
      <c r="M43" s="118">
        <v>0</v>
      </c>
      <c r="N43" s="118">
        <v>0</v>
      </c>
      <c r="O43" s="118">
        <v>0</v>
      </c>
      <c r="P43" s="118">
        <v>0</v>
      </c>
      <c r="Q43" s="120">
        <v>0.74562</v>
      </c>
      <c r="R43" s="120">
        <v>0.74562</v>
      </c>
      <c r="S43" s="120">
        <v>0.74562</v>
      </c>
      <c r="T43" s="118"/>
    </row>
    <row r="45" spans="1:20" ht="15">
      <c r="A45" s="101" t="s">
        <v>90</v>
      </c>
      <c r="B45" s="96" t="s">
        <v>541</v>
      </c>
      <c r="H45" s="96">
        <f aca="true" t="shared" si="9" ref="H45:S45">ROUND((+H39*H42),0)</f>
        <v>0</v>
      </c>
      <c r="I45" s="96">
        <f t="shared" si="9"/>
        <v>0</v>
      </c>
      <c r="J45" s="96">
        <f t="shared" si="9"/>
        <v>0</v>
      </c>
      <c r="K45" s="96">
        <f t="shared" si="9"/>
        <v>0</v>
      </c>
      <c r="L45" s="96">
        <f t="shared" si="9"/>
        <v>0</v>
      </c>
      <c r="M45" s="96">
        <f t="shared" si="9"/>
        <v>0</v>
      </c>
      <c r="N45" s="96">
        <f t="shared" si="9"/>
        <v>0</v>
      </c>
      <c r="O45" s="96">
        <f t="shared" si="9"/>
        <v>0</v>
      </c>
      <c r="P45" s="96">
        <f t="shared" si="9"/>
        <v>0</v>
      </c>
      <c r="Q45" s="96">
        <f t="shared" si="9"/>
        <v>0</v>
      </c>
      <c r="R45" s="96">
        <f t="shared" si="9"/>
        <v>0</v>
      </c>
      <c r="S45" s="96">
        <f t="shared" si="9"/>
        <v>0</v>
      </c>
      <c r="T45" s="96">
        <f>SUM(H45:S45)</f>
        <v>0</v>
      </c>
    </row>
    <row r="46" spans="1:20" ht="15">
      <c r="A46" s="99" t="s">
        <v>92</v>
      </c>
      <c r="B46" s="108" t="s">
        <v>542</v>
      </c>
      <c r="C46" s="108"/>
      <c r="D46" s="108"/>
      <c r="E46" s="108"/>
      <c r="F46" s="108"/>
      <c r="G46" s="108"/>
      <c r="H46" s="113">
        <f aca="true" t="shared" si="10" ref="H46:S46">(+H40*H43)</f>
        <v>0</v>
      </c>
      <c r="I46" s="113">
        <f t="shared" si="10"/>
        <v>0</v>
      </c>
      <c r="J46" s="113">
        <f t="shared" si="10"/>
        <v>0</v>
      </c>
      <c r="K46" s="113">
        <f t="shared" si="10"/>
        <v>0</v>
      </c>
      <c r="L46" s="113">
        <f t="shared" si="10"/>
        <v>0</v>
      </c>
      <c r="M46" s="113">
        <f t="shared" si="10"/>
        <v>0</v>
      </c>
      <c r="N46" s="113">
        <f t="shared" si="10"/>
        <v>0</v>
      </c>
      <c r="O46" s="113">
        <f t="shared" si="10"/>
        <v>0</v>
      </c>
      <c r="P46" s="113">
        <f t="shared" si="10"/>
        <v>0</v>
      </c>
      <c r="Q46" s="113">
        <f t="shared" si="10"/>
        <v>0</v>
      </c>
      <c r="R46" s="113">
        <f t="shared" si="10"/>
        <v>0</v>
      </c>
      <c r="S46" s="113">
        <f t="shared" si="10"/>
        <v>2107.8677399999997</v>
      </c>
      <c r="T46" s="113">
        <f>SUM(H46:S46)</f>
        <v>2107.8677399999997</v>
      </c>
    </row>
    <row r="47" spans="1:20" ht="15.75" thickBot="1">
      <c r="A47" s="99" t="s">
        <v>94</v>
      </c>
      <c r="B47" s="108" t="s">
        <v>95</v>
      </c>
      <c r="C47" s="108"/>
      <c r="D47" s="108"/>
      <c r="E47" s="108"/>
      <c r="F47" s="108"/>
      <c r="G47" s="108"/>
      <c r="H47" s="121">
        <f aca="true" t="shared" si="11" ref="H47:S47">H45+H46</f>
        <v>0</v>
      </c>
      <c r="I47" s="121">
        <f t="shared" si="11"/>
        <v>0</v>
      </c>
      <c r="J47" s="121">
        <f t="shared" si="11"/>
        <v>0</v>
      </c>
      <c r="K47" s="121">
        <f t="shared" si="11"/>
        <v>0</v>
      </c>
      <c r="L47" s="121">
        <f t="shared" si="11"/>
        <v>0</v>
      </c>
      <c r="M47" s="121">
        <f t="shared" si="11"/>
        <v>0</v>
      </c>
      <c r="N47" s="121">
        <f t="shared" si="11"/>
        <v>0</v>
      </c>
      <c r="O47" s="121">
        <f t="shared" si="11"/>
        <v>0</v>
      </c>
      <c r="P47" s="121">
        <f t="shared" si="11"/>
        <v>0</v>
      </c>
      <c r="Q47" s="121">
        <f t="shared" si="11"/>
        <v>0</v>
      </c>
      <c r="R47" s="121">
        <f t="shared" si="11"/>
        <v>0</v>
      </c>
      <c r="S47" s="121">
        <f t="shared" si="11"/>
        <v>2107.8677399999997</v>
      </c>
      <c r="T47" s="121">
        <f>SUM(T45:T46)</f>
        <v>2107.8677399999997</v>
      </c>
    </row>
    <row r="49" ht="15">
      <c r="A49" s="122" t="s">
        <v>31</v>
      </c>
    </row>
    <row r="50" spans="1:2" ht="15">
      <c r="A50" s="101" t="s">
        <v>96</v>
      </c>
      <c r="B50" s="96" t="s">
        <v>594</v>
      </c>
    </row>
    <row r="51" spans="1:2" ht="15">
      <c r="A51" s="101" t="s">
        <v>98</v>
      </c>
      <c r="B51" s="96" t="s">
        <v>595</v>
      </c>
    </row>
    <row r="52" spans="1:2" ht="15">
      <c r="A52" s="101" t="s">
        <v>100</v>
      </c>
      <c r="B52" s="96" t="s">
        <v>552</v>
      </c>
    </row>
    <row r="53" spans="1:2" ht="15">
      <c r="A53" s="123" t="s">
        <v>109</v>
      </c>
      <c r="B53" s="96" t="s">
        <v>564</v>
      </c>
    </row>
    <row r="54" spans="1:2" ht="15">
      <c r="A54" s="123" t="s">
        <v>531</v>
      </c>
      <c r="B54" s="96" t="s">
        <v>560</v>
      </c>
    </row>
    <row r="55" spans="1:2" ht="15">
      <c r="A55" s="124" t="s">
        <v>532</v>
      </c>
      <c r="B55" s="125" t="s">
        <v>556</v>
      </c>
    </row>
    <row r="56" spans="1:2" ht="15">
      <c r="A56" s="123" t="s">
        <v>533</v>
      </c>
      <c r="B56" s="96" t="s">
        <v>596</v>
      </c>
    </row>
    <row r="57" spans="1:2" ht="15">
      <c r="A57" s="123" t="s">
        <v>534</v>
      </c>
      <c r="B57" s="96" t="s">
        <v>545</v>
      </c>
    </row>
    <row r="58" spans="1:2" ht="15">
      <c r="A58" s="123" t="s">
        <v>535</v>
      </c>
      <c r="B58" s="96" t="s">
        <v>101</v>
      </c>
    </row>
    <row r="59" spans="1:2" ht="15">
      <c r="A59" s="123" t="s">
        <v>546</v>
      </c>
      <c r="B59" s="96" t="s">
        <v>550</v>
      </c>
    </row>
    <row r="60" ht="15">
      <c r="A60" s="101"/>
    </row>
    <row r="61" ht="15">
      <c r="A61" s="122" t="s">
        <v>528</v>
      </c>
    </row>
    <row r="62" spans="1:2" ht="15">
      <c r="A62" s="105" t="s">
        <v>530</v>
      </c>
      <c r="B62" s="96" t="s">
        <v>529</v>
      </c>
    </row>
    <row r="63" ht="15">
      <c r="A63" s="126"/>
    </row>
    <row r="65" ht="15">
      <c r="A65" s="126"/>
    </row>
  </sheetData>
  <printOptions/>
  <pageMargins left="0" right="0" top="0.75" bottom="0.25" header="0.5" footer="0.5"/>
  <pageSetup horizontalDpi="300" verticalDpi="300" orientation="landscape" scale="43" r:id="rId3"/>
  <headerFooter alignWithMargins="0">
    <oddFooter>&amp;C&amp;R</oddFooter>
  </headerFooter>
  <legacyDrawing r:id="rId2"/>
</worksheet>
</file>

<file path=xl/worksheets/sheet11.xml><?xml version="1.0" encoding="utf-8"?>
<worksheet xmlns="http://schemas.openxmlformats.org/spreadsheetml/2006/main" xmlns:r="http://schemas.openxmlformats.org/officeDocument/2006/relationships">
  <sheetPr codeName="Sheet11" transitionEvaluation="1"/>
  <dimension ref="A1:U67"/>
  <sheetViews>
    <sheetView defaultGridColor="0" zoomScale="75" zoomScaleNormal="75" colorId="22" workbookViewId="0" topLeftCell="A1">
      <selection activeCell="F30" sqref="F30"/>
    </sheetView>
  </sheetViews>
  <sheetFormatPr defaultColWidth="9.77734375" defaultRowHeight="15"/>
  <cols>
    <col min="1" max="1" width="10.3359375" style="96" customWidth="1"/>
    <col min="2" max="4" width="9.77734375" style="96" customWidth="1"/>
    <col min="5" max="5" width="10.21484375" style="96" customWidth="1"/>
    <col min="6" max="6" width="9.77734375" style="96" customWidth="1"/>
    <col min="7" max="12" width="12.77734375" style="96" customWidth="1"/>
    <col min="13" max="16" width="14.3359375" style="96" customWidth="1"/>
    <col min="17" max="21" width="12.77734375" style="96" customWidth="1"/>
    <col min="22" max="16384" width="9.77734375" style="96" customWidth="1"/>
  </cols>
  <sheetData>
    <row r="1" spans="1:21" ht="15.75">
      <c r="A1" s="8" t="str">
        <f>Appendix!A11</f>
        <v>PROGRESS ENERGY FLORIDA, INC.</v>
      </c>
      <c r="B1" s="98"/>
      <c r="C1" s="98"/>
      <c r="D1" s="98"/>
      <c r="E1" s="98"/>
      <c r="F1" s="98"/>
      <c r="G1" s="98"/>
      <c r="H1" s="98"/>
      <c r="I1" s="98"/>
      <c r="J1" s="98"/>
      <c r="K1" s="98"/>
      <c r="L1" s="98"/>
      <c r="M1" s="98"/>
      <c r="N1" s="98"/>
      <c r="O1" s="98"/>
      <c r="P1" s="98"/>
      <c r="Q1" s="98"/>
      <c r="R1" s="98"/>
      <c r="S1" s="98"/>
      <c r="T1" s="99" t="s">
        <v>573</v>
      </c>
      <c r="U1" s="100"/>
    </row>
    <row r="2" spans="1:20" ht="15">
      <c r="A2" s="100" t="s">
        <v>0</v>
      </c>
      <c r="B2" s="100"/>
      <c r="C2" s="100"/>
      <c r="D2" s="100"/>
      <c r="E2" s="100"/>
      <c r="F2" s="100"/>
      <c r="G2" s="100"/>
      <c r="H2" s="100"/>
      <c r="I2" s="100"/>
      <c r="J2" s="100"/>
      <c r="K2" s="100"/>
      <c r="L2" s="100"/>
      <c r="M2" s="100"/>
      <c r="N2" s="100"/>
      <c r="O2" s="100"/>
      <c r="P2" s="100"/>
      <c r="Q2" s="100"/>
      <c r="R2" s="100"/>
      <c r="S2" s="100"/>
      <c r="T2" s="101" t="s">
        <v>522</v>
      </c>
    </row>
    <row r="3" spans="1:20" ht="15">
      <c r="A3" s="100" t="str">
        <f>'Form 42 -1A'!A3:I3</f>
        <v>Calculation of the Final True-up Amount</v>
      </c>
      <c r="B3" s="102"/>
      <c r="C3" s="102"/>
      <c r="D3" s="102"/>
      <c r="E3" s="102"/>
      <c r="F3" s="102"/>
      <c r="G3" s="102"/>
      <c r="H3" s="102"/>
      <c r="I3" s="98"/>
      <c r="J3" s="98"/>
      <c r="K3" s="98"/>
      <c r="L3" s="98"/>
      <c r="M3" s="98"/>
      <c r="N3" s="98"/>
      <c r="O3" s="98"/>
      <c r="P3" s="98"/>
      <c r="Q3" s="98"/>
      <c r="R3" s="98"/>
      <c r="S3" s="98"/>
      <c r="T3" s="101"/>
    </row>
    <row r="4" spans="1:19" ht="15.75">
      <c r="A4" s="11" t="str">
        <f>'Form 42 -1A'!A4</f>
        <v>January 2003 through December 2003</v>
      </c>
      <c r="B4" s="98"/>
      <c r="C4" s="98"/>
      <c r="D4" s="98"/>
      <c r="E4" s="98"/>
      <c r="F4" s="98"/>
      <c r="G4" s="98"/>
      <c r="H4" s="98"/>
      <c r="I4" s="98"/>
      <c r="J4" s="98"/>
      <c r="K4" s="98"/>
      <c r="L4" s="98"/>
      <c r="M4" s="98"/>
      <c r="N4" s="98"/>
      <c r="O4" s="98"/>
      <c r="P4" s="98"/>
      <c r="Q4" s="98"/>
      <c r="R4" s="98"/>
      <c r="S4" s="98"/>
    </row>
    <row r="5" spans="1:20" ht="15.75">
      <c r="A5" s="103" t="s">
        <v>1</v>
      </c>
      <c r="B5" s="98"/>
      <c r="C5" s="98"/>
      <c r="D5" s="98"/>
      <c r="E5" s="98"/>
      <c r="F5" s="98"/>
      <c r="G5" s="98"/>
      <c r="H5" s="98"/>
      <c r="I5" s="98"/>
      <c r="J5" s="98"/>
      <c r="K5" s="98"/>
      <c r="L5" s="98"/>
      <c r="M5" s="98"/>
      <c r="N5" s="98"/>
      <c r="O5" s="98"/>
      <c r="P5" s="98"/>
      <c r="Q5" s="98"/>
      <c r="R5" s="98"/>
      <c r="S5" s="98"/>
      <c r="T5" s="100"/>
    </row>
    <row r="6" spans="1:19" ht="15">
      <c r="A6" s="104" t="s">
        <v>59</v>
      </c>
      <c r="B6" s="98"/>
      <c r="C6" s="98"/>
      <c r="D6" s="98"/>
      <c r="E6" s="98"/>
      <c r="F6" s="98"/>
      <c r="G6" s="98"/>
      <c r="H6" s="98"/>
      <c r="I6" s="98"/>
      <c r="J6" s="98"/>
      <c r="K6" s="98"/>
      <c r="L6" s="98"/>
      <c r="M6" s="98"/>
      <c r="N6" s="98"/>
      <c r="O6" s="98"/>
      <c r="P6" s="98"/>
      <c r="Q6" s="98"/>
      <c r="R6" s="98"/>
      <c r="S6" s="98"/>
    </row>
    <row r="7" spans="1:19" ht="15">
      <c r="A7" s="98" t="s">
        <v>526</v>
      </c>
      <c r="B7" s="98"/>
      <c r="C7" s="98"/>
      <c r="D7" s="98"/>
      <c r="E7" s="98"/>
      <c r="F7" s="98"/>
      <c r="G7" s="98"/>
      <c r="H7" s="98"/>
      <c r="I7" s="98"/>
      <c r="J7" s="98"/>
      <c r="K7" s="98"/>
      <c r="L7" s="98"/>
      <c r="M7" s="98"/>
      <c r="N7" s="98"/>
      <c r="O7" s="98"/>
      <c r="P7" s="98"/>
      <c r="Q7" s="98"/>
      <c r="R7" s="98"/>
      <c r="S7" s="98"/>
    </row>
    <row r="8" spans="1:21" ht="15.75">
      <c r="A8" s="97" t="s">
        <v>5</v>
      </c>
      <c r="B8" s="98"/>
      <c r="C8" s="98"/>
      <c r="D8" s="98"/>
      <c r="E8" s="98"/>
      <c r="F8" s="98"/>
      <c r="G8" s="98"/>
      <c r="H8" s="98"/>
      <c r="I8" s="98"/>
      <c r="J8" s="98"/>
      <c r="K8" s="98"/>
      <c r="L8" s="98"/>
      <c r="M8" s="98"/>
      <c r="N8" s="98"/>
      <c r="O8" s="98"/>
      <c r="P8" s="98"/>
      <c r="Q8" s="98"/>
      <c r="R8" s="98"/>
      <c r="S8" s="98"/>
      <c r="T8" s="99"/>
      <c r="U8" s="100"/>
    </row>
    <row r="9" ht="15"/>
    <row r="10" spans="1:20" ht="15">
      <c r="A10" s="100"/>
      <c r="T10" s="105" t="s">
        <v>60</v>
      </c>
    </row>
    <row r="11" spans="7:20" ht="15">
      <c r="G11" s="105" t="s">
        <v>61</v>
      </c>
      <c r="H11" s="105" t="s">
        <v>561</v>
      </c>
      <c r="I11" s="105" t="s">
        <v>561</v>
      </c>
      <c r="J11" s="105" t="s">
        <v>561</v>
      </c>
      <c r="K11" s="105" t="s">
        <v>561</v>
      </c>
      <c r="L11" s="105" t="s">
        <v>561</v>
      </c>
      <c r="M11" s="105" t="s">
        <v>561</v>
      </c>
      <c r="N11" s="105" t="s">
        <v>561</v>
      </c>
      <c r="O11" s="105" t="s">
        <v>561</v>
      </c>
      <c r="P11" s="105" t="s">
        <v>561</v>
      </c>
      <c r="Q11" s="105" t="s">
        <v>561</v>
      </c>
      <c r="R11" s="105" t="s">
        <v>561</v>
      </c>
      <c r="S11" s="105" t="s">
        <v>561</v>
      </c>
      <c r="T11" s="105" t="s">
        <v>2</v>
      </c>
    </row>
    <row r="12" spans="1:20" ht="15.75" thickBot="1">
      <c r="A12" s="106" t="s">
        <v>3</v>
      </c>
      <c r="B12" s="100"/>
      <c r="C12" s="106" t="s">
        <v>62</v>
      </c>
      <c r="E12" s="100"/>
      <c r="F12" s="100"/>
      <c r="G12" s="107" t="s">
        <v>63</v>
      </c>
      <c r="H12" s="107" t="str">
        <f>'Form 42 2A'!H10</f>
        <v>January 03</v>
      </c>
      <c r="I12" s="107" t="str">
        <f>'Form 42 2A'!I10</f>
        <v>February 03</v>
      </c>
      <c r="J12" s="107" t="str">
        <f>'Form 42 2A'!J10</f>
        <v>March 03</v>
      </c>
      <c r="K12" s="107" t="str">
        <f>'Form 42 2A'!K10</f>
        <v>April 03</v>
      </c>
      <c r="L12" s="107" t="str">
        <f>'Form 42 2A'!L10</f>
        <v>May 03</v>
      </c>
      <c r="M12" s="107" t="str">
        <f>'Form 42 2A'!M10</f>
        <v>June 03</v>
      </c>
      <c r="N12" s="107" t="str">
        <f>'Form 42 2A'!N10</f>
        <v>July 03</v>
      </c>
      <c r="O12" s="107" t="str">
        <f>'Form 42 2A'!O10</f>
        <v>August 03</v>
      </c>
      <c r="P12" s="107" t="str">
        <f>'Form 42 2A'!P10</f>
        <v>September 03</v>
      </c>
      <c r="Q12" s="107" t="str">
        <f>'Form 42 2A'!Q10</f>
        <v>October 03</v>
      </c>
      <c r="R12" s="107" t="str">
        <f>'Form 42 2A'!R10</f>
        <v>November 03</v>
      </c>
      <c r="S12" s="107" t="str">
        <f>'Form 42 2A'!S10</f>
        <v>December 03</v>
      </c>
      <c r="T12" s="107" t="s">
        <v>8</v>
      </c>
    </row>
    <row r="13" spans="1:4" ht="15">
      <c r="A13" s="108"/>
      <c r="B13" s="108"/>
      <c r="C13" s="108"/>
      <c r="D13" s="109"/>
    </row>
    <row r="14" spans="1:19" ht="15">
      <c r="A14" s="101" t="s">
        <v>35</v>
      </c>
      <c r="B14" s="96" t="s">
        <v>64</v>
      </c>
      <c r="R14" s="105"/>
      <c r="S14" s="105"/>
    </row>
    <row r="15" spans="1:20" ht="15">
      <c r="A15" s="108"/>
      <c r="B15" s="108" t="s">
        <v>65</v>
      </c>
      <c r="C15" s="108"/>
      <c r="D15" s="108"/>
      <c r="E15" s="108"/>
      <c r="F15" s="108"/>
      <c r="G15" s="108"/>
      <c r="H15" s="110">
        <v>0</v>
      </c>
      <c r="I15" s="110">
        <v>0</v>
      </c>
      <c r="J15" s="110">
        <v>0</v>
      </c>
      <c r="K15" s="110">
        <v>0</v>
      </c>
      <c r="L15" s="110">
        <v>0</v>
      </c>
      <c r="M15" s="110">
        <v>0</v>
      </c>
      <c r="N15" s="110">
        <v>0</v>
      </c>
      <c r="O15" s="111">
        <v>0</v>
      </c>
      <c r="P15" s="111">
        <v>0</v>
      </c>
      <c r="Q15" s="111">
        <v>0</v>
      </c>
      <c r="R15" s="111">
        <v>0</v>
      </c>
      <c r="S15" s="111">
        <f>941+216734.64+-25162.5+-57369+-583.51+-162.58+13.2+18.16+330.12+-54185</f>
        <v>80574.53000000003</v>
      </c>
      <c r="T15" s="110"/>
    </row>
    <row r="16" spans="2:19" ht="15">
      <c r="B16" s="96" t="s">
        <v>66</v>
      </c>
      <c r="H16" s="96">
        <v>0</v>
      </c>
      <c r="I16" s="96">
        <v>0</v>
      </c>
      <c r="J16" s="96">
        <v>0</v>
      </c>
      <c r="K16" s="96">
        <v>0</v>
      </c>
      <c r="L16" s="96">
        <v>0</v>
      </c>
      <c r="M16" s="96">
        <v>0</v>
      </c>
      <c r="N16" s="96">
        <v>0</v>
      </c>
      <c r="O16" s="96">
        <v>0</v>
      </c>
      <c r="P16" s="96">
        <v>0</v>
      </c>
      <c r="Q16" s="96">
        <v>0</v>
      </c>
      <c r="R16" s="96">
        <v>0</v>
      </c>
      <c r="S16" s="96">
        <v>0</v>
      </c>
    </row>
    <row r="17" spans="2:19" ht="15">
      <c r="B17" s="96" t="s">
        <v>67</v>
      </c>
      <c r="H17" s="96">
        <v>0</v>
      </c>
      <c r="I17" s="96">
        <v>0</v>
      </c>
      <c r="J17" s="96">
        <v>0</v>
      </c>
      <c r="K17" s="96">
        <v>0</v>
      </c>
      <c r="L17" s="96">
        <v>0</v>
      </c>
      <c r="M17" s="96">
        <v>0</v>
      </c>
      <c r="N17" s="96">
        <v>0</v>
      </c>
      <c r="O17" s="96">
        <v>0</v>
      </c>
      <c r="P17" s="96">
        <v>0</v>
      </c>
      <c r="Q17" s="96">
        <v>0</v>
      </c>
      <c r="R17" s="96">
        <v>0</v>
      </c>
      <c r="S17" s="96">
        <v>0</v>
      </c>
    </row>
    <row r="18" spans="2:19" ht="15">
      <c r="B18" s="96" t="s">
        <v>536</v>
      </c>
      <c r="H18" s="96">
        <v>0</v>
      </c>
      <c r="I18" s="96">
        <v>0</v>
      </c>
      <c r="J18" s="96">
        <v>0</v>
      </c>
      <c r="K18" s="96">
        <v>0</v>
      </c>
      <c r="L18" s="96">
        <v>0</v>
      </c>
      <c r="M18" s="96">
        <v>0</v>
      </c>
      <c r="N18" s="96">
        <v>0</v>
      </c>
      <c r="O18" s="96">
        <v>0</v>
      </c>
      <c r="P18" s="96">
        <v>0</v>
      </c>
      <c r="Q18" s="96">
        <v>0</v>
      </c>
      <c r="R18" s="96">
        <v>0</v>
      </c>
      <c r="S18" s="96">
        <v>0</v>
      </c>
    </row>
    <row r="19" ht="15"/>
    <row r="20" spans="1:19" ht="15">
      <c r="A20" s="99" t="s">
        <v>36</v>
      </c>
      <c r="B20" s="108" t="s">
        <v>537</v>
      </c>
      <c r="C20" s="108"/>
      <c r="D20" s="108"/>
      <c r="E20" s="108"/>
      <c r="F20" s="108"/>
      <c r="G20" s="110">
        <v>0</v>
      </c>
      <c r="H20" s="96">
        <v>0</v>
      </c>
      <c r="I20" s="96">
        <v>0</v>
      </c>
      <c r="J20" s="96">
        <v>0</v>
      </c>
      <c r="K20" s="96">
        <v>0</v>
      </c>
      <c r="L20" s="96">
        <v>0</v>
      </c>
      <c r="M20" s="96">
        <v>0</v>
      </c>
      <c r="N20" s="96">
        <v>0</v>
      </c>
      <c r="O20" s="96">
        <v>0</v>
      </c>
      <c r="P20" s="96">
        <v>0</v>
      </c>
      <c r="Q20" s="96">
        <v>0</v>
      </c>
      <c r="R20" s="96">
        <v>0</v>
      </c>
      <c r="S20" s="96">
        <v>0</v>
      </c>
    </row>
    <row r="21" spans="1:19" ht="15">
      <c r="A21" s="101" t="s">
        <v>38</v>
      </c>
      <c r="B21" s="108" t="s">
        <v>549</v>
      </c>
      <c r="G21" s="96">
        <v>0</v>
      </c>
      <c r="H21" s="96">
        <v>0</v>
      </c>
      <c r="I21" s="96">
        <v>0</v>
      </c>
      <c r="J21" s="96">
        <v>0</v>
      </c>
      <c r="K21" s="96">
        <v>0</v>
      </c>
      <c r="L21" s="96">
        <v>0</v>
      </c>
      <c r="M21" s="96">
        <v>0</v>
      </c>
      <c r="N21" s="96">
        <v>0</v>
      </c>
      <c r="O21" s="96">
        <v>0</v>
      </c>
      <c r="P21" s="96">
        <v>0</v>
      </c>
      <c r="Q21" s="96">
        <v>0</v>
      </c>
      <c r="R21" s="96">
        <v>0</v>
      </c>
      <c r="S21" s="96">
        <v>0</v>
      </c>
    </row>
    <row r="22" spans="1:19" ht="15">
      <c r="A22" s="99" t="s">
        <v>39</v>
      </c>
      <c r="B22" s="108" t="s">
        <v>71</v>
      </c>
      <c r="C22" s="108"/>
      <c r="D22" s="108"/>
      <c r="E22" s="108"/>
      <c r="F22" s="108"/>
      <c r="G22" s="113">
        <v>0</v>
      </c>
      <c r="H22" s="113">
        <v>0</v>
      </c>
      <c r="I22" s="113">
        <v>0</v>
      </c>
      <c r="J22" s="113">
        <v>0</v>
      </c>
      <c r="K22" s="113">
        <v>0</v>
      </c>
      <c r="L22" s="113">
        <v>0</v>
      </c>
      <c r="M22" s="113">
        <v>0</v>
      </c>
      <c r="N22" s="113">
        <v>0</v>
      </c>
      <c r="O22" s="141">
        <f>O15</f>
        <v>0</v>
      </c>
      <c r="P22" s="141">
        <f>O22+P15</f>
        <v>0</v>
      </c>
      <c r="Q22" s="141">
        <f>P22+Q15</f>
        <v>0</v>
      </c>
      <c r="R22" s="141">
        <f>Q22+R15</f>
        <v>0</v>
      </c>
      <c r="S22" s="141">
        <f>R22+S15</f>
        <v>80574.53000000003</v>
      </c>
    </row>
    <row r="23" spans="1:20" ht="15">
      <c r="A23" s="99" t="s">
        <v>40</v>
      </c>
      <c r="B23" s="108" t="s">
        <v>543</v>
      </c>
      <c r="C23" s="108"/>
      <c r="D23" s="108"/>
      <c r="E23" s="108"/>
      <c r="F23" s="108"/>
      <c r="G23" s="114">
        <f aca="true" t="shared" si="0" ref="G23:S23">G20+G21+G22</f>
        <v>0</v>
      </c>
      <c r="H23" s="115">
        <f t="shared" si="0"/>
        <v>0</v>
      </c>
      <c r="I23" s="115">
        <f t="shared" si="0"/>
        <v>0</v>
      </c>
      <c r="J23" s="115">
        <f t="shared" si="0"/>
        <v>0</v>
      </c>
      <c r="K23" s="115">
        <f t="shared" si="0"/>
        <v>0</v>
      </c>
      <c r="L23" s="115">
        <f t="shared" si="0"/>
        <v>0</v>
      </c>
      <c r="M23" s="115">
        <f t="shared" si="0"/>
        <v>0</v>
      </c>
      <c r="N23" s="115">
        <f t="shared" si="0"/>
        <v>0</v>
      </c>
      <c r="O23" s="115">
        <f t="shared" si="0"/>
        <v>0</v>
      </c>
      <c r="P23" s="115">
        <f t="shared" si="0"/>
        <v>0</v>
      </c>
      <c r="Q23" s="115">
        <f t="shared" si="0"/>
        <v>0</v>
      </c>
      <c r="R23" s="115">
        <f t="shared" si="0"/>
        <v>0</v>
      </c>
      <c r="S23" s="115">
        <f t="shared" si="0"/>
        <v>80574.53000000003</v>
      </c>
      <c r="T23" s="116"/>
    </row>
    <row r="24" ht="15"/>
    <row r="25" spans="1:19" ht="15">
      <c r="A25" s="101" t="s">
        <v>42</v>
      </c>
      <c r="B25" s="96" t="s">
        <v>73</v>
      </c>
      <c r="H25" s="96">
        <f aca="true" t="shared" si="1" ref="H25:S25">ROUND((+G23+H23)/2,0)</f>
        <v>0</v>
      </c>
      <c r="I25" s="96">
        <f t="shared" si="1"/>
        <v>0</v>
      </c>
      <c r="J25" s="96">
        <f t="shared" si="1"/>
        <v>0</v>
      </c>
      <c r="K25" s="96">
        <f t="shared" si="1"/>
        <v>0</v>
      </c>
      <c r="L25" s="96">
        <f t="shared" si="1"/>
        <v>0</v>
      </c>
      <c r="M25" s="96">
        <f t="shared" si="1"/>
        <v>0</v>
      </c>
      <c r="N25" s="96">
        <f t="shared" si="1"/>
        <v>0</v>
      </c>
      <c r="O25" s="96">
        <f t="shared" si="1"/>
        <v>0</v>
      </c>
      <c r="P25" s="96">
        <f t="shared" si="1"/>
        <v>0</v>
      </c>
      <c r="Q25" s="96">
        <f t="shared" si="1"/>
        <v>0</v>
      </c>
      <c r="R25" s="96">
        <f t="shared" si="1"/>
        <v>0</v>
      </c>
      <c r="S25" s="96">
        <f t="shared" si="1"/>
        <v>40287</v>
      </c>
    </row>
    <row r="26" ht="15"/>
    <row r="27" spans="1:2" ht="15">
      <c r="A27" s="101" t="s">
        <v>43</v>
      </c>
      <c r="B27" s="96" t="s">
        <v>74</v>
      </c>
    </row>
    <row r="28" spans="1:20" ht="15">
      <c r="A28" s="108"/>
      <c r="B28" s="96" t="s">
        <v>538</v>
      </c>
      <c r="C28" s="108"/>
      <c r="D28" s="108"/>
      <c r="E28" s="108"/>
      <c r="F28" s="129">
        <v>0.1075</v>
      </c>
      <c r="G28" s="108"/>
      <c r="H28" s="108">
        <f>H25*$F$28/12</f>
        <v>0</v>
      </c>
      <c r="I28" s="108">
        <f aca="true" t="shared" si="2" ref="I28:S28">I25*$F$28/12</f>
        <v>0</v>
      </c>
      <c r="J28" s="108">
        <f t="shared" si="2"/>
        <v>0</v>
      </c>
      <c r="K28" s="108">
        <f t="shared" si="2"/>
        <v>0</v>
      </c>
      <c r="L28" s="108">
        <f t="shared" si="2"/>
        <v>0</v>
      </c>
      <c r="M28" s="108">
        <f t="shared" si="2"/>
        <v>0</v>
      </c>
      <c r="N28" s="108">
        <f t="shared" si="2"/>
        <v>0</v>
      </c>
      <c r="O28" s="108">
        <f t="shared" si="2"/>
        <v>0</v>
      </c>
      <c r="P28" s="108">
        <f t="shared" si="2"/>
        <v>0</v>
      </c>
      <c r="Q28" s="108">
        <f t="shared" si="2"/>
        <v>0</v>
      </c>
      <c r="R28" s="108">
        <f t="shared" si="2"/>
        <v>0</v>
      </c>
      <c r="S28" s="108">
        <f t="shared" si="2"/>
        <v>360.904375</v>
      </c>
      <c r="T28" s="110">
        <f>SUM(H28:S28)</f>
        <v>360.904375</v>
      </c>
    </row>
    <row r="29" spans="2:20" ht="15">
      <c r="B29" s="96" t="s">
        <v>565</v>
      </c>
      <c r="F29" s="130">
        <v>0.0257</v>
      </c>
      <c r="H29" s="108">
        <f>H25*$F$29/12</f>
        <v>0</v>
      </c>
      <c r="I29" s="108">
        <f aca="true" t="shared" si="3" ref="I29:S29">I25*$F$29/12</f>
        <v>0</v>
      </c>
      <c r="J29" s="108">
        <f t="shared" si="3"/>
        <v>0</v>
      </c>
      <c r="K29" s="108">
        <f t="shared" si="3"/>
        <v>0</v>
      </c>
      <c r="L29" s="108">
        <f t="shared" si="3"/>
        <v>0</v>
      </c>
      <c r="M29" s="108">
        <f t="shared" si="3"/>
        <v>0</v>
      </c>
      <c r="N29" s="108">
        <f t="shared" si="3"/>
        <v>0</v>
      </c>
      <c r="O29" s="108">
        <f t="shared" si="3"/>
        <v>0</v>
      </c>
      <c r="P29" s="108">
        <f t="shared" si="3"/>
        <v>0</v>
      </c>
      <c r="Q29" s="108">
        <f t="shared" si="3"/>
        <v>0</v>
      </c>
      <c r="R29" s="108">
        <f t="shared" si="3"/>
        <v>0</v>
      </c>
      <c r="S29" s="108">
        <f t="shared" si="3"/>
        <v>86.281325</v>
      </c>
      <c r="T29" s="96">
        <f>SUM(H29:S29)</f>
        <v>86.281325</v>
      </c>
    </row>
    <row r="30" ht="15"/>
    <row r="31" spans="1:2" ht="15">
      <c r="A31" s="101" t="s">
        <v>44</v>
      </c>
      <c r="B31" s="96" t="s">
        <v>77</v>
      </c>
    </row>
    <row r="32" spans="2:20" ht="15">
      <c r="B32" s="76" t="s">
        <v>574</v>
      </c>
      <c r="C32" s="76"/>
      <c r="D32" s="128">
        <v>0.057</v>
      </c>
      <c r="E32" s="76"/>
      <c r="H32" s="96">
        <f>H20*$D$32/12</f>
        <v>0</v>
      </c>
      <c r="I32" s="96">
        <f aca="true" t="shared" si="4" ref="I32:S32">I20*$D$32/12</f>
        <v>0</v>
      </c>
      <c r="J32" s="96">
        <f t="shared" si="4"/>
        <v>0</v>
      </c>
      <c r="K32" s="96">
        <f t="shared" si="4"/>
        <v>0</v>
      </c>
      <c r="L32" s="96">
        <f t="shared" si="4"/>
        <v>0</v>
      </c>
      <c r="M32" s="96">
        <f t="shared" si="4"/>
        <v>0</v>
      </c>
      <c r="N32" s="96">
        <f t="shared" si="4"/>
        <v>0</v>
      </c>
      <c r="O32" s="96">
        <f t="shared" si="4"/>
        <v>0</v>
      </c>
      <c r="P32" s="96">
        <f t="shared" si="4"/>
        <v>0</v>
      </c>
      <c r="Q32" s="96">
        <f t="shared" si="4"/>
        <v>0</v>
      </c>
      <c r="R32" s="96">
        <f t="shared" si="4"/>
        <v>0</v>
      </c>
      <c r="S32" s="96">
        <f t="shared" si="4"/>
        <v>0</v>
      </c>
      <c r="T32" s="96">
        <f>SUM(H32:S32)</f>
        <v>0</v>
      </c>
    </row>
    <row r="33" spans="2:20" ht="15">
      <c r="B33" s="96" t="s">
        <v>539</v>
      </c>
      <c r="H33" s="96">
        <v>0</v>
      </c>
      <c r="I33" s="96">
        <v>0</v>
      </c>
      <c r="J33" s="96">
        <v>0</v>
      </c>
      <c r="K33" s="96">
        <v>0</v>
      </c>
      <c r="L33" s="96">
        <v>0</v>
      </c>
      <c r="M33" s="96">
        <v>0</v>
      </c>
      <c r="N33" s="96">
        <v>0</v>
      </c>
      <c r="O33" s="96">
        <v>0</v>
      </c>
      <c r="P33" s="96">
        <v>0</v>
      </c>
      <c r="Q33" s="96">
        <v>0</v>
      </c>
      <c r="R33" s="96">
        <v>0</v>
      </c>
      <c r="S33" s="96">
        <v>0</v>
      </c>
      <c r="T33" s="96">
        <f>SUM(H33:S33)</f>
        <v>0</v>
      </c>
    </row>
    <row r="34" spans="2:20" ht="15">
      <c r="B34" s="96" t="s">
        <v>80</v>
      </c>
      <c r="H34" s="105" t="s">
        <v>491</v>
      </c>
      <c r="I34" s="105" t="s">
        <v>491</v>
      </c>
      <c r="J34" s="105" t="s">
        <v>491</v>
      </c>
      <c r="K34" s="105" t="s">
        <v>491</v>
      </c>
      <c r="L34" s="105" t="s">
        <v>491</v>
      </c>
      <c r="M34" s="105" t="s">
        <v>491</v>
      </c>
      <c r="N34" s="105" t="s">
        <v>491</v>
      </c>
      <c r="O34" s="105" t="s">
        <v>491</v>
      </c>
      <c r="P34" s="105" t="s">
        <v>491</v>
      </c>
      <c r="Q34" s="105" t="s">
        <v>491</v>
      </c>
      <c r="R34" s="105" t="s">
        <v>491</v>
      </c>
      <c r="S34" s="105" t="s">
        <v>491</v>
      </c>
      <c r="T34" s="105" t="s">
        <v>491</v>
      </c>
    </row>
    <row r="35" spans="2:20" ht="15">
      <c r="B35" s="96" t="s">
        <v>547</v>
      </c>
      <c r="H35" s="108">
        <f aca="true" t="shared" si="5" ref="H35:Q35">(H20+H21)*0.0183381/12</f>
        <v>0</v>
      </c>
      <c r="I35" s="108">
        <f t="shared" si="5"/>
        <v>0</v>
      </c>
      <c r="J35" s="108">
        <f t="shared" si="5"/>
        <v>0</v>
      </c>
      <c r="K35" s="108">
        <f t="shared" si="5"/>
        <v>0</v>
      </c>
      <c r="L35" s="108">
        <f t="shared" si="5"/>
        <v>0</v>
      </c>
      <c r="M35" s="108">
        <f t="shared" si="5"/>
        <v>0</v>
      </c>
      <c r="N35" s="108">
        <f t="shared" si="5"/>
        <v>0</v>
      </c>
      <c r="O35" s="108">
        <f t="shared" si="5"/>
        <v>0</v>
      </c>
      <c r="P35" s="108">
        <f t="shared" si="5"/>
        <v>0</v>
      </c>
      <c r="Q35" s="108">
        <f t="shared" si="5"/>
        <v>0</v>
      </c>
      <c r="R35" s="108">
        <f>(R20+R21)*0.0183381/12</f>
        <v>0</v>
      </c>
      <c r="S35" s="108">
        <f>(S20+S21)*0.0183381/12</f>
        <v>0</v>
      </c>
      <c r="T35" s="96">
        <f>SUM(H35:S35)</f>
        <v>0</v>
      </c>
    </row>
    <row r="36" spans="1:20" ht="15">
      <c r="A36" s="108"/>
      <c r="B36" s="108" t="s">
        <v>540</v>
      </c>
      <c r="C36" s="108"/>
      <c r="D36" s="108"/>
      <c r="E36" s="108"/>
      <c r="F36" s="108"/>
      <c r="G36" s="108"/>
      <c r="H36" s="113">
        <v>0</v>
      </c>
      <c r="I36" s="113">
        <v>0</v>
      </c>
      <c r="J36" s="113">
        <v>0</v>
      </c>
      <c r="K36" s="113">
        <v>0</v>
      </c>
      <c r="L36" s="113">
        <v>0</v>
      </c>
      <c r="M36" s="113">
        <v>0</v>
      </c>
      <c r="N36" s="113">
        <v>0</v>
      </c>
      <c r="O36" s="113">
        <v>0</v>
      </c>
      <c r="P36" s="113">
        <v>0</v>
      </c>
      <c r="Q36" s="113">
        <v>0</v>
      </c>
      <c r="R36" s="113">
        <v>0</v>
      </c>
      <c r="S36" s="113">
        <v>0</v>
      </c>
      <c r="T36" s="113">
        <f>SUM(H36:S36)</f>
        <v>0</v>
      </c>
    </row>
    <row r="37" ht="15"/>
    <row r="38" spans="1:20" ht="15">
      <c r="A38" s="101" t="s">
        <v>45</v>
      </c>
      <c r="B38" s="96" t="s">
        <v>83</v>
      </c>
      <c r="H38" s="96">
        <f aca="true" t="shared" si="6" ref="H38:S38">ROUND(+H28+H29+H32+H33+H34+H35+H36,0)</f>
        <v>0</v>
      </c>
      <c r="I38" s="96">
        <f t="shared" si="6"/>
        <v>0</v>
      </c>
      <c r="J38" s="96">
        <f t="shared" si="6"/>
        <v>0</v>
      </c>
      <c r="K38" s="96">
        <f t="shared" si="6"/>
        <v>0</v>
      </c>
      <c r="L38" s="96">
        <f t="shared" si="6"/>
        <v>0</v>
      </c>
      <c r="M38" s="96">
        <f t="shared" si="6"/>
        <v>0</v>
      </c>
      <c r="N38" s="96">
        <f t="shared" si="6"/>
        <v>0</v>
      </c>
      <c r="O38" s="96">
        <f t="shared" si="6"/>
        <v>0</v>
      </c>
      <c r="P38" s="96">
        <f t="shared" si="6"/>
        <v>0</v>
      </c>
      <c r="Q38" s="96">
        <f t="shared" si="6"/>
        <v>0</v>
      </c>
      <c r="R38" s="96">
        <f t="shared" si="6"/>
        <v>0</v>
      </c>
      <c r="S38" s="96">
        <f t="shared" si="6"/>
        <v>447</v>
      </c>
      <c r="T38" s="96">
        <f>SUM(H38:S38)</f>
        <v>447</v>
      </c>
    </row>
    <row r="39" spans="2:20" ht="15">
      <c r="B39" s="96" t="s">
        <v>84</v>
      </c>
      <c r="H39" s="96">
        <f aca="true" t="shared" si="7" ref="H39:S39">ROUND(+H38*0,0)</f>
        <v>0</v>
      </c>
      <c r="I39" s="96">
        <f t="shared" si="7"/>
        <v>0</v>
      </c>
      <c r="J39" s="96">
        <f t="shared" si="7"/>
        <v>0</v>
      </c>
      <c r="K39" s="96">
        <f t="shared" si="7"/>
        <v>0</v>
      </c>
      <c r="L39" s="96">
        <f t="shared" si="7"/>
        <v>0</v>
      </c>
      <c r="M39" s="96">
        <f t="shared" si="7"/>
        <v>0</v>
      </c>
      <c r="N39" s="96">
        <f t="shared" si="7"/>
        <v>0</v>
      </c>
      <c r="O39" s="96">
        <f t="shared" si="7"/>
        <v>0</v>
      </c>
      <c r="P39" s="96">
        <f t="shared" si="7"/>
        <v>0</v>
      </c>
      <c r="Q39" s="96">
        <f t="shared" si="7"/>
        <v>0</v>
      </c>
      <c r="R39" s="96">
        <f t="shared" si="7"/>
        <v>0</v>
      </c>
      <c r="S39" s="96">
        <f t="shared" si="7"/>
        <v>0</v>
      </c>
      <c r="T39" s="96">
        <f>SUM(H39:S39)</f>
        <v>0</v>
      </c>
    </row>
    <row r="40" spans="2:20" ht="15">
      <c r="B40" s="96" t="s">
        <v>85</v>
      </c>
      <c r="H40" s="96">
        <f aca="true" t="shared" si="8" ref="H40:S40">ROUND(+H38*1,0)</f>
        <v>0</v>
      </c>
      <c r="I40" s="96">
        <f t="shared" si="8"/>
        <v>0</v>
      </c>
      <c r="J40" s="96">
        <f t="shared" si="8"/>
        <v>0</v>
      </c>
      <c r="K40" s="96">
        <f t="shared" si="8"/>
        <v>0</v>
      </c>
      <c r="L40" s="96">
        <f t="shared" si="8"/>
        <v>0</v>
      </c>
      <c r="M40" s="96">
        <f t="shared" si="8"/>
        <v>0</v>
      </c>
      <c r="N40" s="96">
        <f t="shared" si="8"/>
        <v>0</v>
      </c>
      <c r="O40" s="96">
        <f t="shared" si="8"/>
        <v>0</v>
      </c>
      <c r="P40" s="96">
        <f t="shared" si="8"/>
        <v>0</v>
      </c>
      <c r="Q40" s="96">
        <f t="shared" si="8"/>
        <v>0</v>
      </c>
      <c r="R40" s="96">
        <f t="shared" si="8"/>
        <v>0</v>
      </c>
      <c r="S40" s="96">
        <f t="shared" si="8"/>
        <v>447</v>
      </c>
      <c r="T40" s="96">
        <f>SUM(H40:S40)</f>
        <v>447</v>
      </c>
    </row>
    <row r="41" ht="15"/>
    <row r="42" spans="1:20" ht="15">
      <c r="A42" s="99" t="s">
        <v>86</v>
      </c>
      <c r="B42" s="108" t="s">
        <v>87</v>
      </c>
      <c r="C42" s="108"/>
      <c r="D42" s="108"/>
      <c r="E42" s="108"/>
      <c r="F42" s="108"/>
      <c r="G42" s="118"/>
      <c r="H42" s="119" t="s">
        <v>491</v>
      </c>
      <c r="I42" s="119" t="s">
        <v>491</v>
      </c>
      <c r="J42" s="119" t="s">
        <v>491</v>
      </c>
      <c r="K42" s="119" t="s">
        <v>491</v>
      </c>
      <c r="L42" s="119" t="s">
        <v>491</v>
      </c>
      <c r="M42" s="119" t="s">
        <v>491</v>
      </c>
      <c r="N42" s="119" t="s">
        <v>491</v>
      </c>
      <c r="O42" s="119" t="s">
        <v>491</v>
      </c>
      <c r="P42" s="119" t="s">
        <v>491</v>
      </c>
      <c r="Q42" s="119" t="s">
        <v>491</v>
      </c>
      <c r="R42" s="119" t="s">
        <v>491</v>
      </c>
      <c r="S42" s="119" t="s">
        <v>491</v>
      </c>
      <c r="T42" s="118"/>
    </row>
    <row r="43" spans="1:20" ht="15">
      <c r="A43" s="99" t="s">
        <v>88</v>
      </c>
      <c r="B43" s="108" t="s">
        <v>492</v>
      </c>
      <c r="C43" s="108"/>
      <c r="D43" s="108"/>
      <c r="E43" s="108"/>
      <c r="F43" s="108"/>
      <c r="G43" s="118"/>
      <c r="H43" s="118">
        <v>0</v>
      </c>
      <c r="I43" s="118">
        <v>0</v>
      </c>
      <c r="J43" s="118">
        <v>0</v>
      </c>
      <c r="K43" s="118">
        <v>0</v>
      </c>
      <c r="L43" s="118">
        <v>0</v>
      </c>
      <c r="M43" s="118">
        <v>0</v>
      </c>
      <c r="N43" s="118">
        <v>0</v>
      </c>
      <c r="O43" s="118">
        <v>0</v>
      </c>
      <c r="P43" s="118">
        <v>0</v>
      </c>
      <c r="Q43" s="120">
        <v>0.74562</v>
      </c>
      <c r="R43" s="120">
        <v>0.74562</v>
      </c>
      <c r="S43" s="120">
        <v>0.74562</v>
      </c>
      <c r="T43" s="118"/>
    </row>
    <row r="45" spans="1:20" ht="15">
      <c r="A45" s="101" t="s">
        <v>90</v>
      </c>
      <c r="B45" s="96" t="s">
        <v>541</v>
      </c>
      <c r="H45" s="96">
        <f aca="true" t="shared" si="9" ref="H45:S45">ROUND((+H39*H42),0)</f>
        <v>0</v>
      </c>
      <c r="I45" s="96">
        <f t="shared" si="9"/>
        <v>0</v>
      </c>
      <c r="J45" s="96">
        <f t="shared" si="9"/>
        <v>0</v>
      </c>
      <c r="K45" s="96">
        <f t="shared" si="9"/>
        <v>0</v>
      </c>
      <c r="L45" s="96">
        <f t="shared" si="9"/>
        <v>0</v>
      </c>
      <c r="M45" s="96">
        <f t="shared" si="9"/>
        <v>0</v>
      </c>
      <c r="N45" s="96">
        <f t="shared" si="9"/>
        <v>0</v>
      </c>
      <c r="O45" s="96">
        <f t="shared" si="9"/>
        <v>0</v>
      </c>
      <c r="P45" s="96">
        <f t="shared" si="9"/>
        <v>0</v>
      </c>
      <c r="Q45" s="96">
        <f t="shared" si="9"/>
        <v>0</v>
      </c>
      <c r="R45" s="96">
        <f t="shared" si="9"/>
        <v>0</v>
      </c>
      <c r="S45" s="96">
        <f t="shared" si="9"/>
        <v>0</v>
      </c>
      <c r="T45" s="96">
        <f>SUM(H45:S45)</f>
        <v>0</v>
      </c>
    </row>
    <row r="46" spans="1:20" ht="15">
      <c r="A46" s="99" t="s">
        <v>92</v>
      </c>
      <c r="B46" s="108" t="s">
        <v>542</v>
      </c>
      <c r="C46" s="108"/>
      <c r="D46" s="108"/>
      <c r="E46" s="108"/>
      <c r="F46" s="108"/>
      <c r="G46" s="108"/>
      <c r="H46" s="113">
        <f aca="true" t="shared" si="10" ref="H46:S46">(+H40*H43)</f>
        <v>0</v>
      </c>
      <c r="I46" s="113">
        <f t="shared" si="10"/>
        <v>0</v>
      </c>
      <c r="J46" s="113">
        <f t="shared" si="10"/>
        <v>0</v>
      </c>
      <c r="K46" s="113">
        <f t="shared" si="10"/>
        <v>0</v>
      </c>
      <c r="L46" s="113">
        <f t="shared" si="10"/>
        <v>0</v>
      </c>
      <c r="M46" s="113">
        <f t="shared" si="10"/>
        <v>0</v>
      </c>
      <c r="N46" s="113">
        <f t="shared" si="10"/>
        <v>0</v>
      </c>
      <c r="O46" s="113">
        <f t="shared" si="10"/>
        <v>0</v>
      </c>
      <c r="P46" s="113">
        <f t="shared" si="10"/>
        <v>0</v>
      </c>
      <c r="Q46" s="113">
        <f t="shared" si="10"/>
        <v>0</v>
      </c>
      <c r="R46" s="113">
        <f t="shared" si="10"/>
        <v>0</v>
      </c>
      <c r="S46" s="113">
        <f t="shared" si="10"/>
        <v>333.29213999999996</v>
      </c>
      <c r="T46" s="113">
        <f>SUM(H46:S46)</f>
        <v>333.29213999999996</v>
      </c>
    </row>
    <row r="47" spans="1:20" ht="15.75" thickBot="1">
      <c r="A47" s="99" t="s">
        <v>94</v>
      </c>
      <c r="B47" s="108" t="s">
        <v>95</v>
      </c>
      <c r="C47" s="108"/>
      <c r="D47" s="108"/>
      <c r="E47" s="108"/>
      <c r="F47" s="108"/>
      <c r="G47" s="108"/>
      <c r="H47" s="121">
        <f aca="true" t="shared" si="11" ref="H47:S47">H45+H46</f>
        <v>0</v>
      </c>
      <c r="I47" s="121">
        <f t="shared" si="11"/>
        <v>0</v>
      </c>
      <c r="J47" s="121">
        <f t="shared" si="11"/>
        <v>0</v>
      </c>
      <c r="K47" s="121">
        <f t="shared" si="11"/>
        <v>0</v>
      </c>
      <c r="L47" s="121">
        <f t="shared" si="11"/>
        <v>0</v>
      </c>
      <c r="M47" s="121">
        <f t="shared" si="11"/>
        <v>0</v>
      </c>
      <c r="N47" s="121">
        <f t="shared" si="11"/>
        <v>0</v>
      </c>
      <c r="O47" s="121">
        <f t="shared" si="11"/>
        <v>0</v>
      </c>
      <c r="P47" s="121">
        <f t="shared" si="11"/>
        <v>0</v>
      </c>
      <c r="Q47" s="121">
        <f t="shared" si="11"/>
        <v>0</v>
      </c>
      <c r="R47" s="121">
        <f t="shared" si="11"/>
        <v>0</v>
      </c>
      <c r="S47" s="121">
        <f t="shared" si="11"/>
        <v>333.29213999999996</v>
      </c>
      <c r="T47" s="121">
        <f>SUM(T45:T46)</f>
        <v>333.29213999999996</v>
      </c>
    </row>
    <row r="49" ht="15">
      <c r="A49" s="122" t="s">
        <v>31</v>
      </c>
    </row>
    <row r="50" spans="1:2" ht="15">
      <c r="A50" s="101" t="s">
        <v>96</v>
      </c>
      <c r="B50" s="96" t="s">
        <v>594</v>
      </c>
    </row>
    <row r="51" spans="1:2" ht="15">
      <c r="A51" s="101" t="s">
        <v>98</v>
      </c>
      <c r="B51" s="96" t="s">
        <v>595</v>
      </c>
    </row>
    <row r="52" spans="1:2" ht="15">
      <c r="A52" s="101" t="s">
        <v>100</v>
      </c>
      <c r="B52" s="96" t="s">
        <v>554</v>
      </c>
    </row>
    <row r="53" spans="1:2" ht="15">
      <c r="A53" s="123" t="s">
        <v>109</v>
      </c>
      <c r="B53" s="96" t="s">
        <v>564</v>
      </c>
    </row>
    <row r="54" spans="1:2" ht="15">
      <c r="A54" s="123" t="s">
        <v>531</v>
      </c>
      <c r="B54" s="96" t="s">
        <v>562</v>
      </c>
    </row>
    <row r="55" spans="1:2" ht="15">
      <c r="A55" s="124" t="s">
        <v>532</v>
      </c>
      <c r="B55" s="125" t="s">
        <v>557</v>
      </c>
    </row>
    <row r="56" spans="1:2" ht="15">
      <c r="A56" s="123" t="s">
        <v>533</v>
      </c>
      <c r="B56" s="96" t="s">
        <v>596</v>
      </c>
    </row>
    <row r="57" spans="1:2" ht="15">
      <c r="A57" s="123" t="s">
        <v>534</v>
      </c>
      <c r="B57" s="96" t="s">
        <v>545</v>
      </c>
    </row>
    <row r="58" spans="1:2" ht="15">
      <c r="A58" s="123" t="s">
        <v>535</v>
      </c>
      <c r="B58" s="96" t="s">
        <v>101</v>
      </c>
    </row>
    <row r="59" spans="1:2" ht="15">
      <c r="A59" s="123" t="s">
        <v>546</v>
      </c>
      <c r="B59" s="96" t="s">
        <v>551</v>
      </c>
    </row>
    <row r="61" ht="15">
      <c r="A61" s="122" t="s">
        <v>528</v>
      </c>
    </row>
    <row r="62" spans="1:2" ht="15">
      <c r="A62" s="105" t="s">
        <v>530</v>
      </c>
      <c r="B62" s="96" t="s">
        <v>529</v>
      </c>
    </row>
    <row r="63" ht="15">
      <c r="A63" s="126"/>
    </row>
    <row r="64" ht="15">
      <c r="A64" s="126"/>
    </row>
    <row r="65" ht="15">
      <c r="A65" s="126"/>
    </row>
    <row r="66" ht="15">
      <c r="A66" s="101"/>
    </row>
    <row r="67" ht="15">
      <c r="A67" s="101"/>
    </row>
  </sheetData>
  <printOptions/>
  <pageMargins left="0" right="0" top="0.75" bottom="0.25" header="0.5" footer="0.5"/>
  <pageSetup horizontalDpi="300" verticalDpi="300" orientation="landscape" scale="43" r:id="rId3"/>
  <headerFooter alignWithMargins="0">
    <oddFooter>&amp;C&amp;R</oddFooter>
  </headerFooter>
  <legacyDrawing r:id="rId2"/>
</worksheet>
</file>

<file path=xl/worksheets/sheet12.xml><?xml version="1.0" encoding="utf-8"?>
<worksheet xmlns="http://schemas.openxmlformats.org/spreadsheetml/2006/main" xmlns:r="http://schemas.openxmlformats.org/officeDocument/2006/relationships">
  <sheetPr codeName="Sheet10" transitionEvaluation="1"/>
  <dimension ref="A1:U101"/>
  <sheetViews>
    <sheetView defaultGridColor="0" zoomScale="75" zoomScaleNormal="75" colorId="22" workbookViewId="0" topLeftCell="A1">
      <selection activeCell="G26" sqref="G26:G27"/>
    </sheetView>
  </sheetViews>
  <sheetFormatPr defaultColWidth="9.77734375" defaultRowHeight="15"/>
  <cols>
    <col min="1" max="1" width="10.77734375" style="96" customWidth="1"/>
    <col min="2" max="6" width="9.77734375" style="96" customWidth="1"/>
    <col min="7" max="12" width="12.77734375" style="96" customWidth="1"/>
    <col min="13" max="16" width="14.3359375" style="96" customWidth="1"/>
    <col min="17" max="23" width="12.77734375" style="96" customWidth="1"/>
    <col min="24" max="16384" width="9.77734375" style="96" customWidth="1"/>
  </cols>
  <sheetData>
    <row r="1" spans="1:21" ht="15.75">
      <c r="A1" s="8" t="str">
        <f>Appendix!A11</f>
        <v>PROGRESS ENERGY FLORIDA, INC.</v>
      </c>
      <c r="B1" s="98"/>
      <c r="C1" s="98"/>
      <c r="D1" s="98"/>
      <c r="E1" s="98"/>
      <c r="F1" s="98"/>
      <c r="G1" s="98"/>
      <c r="H1" s="98"/>
      <c r="I1" s="98"/>
      <c r="J1" s="98"/>
      <c r="K1" s="98"/>
      <c r="L1" s="98"/>
      <c r="M1" s="98"/>
      <c r="N1" s="98"/>
      <c r="O1" s="98"/>
      <c r="P1" s="98"/>
      <c r="Q1" s="98"/>
      <c r="R1" s="98"/>
      <c r="S1" s="98"/>
      <c r="T1" s="99" t="s">
        <v>573</v>
      </c>
      <c r="U1" s="100"/>
    </row>
    <row r="2" spans="1:20" ht="15">
      <c r="A2" s="100" t="s">
        <v>0</v>
      </c>
      <c r="B2" s="100"/>
      <c r="C2" s="100"/>
      <c r="D2" s="100"/>
      <c r="E2" s="100"/>
      <c r="F2" s="100"/>
      <c r="G2" s="100"/>
      <c r="H2" s="100"/>
      <c r="I2" s="100"/>
      <c r="J2" s="100"/>
      <c r="K2" s="100"/>
      <c r="L2" s="100"/>
      <c r="M2" s="100"/>
      <c r="N2" s="100"/>
      <c r="O2" s="100"/>
      <c r="P2" s="100"/>
      <c r="Q2" s="100"/>
      <c r="R2" s="100"/>
      <c r="S2" s="100"/>
      <c r="T2" s="101" t="s">
        <v>523</v>
      </c>
    </row>
    <row r="3" spans="1:20" ht="15">
      <c r="A3" s="100" t="str">
        <f>'Form 42 -1A'!A3:I3</f>
        <v>Calculation of the Final True-up Amount</v>
      </c>
      <c r="B3" s="102"/>
      <c r="C3" s="102"/>
      <c r="D3" s="102"/>
      <c r="E3" s="102"/>
      <c r="F3" s="102"/>
      <c r="G3" s="102"/>
      <c r="H3" s="102"/>
      <c r="I3" s="98"/>
      <c r="J3" s="98"/>
      <c r="K3" s="98"/>
      <c r="L3" s="98"/>
      <c r="M3" s="98"/>
      <c r="N3" s="98"/>
      <c r="O3" s="98"/>
      <c r="P3" s="98"/>
      <c r="Q3" s="98"/>
      <c r="R3" s="98"/>
      <c r="S3" s="98"/>
      <c r="T3" s="101"/>
    </row>
    <row r="4" spans="1:19" ht="15.75">
      <c r="A4" s="11" t="str">
        <f>'Form 42 -1A'!A4</f>
        <v>January 2003 through December 2003</v>
      </c>
      <c r="B4" s="98"/>
      <c r="C4" s="98"/>
      <c r="D4" s="98"/>
      <c r="E4" s="98"/>
      <c r="F4" s="98"/>
      <c r="G4" s="98"/>
      <c r="H4" s="98"/>
      <c r="I4" s="98"/>
      <c r="J4" s="98"/>
      <c r="K4" s="98"/>
      <c r="L4" s="98"/>
      <c r="M4" s="98"/>
      <c r="N4" s="98"/>
      <c r="O4" s="98"/>
      <c r="P4" s="98"/>
      <c r="Q4" s="98"/>
      <c r="R4" s="98"/>
      <c r="S4" s="98"/>
    </row>
    <row r="5" spans="1:20" ht="15.75">
      <c r="A5" s="103" t="s">
        <v>1</v>
      </c>
      <c r="B5" s="98"/>
      <c r="C5" s="98"/>
      <c r="D5" s="98"/>
      <c r="E5" s="98"/>
      <c r="F5" s="98"/>
      <c r="G5" s="98"/>
      <c r="H5" s="98"/>
      <c r="I5" s="98"/>
      <c r="J5" s="98"/>
      <c r="K5" s="98"/>
      <c r="L5" s="98"/>
      <c r="M5" s="98"/>
      <c r="N5" s="98"/>
      <c r="O5" s="98"/>
      <c r="P5" s="98"/>
      <c r="Q5" s="98"/>
      <c r="R5" s="98"/>
      <c r="S5" s="98"/>
      <c r="T5" s="100"/>
    </row>
    <row r="6" spans="1:19" ht="15">
      <c r="A6" s="104" t="s">
        <v>59</v>
      </c>
      <c r="B6" s="98"/>
      <c r="C6" s="98"/>
      <c r="D6" s="98"/>
      <c r="E6" s="98"/>
      <c r="F6" s="98"/>
      <c r="G6" s="98"/>
      <c r="H6" s="98"/>
      <c r="I6" s="98"/>
      <c r="J6" s="98"/>
      <c r="K6" s="98"/>
      <c r="L6" s="98"/>
      <c r="M6" s="98"/>
      <c r="N6" s="98"/>
      <c r="O6" s="98"/>
      <c r="P6" s="98"/>
      <c r="Q6" s="98"/>
      <c r="R6" s="98"/>
      <c r="S6" s="98"/>
    </row>
    <row r="7" spans="1:19" ht="15">
      <c r="A7" s="98" t="s">
        <v>527</v>
      </c>
      <c r="B7" s="98"/>
      <c r="C7" s="98"/>
      <c r="D7" s="98"/>
      <c r="E7" s="98"/>
      <c r="F7" s="98"/>
      <c r="G7" s="98"/>
      <c r="H7" s="98"/>
      <c r="I7" s="98"/>
      <c r="J7" s="98"/>
      <c r="K7" s="98"/>
      <c r="L7" s="98"/>
      <c r="M7" s="98"/>
      <c r="N7" s="98"/>
      <c r="O7" s="98"/>
      <c r="P7" s="98"/>
      <c r="Q7" s="98"/>
      <c r="R7" s="98"/>
      <c r="S7" s="98"/>
    </row>
    <row r="8" spans="1:21" ht="15.75">
      <c r="A8" s="97" t="s">
        <v>5</v>
      </c>
      <c r="B8" s="98"/>
      <c r="C8" s="98"/>
      <c r="D8" s="98"/>
      <c r="E8" s="98"/>
      <c r="F8" s="98"/>
      <c r="G8" s="98"/>
      <c r="H8" s="98"/>
      <c r="I8" s="98"/>
      <c r="J8" s="98"/>
      <c r="K8" s="98"/>
      <c r="L8" s="98"/>
      <c r="M8" s="98"/>
      <c r="N8" s="98"/>
      <c r="O8" s="98"/>
      <c r="P8" s="98"/>
      <c r="Q8" s="98"/>
      <c r="R8" s="98"/>
      <c r="S8" s="98"/>
      <c r="T8" s="99"/>
      <c r="U8" s="100"/>
    </row>
    <row r="9" ht="15"/>
    <row r="10" spans="1:20" ht="15">
      <c r="A10" s="100"/>
      <c r="T10" s="105" t="s">
        <v>60</v>
      </c>
    </row>
    <row r="11" spans="7:20" ht="15">
      <c r="G11" s="105" t="s">
        <v>61</v>
      </c>
      <c r="H11" s="105" t="s">
        <v>561</v>
      </c>
      <c r="I11" s="105" t="s">
        <v>561</v>
      </c>
      <c r="J11" s="105" t="s">
        <v>561</v>
      </c>
      <c r="K11" s="105" t="s">
        <v>561</v>
      </c>
      <c r="L11" s="105" t="s">
        <v>561</v>
      </c>
      <c r="M11" s="105" t="s">
        <v>561</v>
      </c>
      <c r="N11" s="105" t="s">
        <v>561</v>
      </c>
      <c r="O11" s="105" t="s">
        <v>561</v>
      </c>
      <c r="P11" s="105" t="s">
        <v>561</v>
      </c>
      <c r="Q11" s="105" t="s">
        <v>561</v>
      </c>
      <c r="R11" s="105" t="s">
        <v>561</v>
      </c>
      <c r="S11" s="105" t="s">
        <v>561</v>
      </c>
      <c r="T11" s="105" t="s">
        <v>2</v>
      </c>
    </row>
    <row r="12" spans="1:20" ht="15.75" thickBot="1">
      <c r="A12" s="106" t="s">
        <v>3</v>
      </c>
      <c r="B12" s="100"/>
      <c r="C12" s="106" t="s">
        <v>62</v>
      </c>
      <c r="E12" s="100"/>
      <c r="F12" s="100"/>
      <c r="G12" s="107" t="s">
        <v>63</v>
      </c>
      <c r="H12" s="127" t="str">
        <f>'Form 42 2A'!H10</f>
        <v>January 03</v>
      </c>
      <c r="I12" s="127" t="str">
        <f>'Form 42 2A'!I10</f>
        <v>February 03</v>
      </c>
      <c r="J12" s="127" t="str">
        <f>'Form 42 2A'!J10</f>
        <v>March 03</v>
      </c>
      <c r="K12" s="127" t="str">
        <f>'Form 42 2A'!K10</f>
        <v>April 03</v>
      </c>
      <c r="L12" s="127" t="str">
        <f>'Form 42 2A'!L10</f>
        <v>May 03</v>
      </c>
      <c r="M12" s="127" t="str">
        <f>'Form 42 2A'!M10</f>
        <v>June 03</v>
      </c>
      <c r="N12" s="127" t="str">
        <f>'Form 42 2A'!N10</f>
        <v>July 03</v>
      </c>
      <c r="O12" s="127" t="str">
        <f>'Form 42 2A'!O10</f>
        <v>August 03</v>
      </c>
      <c r="P12" s="127" t="str">
        <f>'Form 42 2A'!P10</f>
        <v>September 03</v>
      </c>
      <c r="Q12" s="127" t="str">
        <f>'Form 42 2A'!Q10</f>
        <v>October 03</v>
      </c>
      <c r="R12" s="127" t="str">
        <f>'Form 42 2A'!R10</f>
        <v>November 03</v>
      </c>
      <c r="S12" s="127" t="str">
        <f>'Form 42 2A'!S10</f>
        <v>December 03</v>
      </c>
      <c r="T12" s="127" t="s">
        <v>8</v>
      </c>
    </row>
    <row r="13" ht="15"/>
    <row r="14" spans="1:2" ht="15">
      <c r="A14" s="101" t="s">
        <v>35</v>
      </c>
      <c r="B14" s="96" t="s">
        <v>64</v>
      </c>
    </row>
    <row r="15" spans="1:19" ht="15">
      <c r="A15" s="108"/>
      <c r="B15" s="108" t="s">
        <v>65</v>
      </c>
      <c r="C15" s="108"/>
      <c r="D15" s="108"/>
      <c r="E15" s="108"/>
      <c r="F15" s="108"/>
      <c r="G15" s="108"/>
      <c r="H15" s="110">
        <v>0</v>
      </c>
      <c r="I15" s="110">
        <v>0</v>
      </c>
      <c r="J15" s="110">
        <v>0</v>
      </c>
      <c r="K15" s="110">
        <v>0</v>
      </c>
      <c r="L15" s="110">
        <v>0</v>
      </c>
      <c r="M15" s="110">
        <v>0</v>
      </c>
      <c r="N15" s="110">
        <v>0</v>
      </c>
      <c r="O15" s="111">
        <v>0</v>
      </c>
      <c r="P15" s="111">
        <v>0</v>
      </c>
      <c r="Q15" s="111">
        <v>29469.96</v>
      </c>
      <c r="R15" s="111">
        <v>0</v>
      </c>
      <c r="S15" s="111">
        <v>3249.35</v>
      </c>
    </row>
    <row r="16" spans="2:19" ht="15">
      <c r="B16" s="96" t="s">
        <v>66</v>
      </c>
      <c r="H16" s="96">
        <v>0</v>
      </c>
      <c r="I16" s="96">
        <v>0</v>
      </c>
      <c r="J16" s="96">
        <v>0</v>
      </c>
      <c r="K16" s="96">
        <v>0</v>
      </c>
      <c r="L16" s="96">
        <v>0</v>
      </c>
      <c r="M16" s="96">
        <v>0</v>
      </c>
      <c r="N16" s="96">
        <v>0</v>
      </c>
      <c r="O16" s="96">
        <v>0</v>
      </c>
      <c r="P16" s="96">
        <v>0</v>
      </c>
      <c r="Q16" s="96">
        <v>0</v>
      </c>
      <c r="R16" s="96">
        <v>0</v>
      </c>
      <c r="S16" s="96">
        <v>0</v>
      </c>
    </row>
    <row r="17" spans="2:19" ht="15">
      <c r="B17" s="96" t="s">
        <v>67</v>
      </c>
      <c r="H17" s="96">
        <v>0</v>
      </c>
      <c r="I17" s="96">
        <v>0</v>
      </c>
      <c r="J17" s="96">
        <v>0</v>
      </c>
      <c r="K17" s="96">
        <v>0</v>
      </c>
      <c r="L17" s="96">
        <v>0</v>
      </c>
      <c r="M17" s="96">
        <v>0</v>
      </c>
      <c r="N17" s="96">
        <v>0</v>
      </c>
      <c r="O17" s="96">
        <v>0</v>
      </c>
      <c r="P17" s="96">
        <v>0</v>
      </c>
      <c r="Q17" s="96">
        <v>0</v>
      </c>
      <c r="R17" s="96">
        <v>0</v>
      </c>
      <c r="S17" s="96">
        <v>0</v>
      </c>
    </row>
    <row r="18" spans="2:19" ht="15">
      <c r="B18" s="96" t="s">
        <v>536</v>
      </c>
      <c r="H18" s="96">
        <v>0</v>
      </c>
      <c r="I18" s="96">
        <v>0</v>
      </c>
      <c r="J18" s="96">
        <v>0</v>
      </c>
      <c r="K18" s="96">
        <v>0</v>
      </c>
      <c r="L18" s="96">
        <v>0</v>
      </c>
      <c r="M18" s="96">
        <v>0</v>
      </c>
      <c r="N18" s="96">
        <v>0</v>
      </c>
      <c r="O18" s="96">
        <v>0</v>
      </c>
      <c r="P18" s="96">
        <v>0</v>
      </c>
      <c r="Q18" s="96">
        <v>0</v>
      </c>
      <c r="R18" s="96">
        <v>0</v>
      </c>
      <c r="S18" s="96">
        <v>0</v>
      </c>
    </row>
    <row r="19" ht="15"/>
    <row r="20" spans="1:19" ht="15">
      <c r="A20" s="99" t="s">
        <v>36</v>
      </c>
      <c r="B20" s="108" t="s">
        <v>537</v>
      </c>
      <c r="C20" s="108"/>
      <c r="D20" s="108"/>
      <c r="E20" s="108"/>
      <c r="F20" s="108"/>
      <c r="G20" s="110">
        <v>0</v>
      </c>
      <c r="H20" s="96">
        <v>0</v>
      </c>
      <c r="I20" s="96">
        <v>0</v>
      </c>
      <c r="J20" s="96">
        <v>0</v>
      </c>
      <c r="K20" s="96">
        <v>0</v>
      </c>
      <c r="L20" s="96">
        <v>0</v>
      </c>
      <c r="M20" s="96">
        <v>0</v>
      </c>
      <c r="N20" s="96">
        <v>0</v>
      </c>
      <c r="O20" s="96">
        <v>0</v>
      </c>
      <c r="P20" s="96">
        <v>0</v>
      </c>
      <c r="Q20" s="96">
        <v>0</v>
      </c>
      <c r="R20" s="96">
        <v>0</v>
      </c>
      <c r="S20" s="96">
        <v>0</v>
      </c>
    </row>
    <row r="21" spans="1:19" ht="15">
      <c r="A21" s="101" t="s">
        <v>38</v>
      </c>
      <c r="B21" s="108" t="s">
        <v>549</v>
      </c>
      <c r="G21" s="96">
        <v>0</v>
      </c>
      <c r="H21" s="96">
        <v>0</v>
      </c>
      <c r="I21" s="96">
        <v>0</v>
      </c>
      <c r="J21" s="96">
        <v>0</v>
      </c>
      <c r="K21" s="96">
        <v>0</v>
      </c>
      <c r="L21" s="96">
        <v>0</v>
      </c>
      <c r="M21" s="96">
        <v>0</v>
      </c>
      <c r="N21" s="96">
        <v>0</v>
      </c>
      <c r="O21" s="96">
        <v>0</v>
      </c>
      <c r="P21" s="96">
        <v>0</v>
      </c>
      <c r="Q21" s="96">
        <v>0</v>
      </c>
      <c r="R21" s="96">
        <v>0</v>
      </c>
      <c r="S21" s="96">
        <v>0</v>
      </c>
    </row>
    <row r="22" spans="1:19" ht="15">
      <c r="A22" s="99" t="s">
        <v>39</v>
      </c>
      <c r="B22" s="108" t="s">
        <v>71</v>
      </c>
      <c r="C22" s="108"/>
      <c r="D22" s="108"/>
      <c r="E22" s="108"/>
      <c r="F22" s="108"/>
      <c r="G22" s="113">
        <v>0</v>
      </c>
      <c r="H22" s="113">
        <v>0</v>
      </c>
      <c r="I22" s="113">
        <v>0</v>
      </c>
      <c r="J22" s="113">
        <v>0</v>
      </c>
      <c r="K22" s="113">
        <v>0</v>
      </c>
      <c r="L22" s="113">
        <v>0</v>
      </c>
      <c r="M22" s="113">
        <v>0</v>
      </c>
      <c r="N22" s="113">
        <v>0</v>
      </c>
      <c r="O22" s="141">
        <f>O15</f>
        <v>0</v>
      </c>
      <c r="P22" s="141">
        <f>O22+P15</f>
        <v>0</v>
      </c>
      <c r="Q22" s="141">
        <f>P22+Q15</f>
        <v>29469.96</v>
      </c>
      <c r="R22" s="141">
        <f>Q22+R15</f>
        <v>29469.96</v>
      </c>
      <c r="S22" s="141">
        <f>R22+S15</f>
        <v>32719.309999999998</v>
      </c>
    </row>
    <row r="23" spans="1:19" ht="15">
      <c r="A23" s="99" t="s">
        <v>40</v>
      </c>
      <c r="B23" s="108" t="s">
        <v>543</v>
      </c>
      <c r="C23" s="108"/>
      <c r="D23" s="108"/>
      <c r="E23" s="108"/>
      <c r="F23" s="108"/>
      <c r="G23" s="114">
        <f aca="true" t="shared" si="0" ref="G23:S23">G20+G21+G22</f>
        <v>0</v>
      </c>
      <c r="H23" s="115">
        <f t="shared" si="0"/>
        <v>0</v>
      </c>
      <c r="I23" s="115">
        <f t="shared" si="0"/>
        <v>0</v>
      </c>
      <c r="J23" s="115">
        <f t="shared" si="0"/>
        <v>0</v>
      </c>
      <c r="K23" s="115">
        <f t="shared" si="0"/>
        <v>0</v>
      </c>
      <c r="L23" s="115">
        <f t="shared" si="0"/>
        <v>0</v>
      </c>
      <c r="M23" s="115">
        <f t="shared" si="0"/>
        <v>0</v>
      </c>
      <c r="N23" s="115">
        <f t="shared" si="0"/>
        <v>0</v>
      </c>
      <c r="O23" s="115">
        <f t="shared" si="0"/>
        <v>0</v>
      </c>
      <c r="P23" s="115">
        <f t="shared" si="0"/>
        <v>0</v>
      </c>
      <c r="Q23" s="115">
        <f t="shared" si="0"/>
        <v>29469.96</v>
      </c>
      <c r="R23" s="115">
        <f t="shared" si="0"/>
        <v>29469.96</v>
      </c>
      <c r="S23" s="115">
        <f t="shared" si="0"/>
        <v>32719.309999999998</v>
      </c>
    </row>
    <row r="24" ht="15"/>
    <row r="25" spans="1:19" ht="15">
      <c r="A25" s="101" t="s">
        <v>42</v>
      </c>
      <c r="B25" s="96" t="s">
        <v>73</v>
      </c>
      <c r="H25" s="96">
        <f aca="true" t="shared" si="1" ref="H25:S25">ROUND((+G23+H23)/2,0)</f>
        <v>0</v>
      </c>
      <c r="I25" s="96">
        <f t="shared" si="1"/>
        <v>0</v>
      </c>
      <c r="J25" s="96">
        <f t="shared" si="1"/>
        <v>0</v>
      </c>
      <c r="K25" s="96">
        <f t="shared" si="1"/>
        <v>0</v>
      </c>
      <c r="L25" s="96">
        <f t="shared" si="1"/>
        <v>0</v>
      </c>
      <c r="M25" s="96">
        <f t="shared" si="1"/>
        <v>0</v>
      </c>
      <c r="N25" s="96">
        <f t="shared" si="1"/>
        <v>0</v>
      </c>
      <c r="O25" s="96">
        <f t="shared" si="1"/>
        <v>0</v>
      </c>
      <c r="P25" s="96">
        <f t="shared" si="1"/>
        <v>0</v>
      </c>
      <c r="Q25" s="96">
        <f t="shared" si="1"/>
        <v>14735</v>
      </c>
      <c r="R25" s="96">
        <f t="shared" si="1"/>
        <v>29470</v>
      </c>
      <c r="S25" s="96">
        <f t="shared" si="1"/>
        <v>31095</v>
      </c>
    </row>
    <row r="26" ht="15"/>
    <row r="27" spans="1:2" ht="15">
      <c r="A27" s="101" t="s">
        <v>43</v>
      </c>
      <c r="B27" s="96" t="s">
        <v>74</v>
      </c>
    </row>
    <row r="28" spans="1:20" ht="15">
      <c r="A28" s="108"/>
      <c r="B28" s="96" t="s">
        <v>538</v>
      </c>
      <c r="C28" s="108"/>
      <c r="D28" s="108"/>
      <c r="E28" s="108"/>
      <c r="F28" s="129">
        <v>0.1075</v>
      </c>
      <c r="G28" s="108"/>
      <c r="H28" s="108">
        <f>H25*$F$28/12</f>
        <v>0</v>
      </c>
      <c r="I28" s="108">
        <f aca="true" t="shared" si="2" ref="I28:S28">I25*$F$28/12</f>
        <v>0</v>
      </c>
      <c r="J28" s="108">
        <f t="shared" si="2"/>
        <v>0</v>
      </c>
      <c r="K28" s="108">
        <f t="shared" si="2"/>
        <v>0</v>
      </c>
      <c r="L28" s="131">
        <f t="shared" si="2"/>
        <v>0</v>
      </c>
      <c r="M28" s="131">
        <f t="shared" si="2"/>
        <v>0</v>
      </c>
      <c r="N28" s="131">
        <f t="shared" si="2"/>
        <v>0</v>
      </c>
      <c r="O28" s="108">
        <f t="shared" si="2"/>
        <v>0</v>
      </c>
      <c r="P28" s="108">
        <f t="shared" si="2"/>
        <v>0</v>
      </c>
      <c r="Q28" s="108">
        <f t="shared" si="2"/>
        <v>132.00104166666668</v>
      </c>
      <c r="R28" s="108">
        <f t="shared" si="2"/>
        <v>264.00208333333336</v>
      </c>
      <c r="S28" s="108">
        <f t="shared" si="2"/>
        <v>278.559375</v>
      </c>
      <c r="T28" s="110">
        <f>SUM(H28:S28)</f>
        <v>674.5625</v>
      </c>
    </row>
    <row r="29" spans="2:20" ht="15">
      <c r="B29" s="96" t="s">
        <v>565</v>
      </c>
      <c r="F29" s="130">
        <v>0.0257</v>
      </c>
      <c r="H29" s="108">
        <f>H25*$F$29/12</f>
        <v>0</v>
      </c>
      <c r="I29" s="108">
        <f aca="true" t="shared" si="3" ref="I29:S29">I25*$F$29/12</f>
        <v>0</v>
      </c>
      <c r="J29" s="108">
        <f t="shared" si="3"/>
        <v>0</v>
      </c>
      <c r="K29" s="108">
        <f t="shared" si="3"/>
        <v>0</v>
      </c>
      <c r="L29" s="108">
        <f t="shared" si="3"/>
        <v>0</v>
      </c>
      <c r="M29" s="108">
        <f t="shared" si="3"/>
        <v>0</v>
      </c>
      <c r="N29" s="108">
        <f t="shared" si="3"/>
        <v>0</v>
      </c>
      <c r="O29" s="108">
        <f t="shared" si="3"/>
        <v>0</v>
      </c>
      <c r="P29" s="108">
        <f t="shared" si="3"/>
        <v>0</v>
      </c>
      <c r="Q29" s="108">
        <f t="shared" si="3"/>
        <v>31.557458333333333</v>
      </c>
      <c r="R29" s="108">
        <f t="shared" si="3"/>
        <v>63.114916666666666</v>
      </c>
      <c r="S29" s="108">
        <f t="shared" si="3"/>
        <v>66.59512500000001</v>
      </c>
      <c r="T29" s="96">
        <f>SUM(H29:S29)</f>
        <v>161.2675</v>
      </c>
    </row>
    <row r="30" ht="15"/>
    <row r="31" spans="1:2" ht="15">
      <c r="A31" s="101" t="s">
        <v>44</v>
      </c>
      <c r="B31" s="96" t="s">
        <v>77</v>
      </c>
    </row>
    <row r="32" spans="2:20" ht="15">
      <c r="B32" s="76" t="s">
        <v>574</v>
      </c>
      <c r="C32" s="76"/>
      <c r="D32" s="128">
        <v>0.053</v>
      </c>
      <c r="E32" s="76"/>
      <c r="H32" s="96">
        <f>H20*$D$32/12</f>
        <v>0</v>
      </c>
      <c r="I32" s="96">
        <f aca="true" t="shared" si="4" ref="I32:S32">I20*$D$32/12</f>
        <v>0</v>
      </c>
      <c r="J32" s="96">
        <f t="shared" si="4"/>
        <v>0</v>
      </c>
      <c r="K32" s="96">
        <f t="shared" si="4"/>
        <v>0</v>
      </c>
      <c r="L32" s="96">
        <f t="shared" si="4"/>
        <v>0</v>
      </c>
      <c r="M32" s="96">
        <f t="shared" si="4"/>
        <v>0</v>
      </c>
      <c r="N32" s="96">
        <f t="shared" si="4"/>
        <v>0</v>
      </c>
      <c r="O32" s="96">
        <f t="shared" si="4"/>
        <v>0</v>
      </c>
      <c r="P32" s="96">
        <f t="shared" si="4"/>
        <v>0</v>
      </c>
      <c r="Q32" s="96">
        <f t="shared" si="4"/>
        <v>0</v>
      </c>
      <c r="R32" s="96">
        <f t="shared" si="4"/>
        <v>0</v>
      </c>
      <c r="S32" s="96">
        <f t="shared" si="4"/>
        <v>0</v>
      </c>
      <c r="T32" s="96">
        <f>SUM(H32:S32)</f>
        <v>0</v>
      </c>
    </row>
    <row r="33" spans="2:20" ht="15">
      <c r="B33" s="96" t="s">
        <v>539</v>
      </c>
      <c r="H33" s="96">
        <v>0</v>
      </c>
      <c r="I33" s="96">
        <v>0</v>
      </c>
      <c r="J33" s="96">
        <v>0</v>
      </c>
      <c r="K33" s="96">
        <v>0</v>
      </c>
      <c r="L33" s="96">
        <v>0</v>
      </c>
      <c r="M33" s="96">
        <v>0</v>
      </c>
      <c r="N33" s="96">
        <v>0</v>
      </c>
      <c r="O33" s="96">
        <v>0</v>
      </c>
      <c r="P33" s="96">
        <v>0</v>
      </c>
      <c r="Q33" s="96">
        <v>0</v>
      </c>
      <c r="R33" s="96">
        <v>0</v>
      </c>
      <c r="S33" s="96">
        <v>0</v>
      </c>
      <c r="T33" s="96">
        <f>SUM(H33:S33)</f>
        <v>0</v>
      </c>
    </row>
    <row r="34" spans="2:20" ht="15">
      <c r="B34" s="96" t="s">
        <v>80</v>
      </c>
      <c r="H34" s="105" t="s">
        <v>491</v>
      </c>
      <c r="I34" s="105" t="s">
        <v>491</v>
      </c>
      <c r="J34" s="105" t="s">
        <v>491</v>
      </c>
      <c r="K34" s="105" t="s">
        <v>491</v>
      </c>
      <c r="L34" s="105" t="s">
        <v>491</v>
      </c>
      <c r="M34" s="105" t="s">
        <v>491</v>
      </c>
      <c r="N34" s="105" t="s">
        <v>491</v>
      </c>
      <c r="O34" s="105" t="s">
        <v>491</v>
      </c>
      <c r="P34" s="105" t="s">
        <v>491</v>
      </c>
      <c r="Q34" s="105" t="s">
        <v>491</v>
      </c>
      <c r="R34" s="105" t="s">
        <v>491</v>
      </c>
      <c r="S34" s="105" t="s">
        <v>491</v>
      </c>
      <c r="T34" s="105" t="s">
        <v>491</v>
      </c>
    </row>
    <row r="35" spans="2:20" ht="15">
      <c r="B35" s="96" t="s">
        <v>547</v>
      </c>
      <c r="H35" s="117">
        <f aca="true" t="shared" si="5" ref="H35:Q35">(H20+H21)*0.0183381/12</f>
        <v>0</v>
      </c>
      <c r="I35" s="117">
        <f t="shared" si="5"/>
        <v>0</v>
      </c>
      <c r="J35" s="117">
        <f t="shared" si="5"/>
        <v>0</v>
      </c>
      <c r="K35" s="117">
        <f t="shared" si="5"/>
        <v>0</v>
      </c>
      <c r="L35" s="117">
        <f t="shared" si="5"/>
        <v>0</v>
      </c>
      <c r="M35" s="117">
        <f t="shared" si="5"/>
        <v>0</v>
      </c>
      <c r="N35" s="117">
        <f t="shared" si="5"/>
        <v>0</v>
      </c>
      <c r="O35" s="117">
        <f t="shared" si="5"/>
        <v>0</v>
      </c>
      <c r="P35" s="117">
        <f t="shared" si="5"/>
        <v>0</v>
      </c>
      <c r="Q35" s="117">
        <f t="shared" si="5"/>
        <v>0</v>
      </c>
      <c r="R35" s="117">
        <f>(R20+R21)*0.0183381/12</f>
        <v>0</v>
      </c>
      <c r="S35" s="117">
        <f>(S20+S21)*0.0183381/12</f>
        <v>0</v>
      </c>
      <c r="T35" s="96">
        <f>SUM(H35:S35)</f>
        <v>0</v>
      </c>
    </row>
    <row r="36" spans="1:20" ht="15">
      <c r="A36" s="108"/>
      <c r="B36" s="108" t="s">
        <v>540</v>
      </c>
      <c r="C36" s="108"/>
      <c r="D36" s="108"/>
      <c r="E36" s="108"/>
      <c r="F36" s="108"/>
      <c r="G36" s="108"/>
      <c r="H36" s="113">
        <v>0</v>
      </c>
      <c r="I36" s="113">
        <v>0</v>
      </c>
      <c r="J36" s="113">
        <v>0</v>
      </c>
      <c r="K36" s="113">
        <v>0</v>
      </c>
      <c r="L36" s="113">
        <v>0</v>
      </c>
      <c r="M36" s="113">
        <v>0</v>
      </c>
      <c r="N36" s="113">
        <v>0</v>
      </c>
      <c r="O36" s="113">
        <v>0</v>
      </c>
      <c r="P36" s="113">
        <v>0</v>
      </c>
      <c r="Q36" s="113">
        <v>0</v>
      </c>
      <c r="R36" s="113">
        <v>0</v>
      </c>
      <c r="S36" s="113">
        <v>0</v>
      </c>
      <c r="T36" s="113">
        <f>SUM(H36:S36)</f>
        <v>0</v>
      </c>
    </row>
    <row r="37" ht="15"/>
    <row r="38" spans="1:20" ht="15">
      <c r="A38" s="101" t="s">
        <v>45</v>
      </c>
      <c r="B38" s="96" t="s">
        <v>83</v>
      </c>
      <c r="H38" s="96">
        <f aca="true" t="shared" si="6" ref="H38:S38">ROUND(+H28+H29+H32+H33+H34+H35+H36,0)</f>
        <v>0</v>
      </c>
      <c r="I38" s="96">
        <f t="shared" si="6"/>
        <v>0</v>
      </c>
      <c r="J38" s="96">
        <f t="shared" si="6"/>
        <v>0</v>
      </c>
      <c r="K38" s="96">
        <f t="shared" si="6"/>
        <v>0</v>
      </c>
      <c r="L38" s="96">
        <f t="shared" si="6"/>
        <v>0</v>
      </c>
      <c r="M38" s="96">
        <f t="shared" si="6"/>
        <v>0</v>
      </c>
      <c r="N38" s="96">
        <f t="shared" si="6"/>
        <v>0</v>
      </c>
      <c r="O38" s="96">
        <f t="shared" si="6"/>
        <v>0</v>
      </c>
      <c r="P38" s="96">
        <f t="shared" si="6"/>
        <v>0</v>
      </c>
      <c r="Q38" s="96">
        <f t="shared" si="6"/>
        <v>164</v>
      </c>
      <c r="R38" s="96">
        <f t="shared" si="6"/>
        <v>327</v>
      </c>
      <c r="S38" s="96">
        <f t="shared" si="6"/>
        <v>345</v>
      </c>
      <c r="T38" s="96">
        <f>SUM(H38:S38)</f>
        <v>836</v>
      </c>
    </row>
    <row r="39" spans="2:20" ht="15">
      <c r="B39" s="96" t="s">
        <v>84</v>
      </c>
      <c r="H39" s="96">
        <f aca="true" t="shared" si="7" ref="H39:P39">ROUND(+H38*0,0)</f>
        <v>0</v>
      </c>
      <c r="I39" s="96">
        <f t="shared" si="7"/>
        <v>0</v>
      </c>
      <c r="J39" s="96">
        <f t="shared" si="7"/>
        <v>0</v>
      </c>
      <c r="K39" s="96">
        <f t="shared" si="7"/>
        <v>0</v>
      </c>
      <c r="L39" s="96">
        <f t="shared" si="7"/>
        <v>0</v>
      </c>
      <c r="M39" s="96">
        <f t="shared" si="7"/>
        <v>0</v>
      </c>
      <c r="N39" s="96">
        <f t="shared" si="7"/>
        <v>0</v>
      </c>
      <c r="O39" s="96">
        <f t="shared" si="7"/>
        <v>0</v>
      </c>
      <c r="P39" s="96">
        <f t="shared" si="7"/>
        <v>0</v>
      </c>
      <c r="Q39" s="96">
        <f>ROUND(+Q38*0,0)</f>
        <v>0</v>
      </c>
      <c r="R39" s="96">
        <f>ROUND(+R38*0,0)</f>
        <v>0</v>
      </c>
      <c r="S39" s="96">
        <f>ROUND(+S38*0,0)</f>
        <v>0</v>
      </c>
      <c r="T39" s="96">
        <f>SUM(H39:S39)</f>
        <v>0</v>
      </c>
    </row>
    <row r="40" spans="2:20" ht="15">
      <c r="B40" s="96" t="s">
        <v>85</v>
      </c>
      <c r="H40" s="96">
        <f aca="true" t="shared" si="8" ref="H40:P40">ROUND(+H38*1,0)</f>
        <v>0</v>
      </c>
      <c r="I40" s="96">
        <f t="shared" si="8"/>
        <v>0</v>
      </c>
      <c r="J40" s="96">
        <f t="shared" si="8"/>
        <v>0</v>
      </c>
      <c r="K40" s="96">
        <f t="shared" si="8"/>
        <v>0</v>
      </c>
      <c r="L40" s="96">
        <f t="shared" si="8"/>
        <v>0</v>
      </c>
      <c r="M40" s="96">
        <f t="shared" si="8"/>
        <v>0</v>
      </c>
      <c r="N40" s="96">
        <f t="shared" si="8"/>
        <v>0</v>
      </c>
      <c r="O40" s="96">
        <f t="shared" si="8"/>
        <v>0</v>
      </c>
      <c r="P40" s="96">
        <f t="shared" si="8"/>
        <v>0</v>
      </c>
      <c r="Q40" s="96">
        <f>ROUND(+Q38*1,0)</f>
        <v>164</v>
      </c>
      <c r="R40" s="96">
        <f>ROUND(+R38*1,0)</f>
        <v>327</v>
      </c>
      <c r="S40" s="96">
        <f>ROUND(+S38*1,0)</f>
        <v>345</v>
      </c>
      <c r="T40" s="96">
        <f>SUM(H40:S40)</f>
        <v>836</v>
      </c>
    </row>
    <row r="41" ht="15"/>
    <row r="42" spans="1:20" ht="15">
      <c r="A42" s="99" t="s">
        <v>86</v>
      </c>
      <c r="B42" s="108" t="s">
        <v>87</v>
      </c>
      <c r="C42" s="108"/>
      <c r="D42" s="108"/>
      <c r="E42" s="108"/>
      <c r="F42" s="108"/>
      <c r="G42" s="118"/>
      <c r="H42" s="119" t="s">
        <v>491</v>
      </c>
      <c r="I42" s="119" t="s">
        <v>491</v>
      </c>
      <c r="J42" s="119" t="s">
        <v>491</v>
      </c>
      <c r="K42" s="119" t="s">
        <v>491</v>
      </c>
      <c r="L42" s="119" t="s">
        <v>491</v>
      </c>
      <c r="M42" s="119" t="s">
        <v>491</v>
      </c>
      <c r="N42" s="119" t="s">
        <v>491</v>
      </c>
      <c r="O42" s="119" t="s">
        <v>491</v>
      </c>
      <c r="P42" s="119" t="s">
        <v>491</v>
      </c>
      <c r="Q42" s="119" t="s">
        <v>491</v>
      </c>
      <c r="R42" s="119" t="s">
        <v>491</v>
      </c>
      <c r="S42" s="119" t="s">
        <v>491</v>
      </c>
      <c r="T42" s="118"/>
    </row>
    <row r="43" spans="1:20" ht="15">
      <c r="A43" s="99" t="s">
        <v>88</v>
      </c>
      <c r="B43" s="108" t="s">
        <v>490</v>
      </c>
      <c r="C43" s="108"/>
      <c r="D43" s="108"/>
      <c r="E43" s="108"/>
      <c r="F43" s="108"/>
      <c r="G43" s="118"/>
      <c r="H43" s="118">
        <v>0</v>
      </c>
      <c r="I43" s="118">
        <v>0</v>
      </c>
      <c r="J43" s="118">
        <v>0</v>
      </c>
      <c r="K43" s="118">
        <v>0</v>
      </c>
      <c r="L43" s="118">
        <v>0</v>
      </c>
      <c r="M43" s="118">
        <v>0</v>
      </c>
      <c r="N43" s="118">
        <v>0</v>
      </c>
      <c r="O43" s="118">
        <v>0</v>
      </c>
      <c r="P43" s="118">
        <v>0</v>
      </c>
      <c r="Q43" s="120">
        <v>0.95957</v>
      </c>
      <c r="R43" s="120">
        <v>0.95957</v>
      </c>
      <c r="S43" s="120">
        <v>0.95957</v>
      </c>
      <c r="T43" s="118"/>
    </row>
    <row r="45" spans="1:20" ht="15">
      <c r="A45" s="101" t="s">
        <v>90</v>
      </c>
      <c r="B45" s="96" t="s">
        <v>541</v>
      </c>
      <c r="H45" s="96">
        <f aca="true" t="shared" si="9" ref="H45:S45">ROUND((+H39*H42),0)</f>
        <v>0</v>
      </c>
      <c r="I45" s="96">
        <f t="shared" si="9"/>
        <v>0</v>
      </c>
      <c r="J45" s="96">
        <f t="shared" si="9"/>
        <v>0</v>
      </c>
      <c r="K45" s="96">
        <f t="shared" si="9"/>
        <v>0</v>
      </c>
      <c r="L45" s="96">
        <f t="shared" si="9"/>
        <v>0</v>
      </c>
      <c r="M45" s="96">
        <f t="shared" si="9"/>
        <v>0</v>
      </c>
      <c r="N45" s="96">
        <f t="shared" si="9"/>
        <v>0</v>
      </c>
      <c r="O45" s="96">
        <f t="shared" si="9"/>
        <v>0</v>
      </c>
      <c r="P45" s="96">
        <f t="shared" si="9"/>
        <v>0</v>
      </c>
      <c r="Q45" s="96">
        <f t="shared" si="9"/>
        <v>0</v>
      </c>
      <c r="R45" s="96">
        <f t="shared" si="9"/>
        <v>0</v>
      </c>
      <c r="S45" s="96">
        <f t="shared" si="9"/>
        <v>0</v>
      </c>
      <c r="T45" s="96">
        <f>SUM(H45:S45)</f>
        <v>0</v>
      </c>
    </row>
    <row r="46" spans="1:20" ht="15">
      <c r="A46" s="99" t="s">
        <v>92</v>
      </c>
      <c r="B46" s="108" t="s">
        <v>542</v>
      </c>
      <c r="C46" s="108"/>
      <c r="D46" s="108"/>
      <c r="E46" s="108"/>
      <c r="F46" s="108"/>
      <c r="G46" s="108"/>
      <c r="H46" s="113">
        <f aca="true" t="shared" si="10" ref="H46:S46">(+H40*H43)</f>
        <v>0</v>
      </c>
      <c r="I46" s="113">
        <f t="shared" si="10"/>
        <v>0</v>
      </c>
      <c r="J46" s="113">
        <f t="shared" si="10"/>
        <v>0</v>
      </c>
      <c r="K46" s="113">
        <f t="shared" si="10"/>
        <v>0</v>
      </c>
      <c r="L46" s="113">
        <f t="shared" si="10"/>
        <v>0</v>
      </c>
      <c r="M46" s="113">
        <f t="shared" si="10"/>
        <v>0</v>
      </c>
      <c r="N46" s="113">
        <f t="shared" si="10"/>
        <v>0</v>
      </c>
      <c r="O46" s="113">
        <f t="shared" si="10"/>
        <v>0</v>
      </c>
      <c r="P46" s="113">
        <f t="shared" si="10"/>
        <v>0</v>
      </c>
      <c r="Q46" s="113">
        <f t="shared" si="10"/>
        <v>157.36948</v>
      </c>
      <c r="R46" s="113">
        <f t="shared" si="10"/>
        <v>313.77939000000003</v>
      </c>
      <c r="S46" s="113">
        <f t="shared" si="10"/>
        <v>331.05165</v>
      </c>
      <c r="T46" s="113">
        <f>SUM(H46:S46)</f>
        <v>802.2005200000001</v>
      </c>
    </row>
    <row r="47" spans="1:20" ht="15.75" thickBot="1">
      <c r="A47" s="99" t="s">
        <v>94</v>
      </c>
      <c r="B47" s="108" t="s">
        <v>95</v>
      </c>
      <c r="C47" s="108"/>
      <c r="D47" s="108"/>
      <c r="E47" s="108"/>
      <c r="F47" s="108"/>
      <c r="G47" s="108"/>
      <c r="H47" s="121">
        <f aca="true" t="shared" si="11" ref="H47:S47">H45+H46</f>
        <v>0</v>
      </c>
      <c r="I47" s="121">
        <f t="shared" si="11"/>
        <v>0</v>
      </c>
      <c r="J47" s="121">
        <f t="shared" si="11"/>
        <v>0</v>
      </c>
      <c r="K47" s="121">
        <f t="shared" si="11"/>
        <v>0</v>
      </c>
      <c r="L47" s="121">
        <f t="shared" si="11"/>
        <v>0</v>
      </c>
      <c r="M47" s="121">
        <f t="shared" si="11"/>
        <v>0</v>
      </c>
      <c r="N47" s="121">
        <f t="shared" si="11"/>
        <v>0</v>
      </c>
      <c r="O47" s="121">
        <f t="shared" si="11"/>
        <v>0</v>
      </c>
      <c r="P47" s="121">
        <f t="shared" si="11"/>
        <v>0</v>
      </c>
      <c r="Q47" s="121">
        <f t="shared" si="11"/>
        <v>157.36948</v>
      </c>
      <c r="R47" s="121">
        <f t="shared" si="11"/>
        <v>313.77939000000003</v>
      </c>
      <c r="S47" s="121">
        <f t="shared" si="11"/>
        <v>331.05165</v>
      </c>
      <c r="T47" s="121">
        <f>SUM(T45:T46)</f>
        <v>802.2005200000001</v>
      </c>
    </row>
    <row r="49" ht="15">
      <c r="A49" s="122" t="s">
        <v>31</v>
      </c>
    </row>
    <row r="50" spans="1:2" ht="15">
      <c r="A50" s="101" t="s">
        <v>96</v>
      </c>
      <c r="B50" s="96" t="s">
        <v>594</v>
      </c>
    </row>
    <row r="51" spans="1:2" ht="15">
      <c r="A51" s="101" t="s">
        <v>98</v>
      </c>
      <c r="B51" s="96" t="s">
        <v>595</v>
      </c>
    </row>
    <row r="52" spans="1:2" ht="15">
      <c r="A52" s="101" t="s">
        <v>100</v>
      </c>
      <c r="B52" s="96" t="s">
        <v>553</v>
      </c>
    </row>
    <row r="53" spans="1:2" ht="15">
      <c r="A53" s="123" t="s">
        <v>109</v>
      </c>
      <c r="B53" s="96" t="s">
        <v>564</v>
      </c>
    </row>
    <row r="54" spans="1:2" ht="15">
      <c r="A54" s="123" t="s">
        <v>531</v>
      </c>
      <c r="B54" s="96" t="s">
        <v>563</v>
      </c>
    </row>
    <row r="55" spans="1:2" ht="15">
      <c r="A55" s="124" t="s">
        <v>532</v>
      </c>
      <c r="B55" s="125" t="s">
        <v>558</v>
      </c>
    </row>
    <row r="56" spans="1:2" ht="15">
      <c r="A56" s="123" t="s">
        <v>533</v>
      </c>
      <c r="B56" s="96" t="s">
        <v>596</v>
      </c>
    </row>
    <row r="57" spans="1:2" ht="15">
      <c r="A57" s="123" t="s">
        <v>534</v>
      </c>
      <c r="B57" s="96" t="s">
        <v>545</v>
      </c>
    </row>
    <row r="58" spans="1:2" ht="15">
      <c r="A58" s="123" t="s">
        <v>535</v>
      </c>
      <c r="B58" s="96" t="s">
        <v>101</v>
      </c>
    </row>
    <row r="59" spans="1:2" ht="15">
      <c r="A59" s="123" t="s">
        <v>546</v>
      </c>
      <c r="B59" s="96" t="s">
        <v>551</v>
      </c>
    </row>
    <row r="60" ht="15">
      <c r="A60" s="101"/>
    </row>
    <row r="61" ht="15">
      <c r="A61" s="122" t="s">
        <v>528</v>
      </c>
    </row>
    <row r="62" spans="1:2" ht="15">
      <c r="A62" s="105" t="s">
        <v>530</v>
      </c>
      <c r="B62" s="96" t="s">
        <v>529</v>
      </c>
    </row>
    <row r="63" ht="15">
      <c r="A63" s="126"/>
    </row>
    <row r="64" ht="15">
      <c r="A64" s="126"/>
    </row>
    <row r="65" ht="15">
      <c r="A65" s="126"/>
    </row>
    <row r="66" ht="15">
      <c r="A66" s="101"/>
    </row>
    <row r="67" ht="15">
      <c r="A67" s="101"/>
    </row>
    <row r="97" ht="15">
      <c r="A97" s="96">
        <f>70436+122038+150514+36813+283015</f>
        <v>662816</v>
      </c>
    </row>
    <row r="98" ht="15">
      <c r="A98" s="96">
        <f>39882*5</f>
        <v>199410</v>
      </c>
    </row>
    <row r="99" ht="15">
      <c r="A99" s="96">
        <f>464+725+1180+1434+1988</f>
        <v>5791</v>
      </c>
    </row>
    <row r="100" ht="15">
      <c r="A100" s="96">
        <f>662816+5791-199410</f>
        <v>469197</v>
      </c>
    </row>
    <row r="101" ht="15">
      <c r="A101" s="96">
        <f>552042-82845</f>
        <v>469197</v>
      </c>
    </row>
  </sheetData>
  <printOptions/>
  <pageMargins left="0" right="0" top="0.75" bottom="0.25" header="0.5" footer="0.5"/>
  <pageSetup horizontalDpi="300" verticalDpi="300" orientation="landscape" scale="43" r:id="rId3"/>
  <headerFooter alignWithMargins="0">
    <oddFooter>&amp;C&amp;R</oddFooter>
  </headerFooter>
  <legacyDrawing r:id="rId2"/>
</worksheet>
</file>

<file path=xl/worksheets/sheet13.xml><?xml version="1.0" encoding="utf-8"?>
<worksheet xmlns="http://schemas.openxmlformats.org/spreadsheetml/2006/main" xmlns:r="http://schemas.openxmlformats.org/officeDocument/2006/relationships">
  <sheetPr codeName="Sheet12"/>
  <dimension ref="A1:T52"/>
  <sheetViews>
    <sheetView zoomScale="75" zoomScaleNormal="75" workbookViewId="0" topLeftCell="A1">
      <selection activeCell="A7" sqref="A7"/>
    </sheetView>
  </sheetViews>
  <sheetFormatPr defaultColWidth="9.77734375" defaultRowHeight="15"/>
  <cols>
    <col min="7" max="12" width="12.77734375" style="0" customWidth="1"/>
    <col min="13" max="16" width="14.3359375" style="0" customWidth="1"/>
    <col min="17" max="21" width="12.77734375" style="0" customWidth="1"/>
  </cols>
  <sheetData>
    <row r="1" spans="1:20" ht="15.75">
      <c r="A1" s="8" t="s">
        <v>438</v>
      </c>
      <c r="B1" s="2"/>
      <c r="C1" s="2"/>
      <c r="D1" s="2"/>
      <c r="E1" s="2"/>
      <c r="F1" s="2"/>
      <c r="G1" s="2"/>
      <c r="H1" s="2"/>
      <c r="I1" s="2"/>
      <c r="J1" s="2"/>
      <c r="K1" s="2"/>
      <c r="L1" s="2"/>
      <c r="T1" s="30" t="s">
        <v>442</v>
      </c>
    </row>
    <row r="2" spans="1:20" ht="15">
      <c r="A2" s="2" t="s">
        <v>0</v>
      </c>
      <c r="B2" s="2"/>
      <c r="C2" s="2"/>
      <c r="D2" s="2"/>
      <c r="E2" s="2"/>
      <c r="F2" s="2"/>
      <c r="G2" s="2"/>
      <c r="H2" s="2"/>
      <c r="I2" s="2"/>
      <c r="J2" s="2"/>
      <c r="K2" s="2"/>
      <c r="L2" s="2"/>
      <c r="T2" s="30" t="s">
        <v>395</v>
      </c>
    </row>
    <row r="3" spans="1:12" ht="15">
      <c r="A3" s="2" t="s">
        <v>494</v>
      </c>
      <c r="B3" s="9"/>
      <c r="C3" s="9"/>
      <c r="D3" s="9"/>
      <c r="E3" s="9"/>
      <c r="F3" s="9"/>
      <c r="G3" s="9"/>
      <c r="H3" s="9"/>
      <c r="I3" s="2"/>
      <c r="J3" s="2"/>
      <c r="K3" s="2"/>
      <c r="L3" s="2"/>
    </row>
    <row r="4" spans="1:12" ht="15.75">
      <c r="A4" s="11" t="str">
        <f>'Form 42 2A'!A4</f>
        <v>January 2003 through December 2003</v>
      </c>
      <c r="B4" s="2"/>
      <c r="C4" s="2"/>
      <c r="D4" s="2"/>
      <c r="E4" s="2"/>
      <c r="F4" s="2"/>
      <c r="G4" s="2"/>
      <c r="H4" s="2"/>
      <c r="I4" s="2"/>
      <c r="J4" s="2"/>
      <c r="K4" s="2"/>
      <c r="L4" s="2"/>
    </row>
    <row r="5" spans="1:12" ht="15">
      <c r="A5" s="67" t="s">
        <v>338</v>
      </c>
      <c r="B5" s="2"/>
      <c r="C5" s="2"/>
      <c r="D5" s="2"/>
      <c r="E5" s="2"/>
      <c r="F5" s="2"/>
      <c r="G5" s="2"/>
      <c r="H5" s="2"/>
      <c r="I5" s="2"/>
      <c r="J5" s="2"/>
      <c r="K5" s="2"/>
      <c r="L5" s="2"/>
    </row>
    <row r="6" spans="1:12" ht="15">
      <c r="A6" s="2" t="s">
        <v>59</v>
      </c>
      <c r="B6" s="2"/>
      <c r="C6" s="2"/>
      <c r="D6" s="2"/>
      <c r="E6" s="2"/>
      <c r="F6" s="2"/>
      <c r="G6" s="2"/>
      <c r="H6" s="2"/>
      <c r="I6" s="2"/>
      <c r="J6" s="2"/>
      <c r="K6" s="2"/>
      <c r="L6" s="2"/>
    </row>
    <row r="7" spans="1:12" ht="15">
      <c r="A7" s="57" t="s">
        <v>489</v>
      </c>
      <c r="B7" s="2"/>
      <c r="C7" s="2"/>
      <c r="D7" s="2"/>
      <c r="E7" s="2"/>
      <c r="F7" s="2"/>
      <c r="G7" s="2"/>
      <c r="H7" s="2"/>
      <c r="I7" s="2"/>
      <c r="J7" s="2"/>
      <c r="K7" s="2"/>
      <c r="L7" s="2"/>
    </row>
    <row r="8" spans="1:12" ht="15">
      <c r="A8" s="2" t="s">
        <v>5</v>
      </c>
      <c r="B8" s="2"/>
      <c r="C8" s="2"/>
      <c r="D8" s="2"/>
      <c r="E8" s="2"/>
      <c r="F8" s="2"/>
      <c r="G8" s="2"/>
      <c r="H8" s="2"/>
      <c r="I8" s="2"/>
      <c r="J8" s="2"/>
      <c r="K8" s="2"/>
      <c r="L8" s="2"/>
    </row>
    <row r="10" spans="1:20" ht="15">
      <c r="A10" s="2"/>
      <c r="T10" s="29" t="s">
        <v>60</v>
      </c>
    </row>
    <row r="11" spans="7:20" ht="15">
      <c r="G11" s="29" t="s">
        <v>61</v>
      </c>
      <c r="T11" s="29" t="s">
        <v>2</v>
      </c>
    </row>
    <row r="12" spans="1:20" ht="15.75" thickBot="1">
      <c r="A12" s="25" t="s">
        <v>3</v>
      </c>
      <c r="B12" s="2"/>
      <c r="C12" s="25" t="s">
        <v>62</v>
      </c>
      <c r="E12" s="2"/>
      <c r="F12" s="2"/>
      <c r="G12" s="19" t="s">
        <v>63</v>
      </c>
      <c r="H12" s="68" t="str">
        <f>'Form 42 2A'!H10</f>
        <v>January 03</v>
      </c>
      <c r="I12" s="68" t="str">
        <f>'Form 42 2A'!I10</f>
        <v>February 03</v>
      </c>
      <c r="J12" s="68" t="str">
        <f>'Form 42 2A'!J10</f>
        <v>March 03</v>
      </c>
      <c r="K12" s="68" t="str">
        <f>'Form 42 2A'!K10</f>
        <v>April 03</v>
      </c>
      <c r="L12" s="68" t="str">
        <f>'Form 42 2A'!L10</f>
        <v>May 03</v>
      </c>
      <c r="M12" s="68" t="str">
        <f>'Form 42 2A'!M10</f>
        <v>June 03</v>
      </c>
      <c r="N12" s="68" t="str">
        <f>'Form 42 2A'!N10</f>
        <v>July 03</v>
      </c>
      <c r="O12" s="68" t="str">
        <f>'Form 42 2A'!O10</f>
        <v>August 03</v>
      </c>
      <c r="P12" s="68" t="str">
        <f>'Form 42 2A'!P10</f>
        <v>September 03</v>
      </c>
      <c r="Q12" s="68" t="str">
        <f>'Form 42 2A'!Q10</f>
        <v>October 03</v>
      </c>
      <c r="R12" s="68" t="str">
        <f>'Form 42 2A'!R10</f>
        <v>November 03</v>
      </c>
      <c r="S12" s="68" t="str">
        <f>'Form 42 2A'!S10</f>
        <v>December 03</v>
      </c>
      <c r="T12" s="19" t="s">
        <v>8</v>
      </c>
    </row>
    <row r="13" spans="1:4" ht="15">
      <c r="A13" s="1"/>
      <c r="B13" s="1"/>
      <c r="C13" s="1"/>
      <c r="D13" s="27"/>
    </row>
    <row r="14" spans="1:2" ht="15">
      <c r="A14" s="30" t="s">
        <v>35</v>
      </c>
      <c r="B14" t="s">
        <v>64</v>
      </c>
    </row>
    <row r="15" spans="1:20" ht="15">
      <c r="A15" s="1"/>
      <c r="B15" s="1" t="s">
        <v>65</v>
      </c>
      <c r="C15" s="1"/>
      <c r="D15" s="1"/>
      <c r="E15" s="1"/>
      <c r="F15" s="1"/>
      <c r="G15" s="1"/>
      <c r="H15" s="5">
        <v>0</v>
      </c>
      <c r="I15" s="5">
        <v>0</v>
      </c>
      <c r="J15" s="5">
        <v>0</v>
      </c>
      <c r="K15" s="5">
        <v>0</v>
      </c>
      <c r="L15" s="5">
        <v>0</v>
      </c>
      <c r="M15" s="5">
        <v>0</v>
      </c>
      <c r="N15" s="5">
        <v>0</v>
      </c>
      <c r="O15" s="5">
        <v>0</v>
      </c>
      <c r="P15" s="5">
        <v>0</v>
      </c>
      <c r="Q15" s="5">
        <v>0</v>
      </c>
      <c r="R15" s="5">
        <v>0</v>
      </c>
      <c r="S15" s="5">
        <v>0</v>
      </c>
      <c r="T15" s="5"/>
    </row>
    <row r="16" spans="2:19" ht="15">
      <c r="B16" t="s">
        <v>66</v>
      </c>
      <c r="H16">
        <v>0</v>
      </c>
      <c r="I16">
        <v>0</v>
      </c>
      <c r="J16">
        <v>0</v>
      </c>
      <c r="K16">
        <v>0</v>
      </c>
      <c r="L16">
        <v>0</v>
      </c>
      <c r="M16">
        <v>0</v>
      </c>
      <c r="N16">
        <v>0</v>
      </c>
      <c r="O16">
        <v>0</v>
      </c>
      <c r="P16">
        <v>0</v>
      </c>
      <c r="Q16">
        <v>0</v>
      </c>
      <c r="R16">
        <v>0</v>
      </c>
      <c r="S16">
        <v>0</v>
      </c>
    </row>
    <row r="17" spans="2:19" ht="15">
      <c r="B17" t="s">
        <v>67</v>
      </c>
      <c r="H17">
        <v>0</v>
      </c>
      <c r="I17">
        <v>0</v>
      </c>
      <c r="J17">
        <v>0</v>
      </c>
      <c r="K17">
        <v>0</v>
      </c>
      <c r="L17">
        <v>0</v>
      </c>
      <c r="M17">
        <v>0</v>
      </c>
      <c r="N17">
        <v>0</v>
      </c>
      <c r="O17">
        <v>0</v>
      </c>
      <c r="P17">
        <v>0</v>
      </c>
      <c r="Q17">
        <v>0</v>
      </c>
      <c r="R17">
        <v>0</v>
      </c>
      <c r="S17">
        <v>0</v>
      </c>
    </row>
    <row r="18" spans="2:19" ht="15">
      <c r="B18" t="s">
        <v>68</v>
      </c>
      <c r="H18">
        <v>0</v>
      </c>
      <c r="I18">
        <v>0</v>
      </c>
      <c r="J18">
        <v>0</v>
      </c>
      <c r="K18">
        <v>0</v>
      </c>
      <c r="L18">
        <v>0</v>
      </c>
      <c r="M18">
        <v>0</v>
      </c>
      <c r="N18">
        <v>0</v>
      </c>
      <c r="O18">
        <v>0</v>
      </c>
      <c r="P18">
        <v>0</v>
      </c>
      <c r="Q18">
        <v>0</v>
      </c>
      <c r="R18">
        <v>0</v>
      </c>
      <c r="S18">
        <v>0</v>
      </c>
    </row>
    <row r="20" spans="1:19" ht="15">
      <c r="A20" s="31" t="s">
        <v>36</v>
      </c>
      <c r="B20" s="1" t="s">
        <v>69</v>
      </c>
      <c r="C20" s="1"/>
      <c r="D20" s="1"/>
      <c r="E20" s="1"/>
      <c r="F20" s="1"/>
      <c r="G20" s="5">
        <f>+depreciation!B432</f>
        <v>984794</v>
      </c>
      <c r="H20" s="5">
        <f>+H15+G20</f>
        <v>984794</v>
      </c>
      <c r="I20" s="5">
        <f aca="true" t="shared" si="0" ref="I20:S20">+I15+H20</f>
        <v>984794</v>
      </c>
      <c r="J20" s="5">
        <f t="shared" si="0"/>
        <v>984794</v>
      </c>
      <c r="K20" s="5">
        <f t="shared" si="0"/>
        <v>984794</v>
      </c>
      <c r="L20" s="5">
        <f t="shared" si="0"/>
        <v>984794</v>
      </c>
      <c r="M20" s="5">
        <f t="shared" si="0"/>
        <v>984794</v>
      </c>
      <c r="N20" s="5">
        <f t="shared" si="0"/>
        <v>984794</v>
      </c>
      <c r="O20" s="5">
        <f t="shared" si="0"/>
        <v>984794</v>
      </c>
      <c r="P20" s="5">
        <f t="shared" si="0"/>
        <v>984794</v>
      </c>
      <c r="Q20" s="5">
        <f t="shared" si="0"/>
        <v>984794</v>
      </c>
      <c r="R20" s="5">
        <f t="shared" si="0"/>
        <v>984794</v>
      </c>
      <c r="S20" s="5">
        <f t="shared" si="0"/>
        <v>984794</v>
      </c>
    </row>
    <row r="21" spans="1:19" ht="15">
      <c r="A21" s="30" t="s">
        <v>38</v>
      </c>
      <c r="B21" t="s">
        <v>70</v>
      </c>
      <c r="G21">
        <f>-depreciation!E432</f>
        <v>-116574</v>
      </c>
      <c r="H21">
        <f aca="true" t="shared" si="1" ref="H21:S21">G21-H32</f>
        <v>-119282</v>
      </c>
      <c r="I21">
        <f t="shared" si="1"/>
        <v>-121990</v>
      </c>
      <c r="J21">
        <f t="shared" si="1"/>
        <v>-124698</v>
      </c>
      <c r="K21">
        <f t="shared" si="1"/>
        <v>-127406</v>
      </c>
      <c r="L21">
        <f t="shared" si="1"/>
        <v>-130114</v>
      </c>
      <c r="M21">
        <f t="shared" si="1"/>
        <v>-132822</v>
      </c>
      <c r="N21">
        <f t="shared" si="1"/>
        <v>-135530</v>
      </c>
      <c r="O21">
        <f t="shared" si="1"/>
        <v>-138238</v>
      </c>
      <c r="P21">
        <f t="shared" si="1"/>
        <v>-140946</v>
      </c>
      <c r="Q21">
        <f t="shared" si="1"/>
        <v>-143654</v>
      </c>
      <c r="R21">
        <f t="shared" si="1"/>
        <v>-146362</v>
      </c>
      <c r="S21">
        <f t="shared" si="1"/>
        <v>-149070</v>
      </c>
    </row>
    <row r="22" spans="1:19" ht="15">
      <c r="A22" s="31" t="s">
        <v>39</v>
      </c>
      <c r="B22" s="1" t="s">
        <v>104</v>
      </c>
      <c r="C22" s="1"/>
      <c r="D22" s="1"/>
      <c r="E22" s="1"/>
      <c r="F22" s="1"/>
      <c r="G22" s="6">
        <v>0</v>
      </c>
      <c r="H22" s="6">
        <v>0</v>
      </c>
      <c r="I22" s="6">
        <v>0</v>
      </c>
      <c r="J22" s="6">
        <v>0</v>
      </c>
      <c r="K22" s="6">
        <v>0</v>
      </c>
      <c r="L22" s="6">
        <v>0</v>
      </c>
      <c r="M22" s="6">
        <v>0</v>
      </c>
      <c r="N22" s="6">
        <v>0</v>
      </c>
      <c r="O22" s="6">
        <v>0</v>
      </c>
      <c r="P22" s="6">
        <v>0</v>
      </c>
      <c r="Q22" s="6">
        <v>0</v>
      </c>
      <c r="R22" s="6">
        <v>0</v>
      </c>
      <c r="S22" s="6">
        <v>0</v>
      </c>
    </row>
    <row r="23" spans="1:20" ht="15">
      <c r="A23" s="31" t="s">
        <v>40</v>
      </c>
      <c r="B23" s="1" t="s">
        <v>72</v>
      </c>
      <c r="C23" s="1"/>
      <c r="D23" s="1"/>
      <c r="E23" s="1"/>
      <c r="F23" s="1"/>
      <c r="G23" s="26">
        <f aca="true" t="shared" si="2" ref="G23:S23">G20+G21+G22</f>
        <v>868220</v>
      </c>
      <c r="H23" s="17">
        <f t="shared" si="2"/>
        <v>865512</v>
      </c>
      <c r="I23" s="17">
        <f t="shared" si="2"/>
        <v>862804</v>
      </c>
      <c r="J23" s="17">
        <f t="shared" si="2"/>
        <v>860096</v>
      </c>
      <c r="K23" s="17">
        <f t="shared" si="2"/>
        <v>857388</v>
      </c>
      <c r="L23" s="17">
        <f t="shared" si="2"/>
        <v>854680</v>
      </c>
      <c r="M23" s="17">
        <f t="shared" si="2"/>
        <v>851972</v>
      </c>
      <c r="N23" s="17">
        <f t="shared" si="2"/>
        <v>849264</v>
      </c>
      <c r="O23" s="17">
        <f t="shared" si="2"/>
        <v>846556</v>
      </c>
      <c r="P23" s="17">
        <f t="shared" si="2"/>
        <v>843848</v>
      </c>
      <c r="Q23" s="17">
        <f t="shared" si="2"/>
        <v>841140</v>
      </c>
      <c r="R23" s="17">
        <f t="shared" si="2"/>
        <v>838432</v>
      </c>
      <c r="S23" s="17">
        <f t="shared" si="2"/>
        <v>835724</v>
      </c>
      <c r="T23" s="16"/>
    </row>
    <row r="25" spans="1:19" ht="15">
      <c r="A25" s="30" t="s">
        <v>42</v>
      </c>
      <c r="B25" t="s">
        <v>73</v>
      </c>
      <c r="H25">
        <f aca="true" t="shared" si="3" ref="H25:S25">ROUND((+G23+H23)/2,0)</f>
        <v>866866</v>
      </c>
      <c r="I25">
        <f t="shared" si="3"/>
        <v>864158</v>
      </c>
      <c r="J25">
        <f t="shared" si="3"/>
        <v>861450</v>
      </c>
      <c r="K25">
        <f t="shared" si="3"/>
        <v>858742</v>
      </c>
      <c r="L25">
        <f t="shared" si="3"/>
        <v>856034</v>
      </c>
      <c r="M25">
        <f t="shared" si="3"/>
        <v>853326</v>
      </c>
      <c r="N25">
        <f t="shared" si="3"/>
        <v>850618</v>
      </c>
      <c r="O25">
        <f t="shared" si="3"/>
        <v>847910</v>
      </c>
      <c r="P25">
        <f t="shared" si="3"/>
        <v>845202</v>
      </c>
      <c r="Q25">
        <f t="shared" si="3"/>
        <v>842494</v>
      </c>
      <c r="R25">
        <f t="shared" si="3"/>
        <v>839786</v>
      </c>
      <c r="S25">
        <f t="shared" si="3"/>
        <v>837078</v>
      </c>
    </row>
    <row r="27" spans="1:2" ht="15">
      <c r="A27" s="30" t="s">
        <v>43</v>
      </c>
      <c r="B27" t="s">
        <v>74</v>
      </c>
    </row>
    <row r="28" spans="1:20" ht="15">
      <c r="A28" s="1"/>
      <c r="B28" s="1" t="s">
        <v>75</v>
      </c>
      <c r="C28" s="1"/>
      <c r="D28" s="1"/>
      <c r="E28" s="1"/>
      <c r="F28" s="1"/>
      <c r="G28" s="1"/>
      <c r="H28" s="1">
        <f aca="true" t="shared" si="4" ref="H28:S28">ROUND(+H25*(0.088238)/12,0)</f>
        <v>6374</v>
      </c>
      <c r="I28" s="1">
        <f t="shared" si="4"/>
        <v>6354</v>
      </c>
      <c r="J28" s="1">
        <f t="shared" si="4"/>
        <v>6334</v>
      </c>
      <c r="K28" s="1">
        <f t="shared" si="4"/>
        <v>6314</v>
      </c>
      <c r="L28" s="1">
        <f t="shared" si="4"/>
        <v>6295</v>
      </c>
      <c r="M28" s="1">
        <f t="shared" si="4"/>
        <v>6275</v>
      </c>
      <c r="N28" s="1">
        <f t="shared" si="4"/>
        <v>6255</v>
      </c>
      <c r="O28" s="1">
        <f t="shared" si="4"/>
        <v>6235</v>
      </c>
      <c r="P28" s="1">
        <f t="shared" si="4"/>
        <v>6215</v>
      </c>
      <c r="Q28" s="1">
        <f t="shared" si="4"/>
        <v>6195</v>
      </c>
      <c r="R28" s="1">
        <f t="shared" si="4"/>
        <v>6175</v>
      </c>
      <c r="S28" s="1">
        <f t="shared" si="4"/>
        <v>6155</v>
      </c>
      <c r="T28" s="5">
        <f>SUM(H28:S28)</f>
        <v>75176</v>
      </c>
    </row>
    <row r="29" spans="2:20" ht="15">
      <c r="B29" t="s">
        <v>76</v>
      </c>
      <c r="H29">
        <f aca="true" t="shared" si="5" ref="H29:S29">ROUND(+H25*(0.0282)/12,0)</f>
        <v>2037</v>
      </c>
      <c r="I29">
        <f t="shared" si="5"/>
        <v>2031</v>
      </c>
      <c r="J29">
        <f t="shared" si="5"/>
        <v>2024</v>
      </c>
      <c r="K29">
        <f t="shared" si="5"/>
        <v>2018</v>
      </c>
      <c r="L29">
        <f t="shared" si="5"/>
        <v>2012</v>
      </c>
      <c r="M29">
        <f t="shared" si="5"/>
        <v>2005</v>
      </c>
      <c r="N29">
        <f t="shared" si="5"/>
        <v>1999</v>
      </c>
      <c r="O29">
        <f t="shared" si="5"/>
        <v>1993</v>
      </c>
      <c r="P29">
        <f t="shared" si="5"/>
        <v>1986</v>
      </c>
      <c r="Q29">
        <f t="shared" si="5"/>
        <v>1980</v>
      </c>
      <c r="R29">
        <f t="shared" si="5"/>
        <v>1973</v>
      </c>
      <c r="S29">
        <f t="shared" si="5"/>
        <v>1967</v>
      </c>
      <c r="T29">
        <f>SUM(H29:S29)</f>
        <v>24025</v>
      </c>
    </row>
    <row r="31" spans="1:2" ht="15">
      <c r="A31" s="30" t="s">
        <v>44</v>
      </c>
      <c r="B31" t="s">
        <v>77</v>
      </c>
    </row>
    <row r="32" spans="2:20" ht="15">
      <c r="B32" t="s">
        <v>78</v>
      </c>
      <c r="H32">
        <f>depreciation!$D434</f>
        <v>2708</v>
      </c>
      <c r="I32">
        <f>depreciation!$D435</f>
        <v>2708</v>
      </c>
      <c r="J32">
        <f>depreciation!$D436</f>
        <v>2708</v>
      </c>
      <c r="K32">
        <f>depreciation!$D437</f>
        <v>2708</v>
      </c>
      <c r="L32">
        <f>depreciation!$D438</f>
        <v>2708</v>
      </c>
      <c r="M32">
        <f>depreciation!$D439</f>
        <v>2708</v>
      </c>
      <c r="N32">
        <f>depreciation!$D440</f>
        <v>2708</v>
      </c>
      <c r="O32">
        <f>depreciation!$D441</f>
        <v>2708</v>
      </c>
      <c r="P32">
        <f>depreciation!$D442</f>
        <v>2708</v>
      </c>
      <c r="Q32">
        <f>depreciation!$D443</f>
        <v>2708</v>
      </c>
      <c r="R32">
        <f>depreciation!$D444</f>
        <v>2708</v>
      </c>
      <c r="S32">
        <f>depreciation!$D445</f>
        <v>2708</v>
      </c>
      <c r="T32">
        <f>SUM(H32:S32)</f>
        <v>32496</v>
      </c>
    </row>
    <row r="33" spans="2:20" ht="15">
      <c r="B33" t="s">
        <v>79</v>
      </c>
      <c r="H33">
        <v>0</v>
      </c>
      <c r="I33">
        <v>0</v>
      </c>
      <c r="J33">
        <v>0</v>
      </c>
      <c r="K33">
        <v>0</v>
      </c>
      <c r="L33">
        <v>0</v>
      </c>
      <c r="M33">
        <v>0</v>
      </c>
      <c r="N33">
        <v>0</v>
      </c>
      <c r="O33">
        <v>0</v>
      </c>
      <c r="P33">
        <v>0</v>
      </c>
      <c r="Q33">
        <v>0</v>
      </c>
      <c r="R33">
        <v>0</v>
      </c>
      <c r="S33">
        <v>0</v>
      </c>
      <c r="T33">
        <f>SUM(H33:S33)</f>
        <v>0</v>
      </c>
    </row>
    <row r="34" spans="2:20" ht="15">
      <c r="B34" t="s">
        <v>80</v>
      </c>
      <c r="H34">
        <v>0</v>
      </c>
      <c r="I34">
        <v>0</v>
      </c>
      <c r="J34">
        <v>0</v>
      </c>
      <c r="K34">
        <v>0</v>
      </c>
      <c r="L34">
        <v>0</v>
      </c>
      <c r="M34">
        <v>0</v>
      </c>
      <c r="N34">
        <v>0</v>
      </c>
      <c r="O34">
        <v>0</v>
      </c>
      <c r="P34">
        <v>0</v>
      </c>
      <c r="Q34">
        <v>0</v>
      </c>
      <c r="R34">
        <v>0</v>
      </c>
      <c r="S34">
        <v>0</v>
      </c>
      <c r="T34">
        <f>SUM(H34:S34)</f>
        <v>0</v>
      </c>
    </row>
    <row r="35" spans="2:20" ht="15">
      <c r="B35" t="s">
        <v>81</v>
      </c>
      <c r="H35">
        <v>0</v>
      </c>
      <c r="I35">
        <v>0</v>
      </c>
      <c r="J35">
        <v>0</v>
      </c>
      <c r="K35">
        <v>0</v>
      </c>
      <c r="L35">
        <v>0</v>
      </c>
      <c r="M35">
        <v>0</v>
      </c>
      <c r="N35">
        <v>0</v>
      </c>
      <c r="O35">
        <v>0</v>
      </c>
      <c r="P35">
        <v>0</v>
      </c>
      <c r="Q35">
        <v>0</v>
      </c>
      <c r="R35">
        <v>0</v>
      </c>
      <c r="S35">
        <v>0</v>
      </c>
      <c r="T35">
        <f>SUM(H35:S35)</f>
        <v>0</v>
      </c>
    </row>
    <row r="36" spans="1:20" ht="15">
      <c r="A36" s="1"/>
      <c r="B36" s="1" t="s">
        <v>82</v>
      </c>
      <c r="C36" s="1"/>
      <c r="D36" s="1"/>
      <c r="E36" s="1"/>
      <c r="F36" s="1"/>
      <c r="G36" s="1"/>
      <c r="H36" s="6">
        <v>0</v>
      </c>
      <c r="I36" s="6">
        <v>0</v>
      </c>
      <c r="J36" s="6">
        <v>0</v>
      </c>
      <c r="K36" s="6">
        <v>0</v>
      </c>
      <c r="L36" s="6">
        <v>0</v>
      </c>
      <c r="M36" s="6">
        <v>0</v>
      </c>
      <c r="N36" s="6">
        <v>0</v>
      </c>
      <c r="O36" s="6">
        <v>0</v>
      </c>
      <c r="P36" s="6">
        <v>0</v>
      </c>
      <c r="Q36" s="6">
        <v>0</v>
      </c>
      <c r="R36" s="6">
        <v>0</v>
      </c>
      <c r="S36" s="6">
        <v>0</v>
      </c>
      <c r="T36" s="6">
        <f>SUM(H36:S36)</f>
        <v>0</v>
      </c>
    </row>
    <row r="38" spans="1:20" ht="15">
      <c r="A38" s="30" t="s">
        <v>45</v>
      </c>
      <c r="B38" t="s">
        <v>83</v>
      </c>
      <c r="H38">
        <f aca="true" t="shared" si="6" ref="H38:S38">ROUND(+H28+H29+H32+H33+H34+H35+H36,0)</f>
        <v>11119</v>
      </c>
      <c r="I38">
        <f t="shared" si="6"/>
        <v>11093</v>
      </c>
      <c r="J38">
        <f t="shared" si="6"/>
        <v>11066</v>
      </c>
      <c r="K38">
        <f t="shared" si="6"/>
        <v>11040</v>
      </c>
      <c r="L38">
        <f t="shared" si="6"/>
        <v>11015</v>
      </c>
      <c r="M38">
        <f t="shared" si="6"/>
        <v>10988</v>
      </c>
      <c r="N38">
        <f t="shared" si="6"/>
        <v>10962</v>
      </c>
      <c r="O38">
        <f t="shared" si="6"/>
        <v>10936</v>
      </c>
      <c r="P38">
        <f t="shared" si="6"/>
        <v>10909</v>
      </c>
      <c r="Q38">
        <f t="shared" si="6"/>
        <v>10883</v>
      </c>
      <c r="R38">
        <f t="shared" si="6"/>
        <v>10856</v>
      </c>
      <c r="S38">
        <f t="shared" si="6"/>
        <v>10830</v>
      </c>
      <c r="T38">
        <f>SUM(H38:S38)</f>
        <v>131697</v>
      </c>
    </row>
    <row r="39" spans="2:20" ht="15">
      <c r="B39" t="s">
        <v>84</v>
      </c>
      <c r="H39">
        <f aca="true" t="shared" si="7" ref="H39:S39">ROUND(+H38*1,0)</f>
        <v>11119</v>
      </c>
      <c r="I39">
        <f t="shared" si="7"/>
        <v>11093</v>
      </c>
      <c r="J39">
        <f t="shared" si="7"/>
        <v>11066</v>
      </c>
      <c r="K39">
        <f t="shared" si="7"/>
        <v>11040</v>
      </c>
      <c r="L39">
        <f t="shared" si="7"/>
        <v>11015</v>
      </c>
      <c r="M39">
        <f t="shared" si="7"/>
        <v>10988</v>
      </c>
      <c r="N39">
        <f t="shared" si="7"/>
        <v>10962</v>
      </c>
      <c r="O39">
        <f t="shared" si="7"/>
        <v>10936</v>
      </c>
      <c r="P39">
        <f t="shared" si="7"/>
        <v>10909</v>
      </c>
      <c r="Q39">
        <f t="shared" si="7"/>
        <v>10883</v>
      </c>
      <c r="R39">
        <f t="shared" si="7"/>
        <v>10856</v>
      </c>
      <c r="S39">
        <f t="shared" si="7"/>
        <v>10830</v>
      </c>
      <c r="T39">
        <f>SUM(H39:S39)</f>
        <v>131697</v>
      </c>
    </row>
    <row r="40" spans="2:20" ht="15">
      <c r="B40" t="s">
        <v>85</v>
      </c>
      <c r="H40">
        <f aca="true" t="shared" si="8" ref="H40:S40">ROUND(+H38*0,0)</f>
        <v>0</v>
      </c>
      <c r="I40">
        <f t="shared" si="8"/>
        <v>0</v>
      </c>
      <c r="J40">
        <f t="shared" si="8"/>
        <v>0</v>
      </c>
      <c r="K40">
        <f t="shared" si="8"/>
        <v>0</v>
      </c>
      <c r="L40">
        <f t="shared" si="8"/>
        <v>0</v>
      </c>
      <c r="M40">
        <f t="shared" si="8"/>
        <v>0</v>
      </c>
      <c r="N40">
        <f t="shared" si="8"/>
        <v>0</v>
      </c>
      <c r="O40">
        <f t="shared" si="8"/>
        <v>0</v>
      </c>
      <c r="P40">
        <f t="shared" si="8"/>
        <v>0</v>
      </c>
      <c r="Q40">
        <f t="shared" si="8"/>
        <v>0</v>
      </c>
      <c r="R40">
        <f t="shared" si="8"/>
        <v>0</v>
      </c>
      <c r="S40">
        <f t="shared" si="8"/>
        <v>0</v>
      </c>
      <c r="T40">
        <f>SUM(H40:S40)</f>
        <v>0</v>
      </c>
    </row>
    <row r="42" spans="1:20" ht="15">
      <c r="A42" s="31" t="s">
        <v>86</v>
      </c>
      <c r="B42" s="1" t="s">
        <v>87</v>
      </c>
      <c r="C42" s="1"/>
      <c r="D42" s="1"/>
      <c r="E42" s="1"/>
      <c r="F42" s="1"/>
      <c r="G42" s="24"/>
      <c r="H42" s="24">
        <f>'Form 42 5A'!H53</f>
        <v>0</v>
      </c>
      <c r="I42" s="24">
        <f>'Form 42 5A'!I53</f>
        <v>0</v>
      </c>
      <c r="J42" s="24">
        <f>'Form 42 5A'!J53</f>
        <v>0</v>
      </c>
      <c r="K42" s="24">
        <f>'Form 42 5A'!K53</f>
        <v>0</v>
      </c>
      <c r="L42" s="24">
        <f>'Form 42 5A'!L53</f>
        <v>0</v>
      </c>
      <c r="M42" s="24">
        <f>'Form 42 5A'!M53</f>
        <v>0</v>
      </c>
      <c r="N42" s="24">
        <f>'Form 42 5A'!N53</f>
        <v>0</v>
      </c>
      <c r="O42" s="24">
        <f>'Form 42 5A'!O53</f>
        <v>0</v>
      </c>
      <c r="P42" s="24">
        <f>'Form 42 5A'!P53</f>
        <v>0</v>
      </c>
      <c r="Q42" s="24">
        <f>'Form 42 5A'!Q53</f>
        <v>0</v>
      </c>
      <c r="R42" s="24">
        <f>'Form 42 5A'!R53</f>
        <v>0</v>
      </c>
      <c r="S42" s="24">
        <f>'Form 42 5A'!S53</f>
        <v>0</v>
      </c>
      <c r="T42" s="24"/>
    </row>
    <row r="43" spans="1:20" ht="15">
      <c r="A43" s="31" t="s">
        <v>88</v>
      </c>
      <c r="B43" s="1" t="s">
        <v>89</v>
      </c>
      <c r="C43" s="1"/>
      <c r="D43" s="1"/>
      <c r="E43" s="1"/>
      <c r="F43" s="1"/>
      <c r="G43" s="24"/>
      <c r="H43" s="24">
        <f>+'Form 42 5A'!H54</f>
        <v>0</v>
      </c>
      <c r="I43" s="24">
        <f>+H43</f>
        <v>0</v>
      </c>
      <c r="J43" s="24">
        <f aca="true" t="shared" si="9" ref="J43:S43">+I43</f>
        <v>0</v>
      </c>
      <c r="K43" s="24">
        <f t="shared" si="9"/>
        <v>0</v>
      </c>
      <c r="L43" s="24">
        <f t="shared" si="9"/>
        <v>0</v>
      </c>
      <c r="M43" s="24">
        <f t="shared" si="9"/>
        <v>0</v>
      </c>
      <c r="N43" s="24">
        <f t="shared" si="9"/>
        <v>0</v>
      </c>
      <c r="O43" s="24">
        <f t="shared" si="9"/>
        <v>0</v>
      </c>
      <c r="P43" s="24">
        <f t="shared" si="9"/>
        <v>0</v>
      </c>
      <c r="Q43" s="24">
        <f t="shared" si="9"/>
        <v>0</v>
      </c>
      <c r="R43" s="24">
        <f t="shared" si="9"/>
        <v>0</v>
      </c>
      <c r="S43" s="24">
        <f t="shared" si="9"/>
        <v>0</v>
      </c>
      <c r="T43" s="24"/>
    </row>
    <row r="45" spans="1:20" ht="15">
      <c r="A45" s="30" t="s">
        <v>90</v>
      </c>
      <c r="B45" t="s">
        <v>91</v>
      </c>
      <c r="H45">
        <f aca="true" t="shared" si="10" ref="H45:S45">ROUND((+H39*H42),0)</f>
        <v>0</v>
      </c>
      <c r="I45">
        <f t="shared" si="10"/>
        <v>0</v>
      </c>
      <c r="J45">
        <f t="shared" si="10"/>
        <v>0</v>
      </c>
      <c r="K45">
        <f t="shared" si="10"/>
        <v>0</v>
      </c>
      <c r="L45">
        <f t="shared" si="10"/>
        <v>0</v>
      </c>
      <c r="M45">
        <f t="shared" si="10"/>
        <v>0</v>
      </c>
      <c r="N45">
        <f t="shared" si="10"/>
        <v>0</v>
      </c>
      <c r="O45">
        <f t="shared" si="10"/>
        <v>0</v>
      </c>
      <c r="P45">
        <f t="shared" si="10"/>
        <v>0</v>
      </c>
      <c r="Q45">
        <f t="shared" si="10"/>
        <v>0</v>
      </c>
      <c r="R45">
        <f t="shared" si="10"/>
        <v>0</v>
      </c>
      <c r="S45">
        <f t="shared" si="10"/>
        <v>0</v>
      </c>
      <c r="T45">
        <f>SUM(H45:S45)</f>
        <v>0</v>
      </c>
    </row>
    <row r="46" spans="1:20" ht="15">
      <c r="A46" s="31" t="s">
        <v>92</v>
      </c>
      <c r="B46" s="1" t="s">
        <v>93</v>
      </c>
      <c r="C46" s="1"/>
      <c r="D46" s="1"/>
      <c r="E46" s="1"/>
      <c r="F46" s="1"/>
      <c r="G46" s="1"/>
      <c r="H46" s="6">
        <f aca="true" t="shared" si="11" ref="H46:S46">(+H40*H43)</f>
        <v>0</v>
      </c>
      <c r="I46" s="6">
        <f t="shared" si="11"/>
        <v>0</v>
      </c>
      <c r="J46" s="6">
        <f t="shared" si="11"/>
        <v>0</v>
      </c>
      <c r="K46" s="6">
        <f t="shared" si="11"/>
        <v>0</v>
      </c>
      <c r="L46" s="6">
        <f t="shared" si="11"/>
        <v>0</v>
      </c>
      <c r="M46" s="6">
        <f t="shared" si="11"/>
        <v>0</v>
      </c>
      <c r="N46" s="6">
        <f t="shared" si="11"/>
        <v>0</v>
      </c>
      <c r="O46" s="6">
        <f t="shared" si="11"/>
        <v>0</v>
      </c>
      <c r="P46" s="6">
        <f t="shared" si="11"/>
        <v>0</v>
      </c>
      <c r="Q46" s="6">
        <f t="shared" si="11"/>
        <v>0</v>
      </c>
      <c r="R46" s="6">
        <f t="shared" si="11"/>
        <v>0</v>
      </c>
      <c r="S46" s="6">
        <f t="shared" si="11"/>
        <v>0</v>
      </c>
      <c r="T46" s="6">
        <f>SUM(H46:S46)</f>
        <v>0</v>
      </c>
    </row>
    <row r="47" spans="1:20" ht="15.75" thickBot="1">
      <c r="A47" s="31" t="s">
        <v>94</v>
      </c>
      <c r="B47" s="1" t="s">
        <v>95</v>
      </c>
      <c r="C47" s="1"/>
      <c r="D47" s="1"/>
      <c r="E47" s="1"/>
      <c r="F47" s="1"/>
      <c r="G47" s="1"/>
      <c r="H47" s="7">
        <f aca="true" t="shared" si="12" ref="H47:S47">H45+H46</f>
        <v>0</v>
      </c>
      <c r="I47" s="7">
        <f t="shared" si="12"/>
        <v>0</v>
      </c>
      <c r="J47" s="7">
        <f t="shared" si="12"/>
        <v>0</v>
      </c>
      <c r="K47" s="7">
        <f t="shared" si="12"/>
        <v>0</v>
      </c>
      <c r="L47" s="7">
        <f t="shared" si="12"/>
        <v>0</v>
      </c>
      <c r="M47" s="7">
        <f t="shared" si="12"/>
        <v>0</v>
      </c>
      <c r="N47" s="7">
        <f t="shared" si="12"/>
        <v>0</v>
      </c>
      <c r="O47" s="7">
        <f t="shared" si="12"/>
        <v>0</v>
      </c>
      <c r="P47" s="7">
        <f t="shared" si="12"/>
        <v>0</v>
      </c>
      <c r="Q47" s="7">
        <f t="shared" si="12"/>
        <v>0</v>
      </c>
      <c r="R47" s="7">
        <f t="shared" si="12"/>
        <v>0</v>
      </c>
      <c r="S47" s="7">
        <f t="shared" si="12"/>
        <v>0</v>
      </c>
      <c r="T47" s="7">
        <f>SUM(T45:T46)</f>
        <v>0</v>
      </c>
    </row>
    <row r="49" ht="15">
      <c r="A49" s="30" t="s">
        <v>31</v>
      </c>
    </row>
    <row r="50" spans="1:2" ht="15">
      <c r="A50" s="30" t="s">
        <v>96</v>
      </c>
      <c r="B50" t="s">
        <v>97</v>
      </c>
    </row>
    <row r="51" spans="1:2" ht="15">
      <c r="A51" s="30" t="s">
        <v>98</v>
      </c>
      <c r="B51" t="s">
        <v>99</v>
      </c>
    </row>
    <row r="52" spans="1:2" ht="15">
      <c r="A52" s="30" t="s">
        <v>100</v>
      </c>
      <c r="B52" t="s">
        <v>101</v>
      </c>
    </row>
  </sheetData>
  <printOptions/>
  <pageMargins left="0" right="0" top="1" bottom="1" header="0.5" footer="0.5"/>
  <pageSetup horizontalDpi="300" verticalDpi="300" orientation="landscape" scale="43" r:id="rId1"/>
</worksheet>
</file>

<file path=xl/worksheets/sheet14.xml><?xml version="1.0" encoding="utf-8"?>
<worksheet xmlns="http://schemas.openxmlformats.org/spreadsheetml/2006/main" xmlns:r="http://schemas.openxmlformats.org/officeDocument/2006/relationships">
  <sheetPr codeName="Sheet13"/>
  <dimension ref="A1:T52"/>
  <sheetViews>
    <sheetView zoomScale="75" zoomScaleNormal="75" workbookViewId="0" topLeftCell="A1">
      <selection activeCell="A7" sqref="A7"/>
    </sheetView>
  </sheetViews>
  <sheetFormatPr defaultColWidth="9.77734375" defaultRowHeight="15"/>
  <cols>
    <col min="7" max="12" width="12.77734375" style="0" customWidth="1"/>
    <col min="13" max="16" width="14.3359375" style="0" customWidth="1"/>
    <col min="17" max="21" width="12.77734375" style="0" customWidth="1"/>
  </cols>
  <sheetData>
    <row r="1" spans="1:20" ht="15.75">
      <c r="A1" s="8" t="s">
        <v>438</v>
      </c>
      <c r="B1" s="2"/>
      <c r="C1" s="2"/>
      <c r="D1" s="2"/>
      <c r="E1" s="2"/>
      <c r="F1" s="2"/>
      <c r="G1" s="2"/>
      <c r="H1" s="2"/>
      <c r="I1" s="2"/>
      <c r="J1" s="2"/>
      <c r="K1" s="2"/>
      <c r="L1" s="2"/>
      <c r="T1" s="30" t="s">
        <v>442</v>
      </c>
    </row>
    <row r="2" spans="1:20" ht="15">
      <c r="A2" s="2" t="s">
        <v>0</v>
      </c>
      <c r="B2" s="2"/>
      <c r="C2" s="2"/>
      <c r="D2" s="2"/>
      <c r="E2" s="2"/>
      <c r="F2" s="2"/>
      <c r="G2" s="2"/>
      <c r="H2" s="2"/>
      <c r="I2" s="2"/>
      <c r="J2" s="2"/>
      <c r="K2" s="2"/>
      <c r="L2" s="2"/>
      <c r="T2" s="30" t="s">
        <v>396</v>
      </c>
    </row>
    <row r="3" spans="1:12" ht="15">
      <c r="A3" s="2" t="s">
        <v>494</v>
      </c>
      <c r="B3" s="9"/>
      <c r="C3" s="9"/>
      <c r="D3" s="9"/>
      <c r="E3" s="9"/>
      <c r="F3" s="9"/>
      <c r="G3" s="9"/>
      <c r="H3" s="9"/>
      <c r="I3" s="2"/>
      <c r="J3" s="2"/>
      <c r="K3" s="2"/>
      <c r="L3" s="2"/>
    </row>
    <row r="4" spans="1:12" ht="15.75">
      <c r="A4" s="11" t="str">
        <f>'Form 42 2A'!A4</f>
        <v>January 2003 through December 2003</v>
      </c>
      <c r="B4" s="2"/>
      <c r="C4" s="2"/>
      <c r="D4" s="2"/>
      <c r="E4" s="2"/>
      <c r="F4" s="2"/>
      <c r="G4" s="2"/>
      <c r="H4" s="2"/>
      <c r="I4" s="2"/>
      <c r="J4" s="2"/>
      <c r="K4" s="2"/>
      <c r="L4" s="2"/>
    </row>
    <row r="5" spans="1:12" ht="15">
      <c r="A5" s="67" t="s">
        <v>337</v>
      </c>
      <c r="B5" s="2"/>
      <c r="C5" s="2"/>
      <c r="D5" s="2"/>
      <c r="E5" s="2"/>
      <c r="F5" s="2"/>
      <c r="G5" s="2"/>
      <c r="H5" s="2"/>
      <c r="I5" s="2"/>
      <c r="J5" s="2"/>
      <c r="K5" s="2"/>
      <c r="L5" s="2"/>
    </row>
    <row r="6" spans="1:12" ht="15">
      <c r="A6" s="2" t="s">
        <v>59</v>
      </c>
      <c r="B6" s="2"/>
      <c r="C6" s="2"/>
      <c r="D6" s="2"/>
      <c r="E6" s="2"/>
      <c r="F6" s="2"/>
      <c r="G6" s="2"/>
      <c r="H6" s="2"/>
      <c r="I6" s="2"/>
      <c r="J6" s="2"/>
      <c r="K6" s="2"/>
      <c r="L6" s="2"/>
    </row>
    <row r="7" spans="1:12" ht="15">
      <c r="A7" s="57" t="s">
        <v>489</v>
      </c>
      <c r="B7" s="2"/>
      <c r="C7" s="2"/>
      <c r="D7" s="2"/>
      <c r="E7" s="2"/>
      <c r="F7" s="2"/>
      <c r="G7" s="2"/>
      <c r="H7" s="2"/>
      <c r="I7" s="2"/>
      <c r="J7" s="2"/>
      <c r="K7" s="2"/>
      <c r="L7" s="2"/>
    </row>
    <row r="8" spans="1:12" ht="15">
      <c r="A8" s="2" t="s">
        <v>5</v>
      </c>
      <c r="B8" s="2"/>
      <c r="C8" s="2"/>
      <c r="D8" s="2"/>
      <c r="E8" s="2"/>
      <c r="F8" s="2"/>
      <c r="G8" s="2"/>
      <c r="H8" s="2"/>
      <c r="I8" s="2"/>
      <c r="J8" s="2"/>
      <c r="K8" s="2"/>
      <c r="L8" s="2"/>
    </row>
    <row r="10" spans="1:20" ht="15">
      <c r="A10" s="2"/>
      <c r="T10" s="29" t="s">
        <v>60</v>
      </c>
    </row>
    <row r="11" spans="7:20" ht="15">
      <c r="G11" s="29" t="s">
        <v>61</v>
      </c>
      <c r="T11" s="29" t="s">
        <v>2</v>
      </c>
    </row>
    <row r="12" spans="1:20" ht="15.75" thickBot="1">
      <c r="A12" s="25" t="s">
        <v>3</v>
      </c>
      <c r="B12" s="2"/>
      <c r="C12" s="25" t="s">
        <v>62</v>
      </c>
      <c r="E12" s="2"/>
      <c r="F12" s="2"/>
      <c r="G12" s="19" t="s">
        <v>63</v>
      </c>
      <c r="H12" s="68" t="str">
        <f>'Form 42 2A'!H10</f>
        <v>January 03</v>
      </c>
      <c r="I12" s="68" t="str">
        <f>'Form 42 2A'!I10</f>
        <v>February 03</v>
      </c>
      <c r="J12" s="68" t="str">
        <f>'Form 42 2A'!J10</f>
        <v>March 03</v>
      </c>
      <c r="K12" s="68" t="str">
        <f>'Form 42 2A'!K10</f>
        <v>April 03</v>
      </c>
      <c r="L12" s="68" t="str">
        <f>'Form 42 2A'!L10</f>
        <v>May 03</v>
      </c>
      <c r="M12" s="68" t="str">
        <f>'Form 42 2A'!M10</f>
        <v>June 03</v>
      </c>
      <c r="N12" s="68" t="str">
        <f>'Form 42 2A'!N10</f>
        <v>July 03</v>
      </c>
      <c r="O12" s="68" t="str">
        <f>'Form 42 2A'!O10</f>
        <v>August 03</v>
      </c>
      <c r="P12" s="68" t="str">
        <f>'Form 42 2A'!P10</f>
        <v>September 03</v>
      </c>
      <c r="Q12" s="68" t="str">
        <f>'Form 42 2A'!Q10</f>
        <v>October 03</v>
      </c>
      <c r="R12" s="68" t="str">
        <f>'Form 42 2A'!R10</f>
        <v>November 03</v>
      </c>
      <c r="S12" s="68" t="str">
        <f>'Form 42 2A'!S10</f>
        <v>December 03</v>
      </c>
      <c r="T12" s="19" t="s">
        <v>8</v>
      </c>
    </row>
    <row r="13" spans="1:4" ht="15">
      <c r="A13" s="1"/>
      <c r="B13" s="1"/>
      <c r="C13" s="1"/>
      <c r="D13" s="27"/>
    </row>
    <row r="14" spans="1:2" ht="15">
      <c r="A14" s="30" t="s">
        <v>35</v>
      </c>
      <c r="B14" t="s">
        <v>64</v>
      </c>
    </row>
    <row r="15" spans="1:20" ht="15">
      <c r="A15" s="1"/>
      <c r="B15" s="1" t="s">
        <v>65</v>
      </c>
      <c r="C15" s="1"/>
      <c r="D15" s="1"/>
      <c r="E15" s="1"/>
      <c r="F15" s="1"/>
      <c r="G15" s="1"/>
      <c r="H15" s="5">
        <v>0</v>
      </c>
      <c r="I15" s="5">
        <v>0</v>
      </c>
      <c r="J15" s="5">
        <v>0</v>
      </c>
      <c r="K15" s="5">
        <v>0</v>
      </c>
      <c r="L15" s="5">
        <v>0</v>
      </c>
      <c r="M15" s="5">
        <v>0</v>
      </c>
      <c r="N15" s="5">
        <v>0</v>
      </c>
      <c r="O15" s="5">
        <v>0</v>
      </c>
      <c r="P15" s="5">
        <v>0</v>
      </c>
      <c r="Q15" s="5">
        <v>0</v>
      </c>
      <c r="R15" s="5">
        <v>0</v>
      </c>
      <c r="S15" s="5">
        <v>0</v>
      </c>
      <c r="T15" s="5"/>
    </row>
    <row r="16" spans="2:19" ht="15">
      <c r="B16" t="s">
        <v>66</v>
      </c>
      <c r="H16">
        <v>0</v>
      </c>
      <c r="I16">
        <v>0</v>
      </c>
      <c r="J16">
        <v>0</v>
      </c>
      <c r="K16">
        <v>0</v>
      </c>
      <c r="L16">
        <v>0</v>
      </c>
      <c r="M16">
        <v>0</v>
      </c>
      <c r="N16">
        <v>0</v>
      </c>
      <c r="O16">
        <v>0</v>
      </c>
      <c r="P16">
        <v>0</v>
      </c>
      <c r="Q16">
        <v>0</v>
      </c>
      <c r="R16">
        <v>0</v>
      </c>
      <c r="S16">
        <v>0</v>
      </c>
    </row>
    <row r="17" spans="2:19" ht="15">
      <c r="B17" t="s">
        <v>67</v>
      </c>
      <c r="H17">
        <v>0</v>
      </c>
      <c r="I17">
        <v>0</v>
      </c>
      <c r="J17">
        <v>0</v>
      </c>
      <c r="K17">
        <v>0</v>
      </c>
      <c r="L17">
        <v>0</v>
      </c>
      <c r="M17">
        <v>0</v>
      </c>
      <c r="N17">
        <v>0</v>
      </c>
      <c r="O17">
        <v>0</v>
      </c>
      <c r="P17">
        <v>0</v>
      </c>
      <c r="Q17">
        <v>0</v>
      </c>
      <c r="R17">
        <v>0</v>
      </c>
      <c r="S17">
        <v>0</v>
      </c>
    </row>
    <row r="18" spans="2:19" ht="15">
      <c r="B18" t="s">
        <v>68</v>
      </c>
      <c r="H18">
        <v>0</v>
      </c>
      <c r="I18">
        <v>0</v>
      </c>
      <c r="J18">
        <v>0</v>
      </c>
      <c r="K18">
        <v>0</v>
      </c>
      <c r="L18">
        <v>0</v>
      </c>
      <c r="M18">
        <v>0</v>
      </c>
      <c r="N18">
        <v>0</v>
      </c>
      <c r="O18">
        <v>0</v>
      </c>
      <c r="P18">
        <v>0</v>
      </c>
      <c r="Q18">
        <v>0</v>
      </c>
      <c r="R18">
        <v>0</v>
      </c>
      <c r="S18">
        <v>0</v>
      </c>
    </row>
    <row r="20" spans="1:19" ht="15">
      <c r="A20" s="31" t="s">
        <v>36</v>
      </c>
      <c r="B20" s="1" t="s">
        <v>69</v>
      </c>
      <c r="C20" s="1"/>
      <c r="D20" s="1"/>
      <c r="E20" s="1"/>
      <c r="F20" s="1"/>
      <c r="G20" s="5">
        <f>+depreciation!B574</f>
        <v>1246700</v>
      </c>
      <c r="H20" s="5">
        <f>+H15+G20</f>
        <v>1246700</v>
      </c>
      <c r="I20" s="5">
        <f aca="true" t="shared" si="0" ref="I20:S20">+I15+H20</f>
        <v>1246700</v>
      </c>
      <c r="J20" s="5">
        <f t="shared" si="0"/>
        <v>1246700</v>
      </c>
      <c r="K20" s="5">
        <f t="shared" si="0"/>
        <v>1246700</v>
      </c>
      <c r="L20" s="5">
        <f t="shared" si="0"/>
        <v>1246700</v>
      </c>
      <c r="M20" s="5">
        <f t="shared" si="0"/>
        <v>1246700</v>
      </c>
      <c r="N20" s="5">
        <f t="shared" si="0"/>
        <v>1246700</v>
      </c>
      <c r="O20" s="5">
        <f t="shared" si="0"/>
        <v>1246700</v>
      </c>
      <c r="P20" s="5">
        <f t="shared" si="0"/>
        <v>1246700</v>
      </c>
      <c r="Q20" s="5">
        <f t="shared" si="0"/>
        <v>1246700</v>
      </c>
      <c r="R20" s="5">
        <f t="shared" si="0"/>
        <v>1246700</v>
      </c>
      <c r="S20" s="5">
        <f t="shared" si="0"/>
        <v>1246700</v>
      </c>
    </row>
    <row r="21" spans="1:19" ht="15">
      <c r="A21" s="30" t="s">
        <v>38</v>
      </c>
      <c r="B21" t="s">
        <v>70</v>
      </c>
      <c r="G21">
        <f>-depreciation!E574</f>
        <v>-609012</v>
      </c>
      <c r="H21">
        <f aca="true" t="shared" si="1" ref="H21:S21">G21-H32</f>
        <v>-629790.3333333334</v>
      </c>
      <c r="I21">
        <f t="shared" si="1"/>
        <v>-650568.6666666667</v>
      </c>
      <c r="J21">
        <f t="shared" si="1"/>
        <v>-671347.0000000001</v>
      </c>
      <c r="K21">
        <f t="shared" si="1"/>
        <v>-692125.3333333335</v>
      </c>
      <c r="L21">
        <f t="shared" si="1"/>
        <v>-712903.6666666669</v>
      </c>
      <c r="M21">
        <f t="shared" si="1"/>
        <v>-733682.0000000002</v>
      </c>
      <c r="N21">
        <f t="shared" si="1"/>
        <v>-754460.3333333336</v>
      </c>
      <c r="O21">
        <f t="shared" si="1"/>
        <v>-775238.666666667</v>
      </c>
      <c r="P21">
        <f t="shared" si="1"/>
        <v>-796017.0000000003</v>
      </c>
      <c r="Q21">
        <f t="shared" si="1"/>
        <v>-816795.3333333337</v>
      </c>
      <c r="R21">
        <f t="shared" si="1"/>
        <v>-837573.6666666671</v>
      </c>
      <c r="S21">
        <f t="shared" si="1"/>
        <v>-858352.0000000005</v>
      </c>
    </row>
    <row r="22" spans="1:19" ht="15">
      <c r="A22" s="31" t="s">
        <v>39</v>
      </c>
      <c r="B22" s="1" t="s">
        <v>104</v>
      </c>
      <c r="C22" s="1"/>
      <c r="D22" s="1"/>
      <c r="E22" s="1"/>
      <c r="F22" s="1"/>
      <c r="G22" s="6">
        <v>0</v>
      </c>
      <c r="H22" s="6">
        <v>0</v>
      </c>
      <c r="I22" s="6">
        <v>0</v>
      </c>
      <c r="J22" s="6">
        <v>0</v>
      </c>
      <c r="K22" s="6">
        <v>0</v>
      </c>
      <c r="L22" s="6">
        <v>0</v>
      </c>
      <c r="M22" s="6">
        <v>0</v>
      </c>
      <c r="N22" s="6">
        <v>0</v>
      </c>
      <c r="O22" s="6">
        <v>0</v>
      </c>
      <c r="P22" s="6">
        <v>0</v>
      </c>
      <c r="Q22" s="6">
        <v>0</v>
      </c>
      <c r="R22" s="6">
        <v>0</v>
      </c>
      <c r="S22" s="6">
        <v>0</v>
      </c>
    </row>
    <row r="23" spans="1:20" ht="15">
      <c r="A23" s="31" t="s">
        <v>40</v>
      </c>
      <c r="B23" s="1" t="s">
        <v>72</v>
      </c>
      <c r="C23" s="1"/>
      <c r="D23" s="1"/>
      <c r="E23" s="1"/>
      <c r="F23" s="1"/>
      <c r="G23" s="26">
        <f aca="true" t="shared" si="2" ref="G23:S23">G20+G21+G22</f>
        <v>637688</v>
      </c>
      <c r="H23" s="17">
        <f t="shared" si="2"/>
        <v>616909.6666666666</v>
      </c>
      <c r="I23" s="17">
        <f t="shared" si="2"/>
        <v>596131.3333333333</v>
      </c>
      <c r="J23" s="17">
        <f t="shared" si="2"/>
        <v>575352.9999999999</v>
      </c>
      <c r="K23" s="17">
        <f t="shared" si="2"/>
        <v>554574.6666666665</v>
      </c>
      <c r="L23" s="17">
        <f t="shared" si="2"/>
        <v>533796.3333333331</v>
      </c>
      <c r="M23" s="17">
        <f t="shared" si="2"/>
        <v>513017.99999999977</v>
      </c>
      <c r="N23" s="17">
        <f t="shared" si="2"/>
        <v>492239.6666666664</v>
      </c>
      <c r="O23" s="17">
        <f t="shared" si="2"/>
        <v>471461.333333333</v>
      </c>
      <c r="P23" s="17">
        <f t="shared" si="2"/>
        <v>450682.99999999965</v>
      </c>
      <c r="Q23" s="17">
        <f t="shared" si="2"/>
        <v>429904.6666666663</v>
      </c>
      <c r="R23" s="17">
        <f t="shared" si="2"/>
        <v>409126.3333333329</v>
      </c>
      <c r="S23" s="17">
        <f t="shared" si="2"/>
        <v>388347.99999999953</v>
      </c>
      <c r="T23" s="16"/>
    </row>
    <row r="25" spans="1:19" ht="15">
      <c r="A25" s="30" t="s">
        <v>42</v>
      </c>
      <c r="B25" t="s">
        <v>73</v>
      </c>
      <c r="H25">
        <f aca="true" t="shared" si="3" ref="H25:S25">ROUND((+G23+H23)/2,0)</f>
        <v>627299</v>
      </c>
      <c r="I25">
        <f t="shared" si="3"/>
        <v>606521</v>
      </c>
      <c r="J25">
        <f t="shared" si="3"/>
        <v>585742</v>
      </c>
      <c r="K25">
        <f t="shared" si="3"/>
        <v>564964</v>
      </c>
      <c r="L25">
        <f t="shared" si="3"/>
        <v>544186</v>
      </c>
      <c r="M25">
        <f t="shared" si="3"/>
        <v>523407</v>
      </c>
      <c r="N25">
        <f t="shared" si="3"/>
        <v>502629</v>
      </c>
      <c r="O25">
        <f t="shared" si="3"/>
        <v>481851</v>
      </c>
      <c r="P25">
        <f t="shared" si="3"/>
        <v>461072</v>
      </c>
      <c r="Q25">
        <f t="shared" si="3"/>
        <v>440294</v>
      </c>
      <c r="R25">
        <f t="shared" si="3"/>
        <v>419516</v>
      </c>
      <c r="S25">
        <f t="shared" si="3"/>
        <v>398737</v>
      </c>
    </row>
    <row r="27" spans="1:2" ht="15">
      <c r="A27" s="30" t="s">
        <v>43</v>
      </c>
      <c r="B27" t="s">
        <v>74</v>
      </c>
    </row>
    <row r="28" spans="1:20" ht="15">
      <c r="A28" s="1"/>
      <c r="B28" s="1" t="s">
        <v>75</v>
      </c>
      <c r="C28" s="1"/>
      <c r="D28" s="1"/>
      <c r="E28" s="1"/>
      <c r="F28" s="1"/>
      <c r="G28" s="1"/>
      <c r="H28" s="1">
        <f aca="true" t="shared" si="4" ref="H28:S28">ROUND(+H25*(0.088238)/12,0)</f>
        <v>4613</v>
      </c>
      <c r="I28" s="1">
        <f t="shared" si="4"/>
        <v>4460</v>
      </c>
      <c r="J28" s="1">
        <f t="shared" si="4"/>
        <v>4307</v>
      </c>
      <c r="K28" s="1">
        <f t="shared" si="4"/>
        <v>4154</v>
      </c>
      <c r="L28" s="1">
        <f t="shared" si="4"/>
        <v>4001</v>
      </c>
      <c r="M28" s="1">
        <f t="shared" si="4"/>
        <v>3849</v>
      </c>
      <c r="N28" s="1">
        <f t="shared" si="4"/>
        <v>3696</v>
      </c>
      <c r="O28" s="1">
        <f t="shared" si="4"/>
        <v>3543</v>
      </c>
      <c r="P28" s="1">
        <f t="shared" si="4"/>
        <v>3390</v>
      </c>
      <c r="Q28" s="1">
        <f t="shared" si="4"/>
        <v>3238</v>
      </c>
      <c r="R28" s="1">
        <f t="shared" si="4"/>
        <v>3085</v>
      </c>
      <c r="S28" s="1">
        <f t="shared" si="4"/>
        <v>2932</v>
      </c>
      <c r="T28" s="5">
        <f>SUM(H28:S28)</f>
        <v>45268</v>
      </c>
    </row>
    <row r="29" spans="2:20" ht="15">
      <c r="B29" t="s">
        <v>76</v>
      </c>
      <c r="H29">
        <f aca="true" t="shared" si="5" ref="H29:S29">ROUND(+H25*(0.0282)/12,0)</f>
        <v>1474</v>
      </c>
      <c r="I29">
        <f t="shared" si="5"/>
        <v>1425</v>
      </c>
      <c r="J29">
        <f t="shared" si="5"/>
        <v>1376</v>
      </c>
      <c r="K29">
        <f t="shared" si="5"/>
        <v>1328</v>
      </c>
      <c r="L29">
        <f t="shared" si="5"/>
        <v>1279</v>
      </c>
      <c r="M29">
        <f t="shared" si="5"/>
        <v>1230</v>
      </c>
      <c r="N29">
        <f t="shared" si="5"/>
        <v>1181</v>
      </c>
      <c r="O29">
        <f t="shared" si="5"/>
        <v>1132</v>
      </c>
      <c r="P29">
        <f t="shared" si="5"/>
        <v>1084</v>
      </c>
      <c r="Q29">
        <f t="shared" si="5"/>
        <v>1035</v>
      </c>
      <c r="R29">
        <f t="shared" si="5"/>
        <v>986</v>
      </c>
      <c r="S29">
        <f t="shared" si="5"/>
        <v>937</v>
      </c>
      <c r="T29">
        <f>SUM(H29:S29)</f>
        <v>14467</v>
      </c>
    </row>
    <row r="31" spans="1:2" ht="15">
      <c r="A31" s="30" t="s">
        <v>44</v>
      </c>
      <c r="B31" t="s">
        <v>77</v>
      </c>
    </row>
    <row r="32" spans="2:20" ht="15">
      <c r="B32" t="s">
        <v>78</v>
      </c>
      <c r="H32">
        <f>+depreciation!$D576</f>
        <v>20778.333333333332</v>
      </c>
      <c r="I32">
        <f>+depreciation!$D577</f>
        <v>20778.333333333332</v>
      </c>
      <c r="J32">
        <f>+depreciation!$D578</f>
        <v>20778.333333333332</v>
      </c>
      <c r="K32">
        <f>+depreciation!$D579</f>
        <v>20778.333333333332</v>
      </c>
      <c r="L32">
        <f>+depreciation!$D580</f>
        <v>20778.333333333332</v>
      </c>
      <c r="M32">
        <f>+depreciation!$D581</f>
        <v>20778.333333333332</v>
      </c>
      <c r="N32">
        <f>+depreciation!$D582</f>
        <v>20778.333333333332</v>
      </c>
      <c r="O32">
        <f>+depreciation!$D583</f>
        <v>20778.333333333332</v>
      </c>
      <c r="P32">
        <f>+depreciation!$D584</f>
        <v>20778.333333333332</v>
      </c>
      <c r="Q32">
        <f>+depreciation!$D585</f>
        <v>20778.333333333332</v>
      </c>
      <c r="R32">
        <f>+depreciation!$D586</f>
        <v>20778.333333333332</v>
      </c>
      <c r="S32">
        <f>+depreciation!$D587</f>
        <v>20778.333333333332</v>
      </c>
      <c r="T32">
        <f>SUM(H32:S32)</f>
        <v>249340.00000000003</v>
      </c>
    </row>
    <row r="33" spans="2:20" ht="15">
      <c r="B33" t="s">
        <v>79</v>
      </c>
      <c r="H33">
        <v>0</v>
      </c>
      <c r="I33">
        <v>0</v>
      </c>
      <c r="J33">
        <v>0</v>
      </c>
      <c r="K33">
        <v>0</v>
      </c>
      <c r="L33">
        <v>0</v>
      </c>
      <c r="M33">
        <v>0</v>
      </c>
      <c r="N33">
        <v>0</v>
      </c>
      <c r="O33">
        <v>0</v>
      </c>
      <c r="P33">
        <v>0</v>
      </c>
      <c r="Q33">
        <v>0</v>
      </c>
      <c r="R33">
        <v>0</v>
      </c>
      <c r="S33">
        <v>0</v>
      </c>
      <c r="T33">
        <f>SUM(H33:S33)</f>
        <v>0</v>
      </c>
    </row>
    <row r="34" spans="2:20" ht="15">
      <c r="B34" t="s">
        <v>80</v>
      </c>
      <c r="H34">
        <v>0</v>
      </c>
      <c r="I34">
        <v>0</v>
      </c>
      <c r="J34">
        <v>0</v>
      </c>
      <c r="K34">
        <v>0</v>
      </c>
      <c r="L34">
        <v>0</v>
      </c>
      <c r="M34">
        <v>0</v>
      </c>
      <c r="N34">
        <v>0</v>
      </c>
      <c r="O34">
        <v>0</v>
      </c>
      <c r="P34">
        <v>0</v>
      </c>
      <c r="Q34">
        <v>0</v>
      </c>
      <c r="R34">
        <v>0</v>
      </c>
      <c r="S34">
        <v>0</v>
      </c>
      <c r="T34">
        <f>SUM(H34:S34)</f>
        <v>0</v>
      </c>
    </row>
    <row r="35" spans="2:20" ht="15">
      <c r="B35" t="s">
        <v>81</v>
      </c>
      <c r="H35">
        <v>0</v>
      </c>
      <c r="I35">
        <v>0</v>
      </c>
      <c r="J35">
        <v>0</v>
      </c>
      <c r="K35">
        <v>0</v>
      </c>
      <c r="L35">
        <v>0</v>
      </c>
      <c r="M35">
        <v>0</v>
      </c>
      <c r="N35">
        <v>0</v>
      </c>
      <c r="O35">
        <v>0</v>
      </c>
      <c r="P35">
        <v>0</v>
      </c>
      <c r="Q35">
        <v>0</v>
      </c>
      <c r="R35">
        <v>0</v>
      </c>
      <c r="S35">
        <v>0</v>
      </c>
      <c r="T35">
        <f>SUM(H35:S35)</f>
        <v>0</v>
      </c>
    </row>
    <row r="36" spans="1:20" ht="15">
      <c r="A36" s="1"/>
      <c r="B36" s="1" t="s">
        <v>82</v>
      </c>
      <c r="C36" s="1"/>
      <c r="D36" s="1"/>
      <c r="E36" s="1"/>
      <c r="F36" s="1"/>
      <c r="G36" s="1"/>
      <c r="H36" s="6">
        <v>0</v>
      </c>
      <c r="I36" s="6">
        <v>0</v>
      </c>
      <c r="J36" s="6">
        <v>0</v>
      </c>
      <c r="K36" s="6">
        <v>0</v>
      </c>
      <c r="L36" s="6">
        <v>0</v>
      </c>
      <c r="M36" s="6">
        <v>0</v>
      </c>
      <c r="N36" s="6">
        <v>0</v>
      </c>
      <c r="O36" s="6">
        <v>0</v>
      </c>
      <c r="P36" s="6">
        <v>0</v>
      </c>
      <c r="Q36" s="6">
        <v>0</v>
      </c>
      <c r="R36" s="6">
        <v>0</v>
      </c>
      <c r="S36" s="6">
        <v>0</v>
      </c>
      <c r="T36" s="6">
        <f>SUM(H36:S36)</f>
        <v>0</v>
      </c>
    </row>
    <row r="38" spans="1:20" ht="15">
      <c r="A38" s="30" t="s">
        <v>45</v>
      </c>
      <c r="B38" t="s">
        <v>83</v>
      </c>
      <c r="H38">
        <f aca="true" t="shared" si="6" ref="H38:S38">ROUND(+H28+H29+H32+H33+H34+H35+H36,0)</f>
        <v>26865</v>
      </c>
      <c r="I38">
        <f t="shared" si="6"/>
        <v>26663</v>
      </c>
      <c r="J38">
        <f t="shared" si="6"/>
        <v>26461</v>
      </c>
      <c r="K38">
        <f t="shared" si="6"/>
        <v>26260</v>
      </c>
      <c r="L38">
        <f t="shared" si="6"/>
        <v>26058</v>
      </c>
      <c r="M38">
        <f t="shared" si="6"/>
        <v>25857</v>
      </c>
      <c r="N38">
        <f t="shared" si="6"/>
        <v>25655</v>
      </c>
      <c r="O38">
        <f t="shared" si="6"/>
        <v>25453</v>
      </c>
      <c r="P38">
        <f t="shared" si="6"/>
        <v>25252</v>
      </c>
      <c r="Q38">
        <f t="shared" si="6"/>
        <v>25051</v>
      </c>
      <c r="R38">
        <f t="shared" si="6"/>
        <v>24849</v>
      </c>
      <c r="S38">
        <f t="shared" si="6"/>
        <v>24647</v>
      </c>
      <c r="T38">
        <f>SUM(H38:S38)</f>
        <v>309071</v>
      </c>
    </row>
    <row r="39" spans="2:20" ht="15">
      <c r="B39" t="s">
        <v>84</v>
      </c>
      <c r="H39">
        <f aca="true" t="shared" si="7" ref="H39:S39">ROUND(+H38*1,0)</f>
        <v>26865</v>
      </c>
      <c r="I39">
        <f t="shared" si="7"/>
        <v>26663</v>
      </c>
      <c r="J39">
        <f t="shared" si="7"/>
        <v>26461</v>
      </c>
      <c r="K39">
        <f t="shared" si="7"/>
        <v>26260</v>
      </c>
      <c r="L39">
        <f t="shared" si="7"/>
        <v>26058</v>
      </c>
      <c r="M39">
        <f t="shared" si="7"/>
        <v>25857</v>
      </c>
      <c r="N39">
        <f t="shared" si="7"/>
        <v>25655</v>
      </c>
      <c r="O39">
        <f t="shared" si="7"/>
        <v>25453</v>
      </c>
      <c r="P39">
        <f t="shared" si="7"/>
        <v>25252</v>
      </c>
      <c r="Q39">
        <f t="shared" si="7"/>
        <v>25051</v>
      </c>
      <c r="R39">
        <f t="shared" si="7"/>
        <v>24849</v>
      </c>
      <c r="S39">
        <f t="shared" si="7"/>
        <v>24647</v>
      </c>
      <c r="T39">
        <f>SUM(H39:S39)</f>
        <v>309071</v>
      </c>
    </row>
    <row r="40" spans="2:20" ht="15">
      <c r="B40" t="s">
        <v>85</v>
      </c>
      <c r="H40">
        <f aca="true" t="shared" si="8" ref="H40:S40">ROUND(+H38*0,0)</f>
        <v>0</v>
      </c>
      <c r="I40">
        <f t="shared" si="8"/>
        <v>0</v>
      </c>
      <c r="J40">
        <f t="shared" si="8"/>
        <v>0</v>
      </c>
      <c r="K40">
        <f t="shared" si="8"/>
        <v>0</v>
      </c>
      <c r="L40">
        <f t="shared" si="8"/>
        <v>0</v>
      </c>
      <c r="M40">
        <f t="shared" si="8"/>
        <v>0</v>
      </c>
      <c r="N40">
        <f t="shared" si="8"/>
        <v>0</v>
      </c>
      <c r="O40">
        <f t="shared" si="8"/>
        <v>0</v>
      </c>
      <c r="P40">
        <f t="shared" si="8"/>
        <v>0</v>
      </c>
      <c r="Q40">
        <f t="shared" si="8"/>
        <v>0</v>
      </c>
      <c r="R40">
        <f t="shared" si="8"/>
        <v>0</v>
      </c>
      <c r="S40">
        <f t="shared" si="8"/>
        <v>0</v>
      </c>
      <c r="T40">
        <f>SUM(H40:S40)</f>
        <v>0</v>
      </c>
    </row>
    <row r="42" spans="1:20" ht="15">
      <c r="A42" s="31" t="s">
        <v>86</v>
      </c>
      <c r="B42" s="1" t="s">
        <v>87</v>
      </c>
      <c r="C42" s="1"/>
      <c r="D42" s="1"/>
      <c r="E42" s="1"/>
      <c r="F42" s="1"/>
      <c r="G42" s="24"/>
      <c r="H42" s="24">
        <f>'Form 42 5A'!H53</f>
        <v>0</v>
      </c>
      <c r="I42" s="24">
        <f>'Form 42 5A'!I53</f>
        <v>0</v>
      </c>
      <c r="J42" s="24">
        <f>'Form 42 5A'!J53</f>
        <v>0</v>
      </c>
      <c r="K42" s="24">
        <f>'Form 42 5A'!K53</f>
        <v>0</v>
      </c>
      <c r="L42" s="24">
        <f>'Form 42 5A'!L53</f>
        <v>0</v>
      </c>
      <c r="M42" s="24">
        <f>'Form 42 5A'!M53</f>
        <v>0</v>
      </c>
      <c r="N42" s="24">
        <f>'Form 42 5A'!N53</f>
        <v>0</v>
      </c>
      <c r="O42" s="24">
        <f>'Form 42 5A'!O53</f>
        <v>0</v>
      </c>
      <c r="P42" s="24">
        <f>'Form 42 5A'!P53</f>
        <v>0</v>
      </c>
      <c r="Q42" s="24">
        <f>'Form 42 5A'!Q53</f>
        <v>0</v>
      </c>
      <c r="R42" s="24">
        <f>'Form 42 5A'!R53</f>
        <v>0</v>
      </c>
      <c r="S42" s="24">
        <f>'Form 42 5A'!S53</f>
        <v>0</v>
      </c>
      <c r="T42" s="24"/>
    </row>
    <row r="43" spans="1:20" ht="15">
      <c r="A43" s="31" t="s">
        <v>88</v>
      </c>
      <c r="B43" s="1" t="s">
        <v>89</v>
      </c>
      <c r="C43" s="1"/>
      <c r="D43" s="1"/>
      <c r="E43" s="1"/>
      <c r="F43" s="1"/>
      <c r="G43" s="24"/>
      <c r="H43" s="24">
        <f>+'Form 42 5A'!H54</f>
        <v>0</v>
      </c>
      <c r="I43" s="36">
        <f>+H43</f>
        <v>0</v>
      </c>
      <c r="J43" s="36">
        <f aca="true" t="shared" si="9" ref="J43:S43">+I43</f>
        <v>0</v>
      </c>
      <c r="K43" s="36">
        <f t="shared" si="9"/>
        <v>0</v>
      </c>
      <c r="L43" s="36">
        <f t="shared" si="9"/>
        <v>0</v>
      </c>
      <c r="M43" s="36">
        <f t="shared" si="9"/>
        <v>0</v>
      </c>
      <c r="N43" s="36">
        <f t="shared" si="9"/>
        <v>0</v>
      </c>
      <c r="O43" s="36">
        <f t="shared" si="9"/>
        <v>0</v>
      </c>
      <c r="P43" s="36">
        <f t="shared" si="9"/>
        <v>0</v>
      </c>
      <c r="Q43" s="36">
        <f t="shared" si="9"/>
        <v>0</v>
      </c>
      <c r="R43" s="36">
        <f t="shared" si="9"/>
        <v>0</v>
      </c>
      <c r="S43" s="36">
        <f t="shared" si="9"/>
        <v>0</v>
      </c>
      <c r="T43" s="24"/>
    </row>
    <row r="45" spans="1:20" ht="15">
      <c r="A45" s="30" t="s">
        <v>90</v>
      </c>
      <c r="B45" t="s">
        <v>91</v>
      </c>
      <c r="H45">
        <f aca="true" t="shared" si="10" ref="H45:S45">ROUND((+H39*H42),0)</f>
        <v>0</v>
      </c>
      <c r="I45">
        <f t="shared" si="10"/>
        <v>0</v>
      </c>
      <c r="J45">
        <f t="shared" si="10"/>
        <v>0</v>
      </c>
      <c r="K45">
        <f t="shared" si="10"/>
        <v>0</v>
      </c>
      <c r="L45">
        <f t="shared" si="10"/>
        <v>0</v>
      </c>
      <c r="M45">
        <f t="shared" si="10"/>
        <v>0</v>
      </c>
      <c r="N45">
        <f t="shared" si="10"/>
        <v>0</v>
      </c>
      <c r="O45">
        <f t="shared" si="10"/>
        <v>0</v>
      </c>
      <c r="P45">
        <f t="shared" si="10"/>
        <v>0</v>
      </c>
      <c r="Q45">
        <f t="shared" si="10"/>
        <v>0</v>
      </c>
      <c r="R45">
        <f t="shared" si="10"/>
        <v>0</v>
      </c>
      <c r="S45">
        <f t="shared" si="10"/>
        <v>0</v>
      </c>
      <c r="T45">
        <f>SUM(H45:S45)</f>
        <v>0</v>
      </c>
    </row>
    <row r="46" spans="1:20" ht="15">
      <c r="A46" s="31" t="s">
        <v>92</v>
      </c>
      <c r="B46" s="1" t="s">
        <v>93</v>
      </c>
      <c r="C46" s="1"/>
      <c r="D46" s="1"/>
      <c r="E46" s="1"/>
      <c r="F46" s="1"/>
      <c r="G46" s="1"/>
      <c r="H46" s="6">
        <f aca="true" t="shared" si="11" ref="H46:S46">(+H40*H43)</f>
        <v>0</v>
      </c>
      <c r="I46" s="6">
        <f t="shared" si="11"/>
        <v>0</v>
      </c>
      <c r="J46" s="6">
        <f t="shared" si="11"/>
        <v>0</v>
      </c>
      <c r="K46" s="6">
        <f t="shared" si="11"/>
        <v>0</v>
      </c>
      <c r="L46" s="6">
        <f t="shared" si="11"/>
        <v>0</v>
      </c>
      <c r="M46" s="6">
        <f t="shared" si="11"/>
        <v>0</v>
      </c>
      <c r="N46" s="6">
        <f t="shared" si="11"/>
        <v>0</v>
      </c>
      <c r="O46" s="6">
        <f t="shared" si="11"/>
        <v>0</v>
      </c>
      <c r="P46" s="6">
        <f t="shared" si="11"/>
        <v>0</v>
      </c>
      <c r="Q46" s="6">
        <f t="shared" si="11"/>
        <v>0</v>
      </c>
      <c r="R46" s="6">
        <f t="shared" si="11"/>
        <v>0</v>
      </c>
      <c r="S46" s="6">
        <f t="shared" si="11"/>
        <v>0</v>
      </c>
      <c r="T46" s="6">
        <f>SUM(H46:S46)</f>
        <v>0</v>
      </c>
    </row>
    <row r="47" spans="1:20" ht="15.75" thickBot="1">
      <c r="A47" s="31" t="s">
        <v>94</v>
      </c>
      <c r="B47" s="1" t="s">
        <v>95</v>
      </c>
      <c r="C47" s="1"/>
      <c r="D47" s="1"/>
      <c r="E47" s="1"/>
      <c r="F47" s="1"/>
      <c r="G47" s="1"/>
      <c r="H47" s="7">
        <f aca="true" t="shared" si="12" ref="H47:S47">H45+H46</f>
        <v>0</v>
      </c>
      <c r="I47" s="7">
        <f t="shared" si="12"/>
        <v>0</v>
      </c>
      <c r="J47" s="7">
        <f t="shared" si="12"/>
        <v>0</v>
      </c>
      <c r="K47" s="7">
        <f t="shared" si="12"/>
        <v>0</v>
      </c>
      <c r="L47" s="7">
        <f t="shared" si="12"/>
        <v>0</v>
      </c>
      <c r="M47" s="7">
        <f t="shared" si="12"/>
        <v>0</v>
      </c>
      <c r="N47" s="7">
        <f t="shared" si="12"/>
        <v>0</v>
      </c>
      <c r="O47" s="7">
        <f t="shared" si="12"/>
        <v>0</v>
      </c>
      <c r="P47" s="7">
        <f t="shared" si="12"/>
        <v>0</v>
      </c>
      <c r="Q47" s="7">
        <f t="shared" si="12"/>
        <v>0</v>
      </c>
      <c r="R47" s="7">
        <f t="shared" si="12"/>
        <v>0</v>
      </c>
      <c r="S47" s="7">
        <f t="shared" si="12"/>
        <v>0</v>
      </c>
      <c r="T47" s="7">
        <f>SUM(T45:T46)</f>
        <v>0</v>
      </c>
    </row>
    <row r="49" ht="15">
      <c r="A49" s="30" t="s">
        <v>31</v>
      </c>
    </row>
    <row r="50" spans="1:2" ht="15">
      <c r="A50" s="30" t="s">
        <v>96</v>
      </c>
      <c r="B50" t="s">
        <v>97</v>
      </c>
    </row>
    <row r="51" spans="1:2" ht="15">
      <c r="A51" s="30" t="s">
        <v>98</v>
      </c>
      <c r="B51" t="s">
        <v>99</v>
      </c>
    </row>
    <row r="52" spans="1:2" ht="15">
      <c r="A52" s="30" t="s">
        <v>100</v>
      </c>
      <c r="B52" t="s">
        <v>101</v>
      </c>
    </row>
  </sheetData>
  <printOptions/>
  <pageMargins left="0" right="0" top="1" bottom="1" header="0.5" footer="0.5"/>
  <pageSetup horizontalDpi="300" verticalDpi="300" orientation="landscape" scale="43" r:id="rId1"/>
</worksheet>
</file>

<file path=xl/worksheets/sheet15.xml><?xml version="1.0" encoding="utf-8"?>
<worksheet xmlns="http://schemas.openxmlformats.org/spreadsheetml/2006/main" xmlns:r="http://schemas.openxmlformats.org/officeDocument/2006/relationships">
  <sheetPr codeName="Sheet14"/>
  <dimension ref="A1:T53"/>
  <sheetViews>
    <sheetView zoomScale="75" zoomScaleNormal="75" workbookViewId="0" topLeftCell="A1">
      <selection activeCell="A7" sqref="A7"/>
    </sheetView>
  </sheetViews>
  <sheetFormatPr defaultColWidth="9.77734375" defaultRowHeight="15"/>
  <cols>
    <col min="7" max="12" width="12.77734375" style="0" customWidth="1"/>
    <col min="13" max="16" width="14.3359375" style="0" customWidth="1"/>
    <col min="17" max="21" width="12.77734375" style="0" customWidth="1"/>
  </cols>
  <sheetData>
    <row r="1" spans="1:20" ht="15.75">
      <c r="A1" s="8" t="s">
        <v>438</v>
      </c>
      <c r="B1" s="2"/>
      <c r="C1" s="2"/>
      <c r="D1" s="2"/>
      <c r="E1" s="2"/>
      <c r="F1" s="2"/>
      <c r="G1" s="2"/>
      <c r="H1" s="2"/>
      <c r="I1" s="2"/>
      <c r="J1" s="2"/>
      <c r="K1" s="2"/>
      <c r="L1" s="2"/>
      <c r="T1" s="30" t="s">
        <v>442</v>
      </c>
    </row>
    <row r="2" spans="1:20" ht="15">
      <c r="A2" s="2" t="s">
        <v>0</v>
      </c>
      <c r="B2" s="2"/>
      <c r="C2" s="2"/>
      <c r="D2" s="2"/>
      <c r="E2" s="2"/>
      <c r="F2" s="2"/>
      <c r="G2" s="2"/>
      <c r="H2" s="2"/>
      <c r="I2" s="2"/>
      <c r="J2" s="2"/>
      <c r="K2" s="2"/>
      <c r="L2" s="2"/>
      <c r="T2" s="30" t="s">
        <v>397</v>
      </c>
    </row>
    <row r="3" spans="1:12" ht="15">
      <c r="A3" s="2" t="s">
        <v>494</v>
      </c>
      <c r="B3" s="9"/>
      <c r="C3" s="9"/>
      <c r="D3" s="9"/>
      <c r="E3" s="9"/>
      <c r="F3" s="9"/>
      <c r="G3" s="9"/>
      <c r="H3" s="9"/>
      <c r="I3" s="2"/>
      <c r="J3" s="2"/>
      <c r="K3" s="2"/>
      <c r="L3" s="2"/>
    </row>
    <row r="4" spans="1:12" ht="15.75">
      <c r="A4" s="11" t="str">
        <f>'Form 42 2A'!A4</f>
        <v>January 2003 through December 2003</v>
      </c>
      <c r="B4" s="2"/>
      <c r="C4" s="2"/>
      <c r="D4" s="2"/>
      <c r="E4" s="2"/>
      <c r="F4" s="2"/>
      <c r="G4" s="2"/>
      <c r="H4" s="2"/>
      <c r="I4" s="2"/>
      <c r="J4" s="2"/>
      <c r="K4" s="2"/>
      <c r="L4" s="2"/>
    </row>
    <row r="5" spans="1:12" ht="15.75">
      <c r="A5" s="3" t="s">
        <v>1</v>
      </c>
      <c r="B5" s="2"/>
      <c r="C5" s="2"/>
      <c r="D5" s="2"/>
      <c r="E5" s="2"/>
      <c r="F5" s="2"/>
      <c r="G5" s="2"/>
      <c r="H5" s="2"/>
      <c r="I5" s="2"/>
      <c r="J5" s="2"/>
      <c r="K5" s="2"/>
      <c r="L5" s="2"/>
    </row>
    <row r="6" spans="1:12" ht="15">
      <c r="A6" s="2" t="s">
        <v>59</v>
      </c>
      <c r="B6" s="2"/>
      <c r="C6" s="2"/>
      <c r="D6" s="2"/>
      <c r="E6" s="2"/>
      <c r="F6" s="2"/>
      <c r="G6" s="2"/>
      <c r="H6" s="2"/>
      <c r="I6" s="2"/>
      <c r="J6" s="2"/>
      <c r="K6" s="2"/>
      <c r="L6" s="2"/>
    </row>
    <row r="7" spans="1:12" ht="15">
      <c r="A7" s="57" t="s">
        <v>489</v>
      </c>
      <c r="B7" s="2"/>
      <c r="C7" s="2"/>
      <c r="D7" s="2"/>
      <c r="E7" s="2"/>
      <c r="F7" s="2"/>
      <c r="G7" s="2"/>
      <c r="H7" s="2"/>
      <c r="I7" s="2"/>
      <c r="J7" s="2"/>
      <c r="K7" s="2"/>
      <c r="L7" s="2"/>
    </row>
    <row r="8" spans="1:12" ht="15">
      <c r="A8" s="2" t="s">
        <v>5</v>
      </c>
      <c r="B8" s="2"/>
      <c r="C8" s="2"/>
      <c r="D8" s="2"/>
      <c r="E8" s="2"/>
      <c r="F8" s="2"/>
      <c r="G8" s="2"/>
      <c r="H8" s="2"/>
      <c r="I8" s="2"/>
      <c r="J8" s="2"/>
      <c r="K8" s="2"/>
      <c r="L8" s="2"/>
    </row>
    <row r="9" ht="15">
      <c r="A9" s="47" t="s">
        <v>274</v>
      </c>
    </row>
    <row r="10" spans="1:20" ht="15">
      <c r="A10" s="2"/>
      <c r="T10" s="29" t="s">
        <v>60</v>
      </c>
    </row>
    <row r="11" spans="7:20" ht="15">
      <c r="G11" s="29" t="s">
        <v>61</v>
      </c>
      <c r="T11" s="29" t="s">
        <v>2</v>
      </c>
    </row>
    <row r="12" spans="1:20" ht="15.75" thickBot="1">
      <c r="A12" s="25" t="s">
        <v>3</v>
      </c>
      <c r="B12" s="2"/>
      <c r="C12" s="25" t="s">
        <v>62</v>
      </c>
      <c r="E12" s="2"/>
      <c r="F12" s="2"/>
      <c r="G12" s="19" t="s">
        <v>63</v>
      </c>
      <c r="H12" s="68" t="str">
        <f>'Form 42 2A'!H10</f>
        <v>January 03</v>
      </c>
      <c r="I12" s="68" t="str">
        <f>'Form 42 2A'!I10</f>
        <v>February 03</v>
      </c>
      <c r="J12" s="68" t="str">
        <f>'Form 42 2A'!J10</f>
        <v>March 03</v>
      </c>
      <c r="K12" s="68" t="str">
        <f>'Form 42 2A'!K10</f>
        <v>April 03</v>
      </c>
      <c r="L12" s="68" t="str">
        <f>'Form 42 2A'!L10</f>
        <v>May 03</v>
      </c>
      <c r="M12" s="68" t="str">
        <f>'Form 42 2A'!M10</f>
        <v>June 03</v>
      </c>
      <c r="N12" s="68" t="str">
        <f>'Form 42 2A'!N10</f>
        <v>July 03</v>
      </c>
      <c r="O12" s="68" t="str">
        <f>'Form 42 2A'!O10</f>
        <v>August 03</v>
      </c>
      <c r="P12" s="68" t="str">
        <f>'Form 42 2A'!P10</f>
        <v>September 03</v>
      </c>
      <c r="Q12" s="68" t="str">
        <f>'Form 42 2A'!Q10</f>
        <v>October 03</v>
      </c>
      <c r="R12" s="68" t="str">
        <f>'Form 42 2A'!R10</f>
        <v>November 03</v>
      </c>
      <c r="S12" s="68" t="str">
        <f>'Form 42 2A'!S10</f>
        <v>December 03</v>
      </c>
      <c r="T12" s="19" t="s">
        <v>8</v>
      </c>
    </row>
    <row r="13" spans="1:4" ht="15">
      <c r="A13" s="1"/>
      <c r="B13" s="1"/>
      <c r="C13" s="1"/>
      <c r="D13" s="27"/>
    </row>
    <row r="14" spans="1:2" ht="15">
      <c r="A14" s="30" t="s">
        <v>35</v>
      </c>
      <c r="B14" t="s">
        <v>64</v>
      </c>
    </row>
    <row r="15" spans="1:20" ht="15">
      <c r="A15" s="1"/>
      <c r="B15" s="1" t="s">
        <v>65</v>
      </c>
      <c r="C15" s="1"/>
      <c r="D15" s="1"/>
      <c r="E15" s="1"/>
      <c r="F15" s="1"/>
      <c r="G15" s="1"/>
      <c r="H15" s="49">
        <v>0</v>
      </c>
      <c r="I15" s="49">
        <v>0</v>
      </c>
      <c r="J15" s="49">
        <v>0</v>
      </c>
      <c r="K15" s="49">
        <v>0</v>
      </c>
      <c r="L15" s="49">
        <v>0</v>
      </c>
      <c r="M15" s="49">
        <v>0</v>
      </c>
      <c r="N15" s="49">
        <v>0</v>
      </c>
      <c r="O15" s="49">
        <v>0</v>
      </c>
      <c r="P15" s="49">
        <v>0</v>
      </c>
      <c r="Q15" s="49">
        <v>0</v>
      </c>
      <c r="R15" s="49">
        <v>0</v>
      </c>
      <c r="S15" s="49">
        <v>0</v>
      </c>
      <c r="T15" s="5"/>
    </row>
    <row r="16" spans="2:19" ht="15">
      <c r="B16" t="s">
        <v>66</v>
      </c>
      <c r="H16">
        <v>0</v>
      </c>
      <c r="I16">
        <v>0</v>
      </c>
      <c r="J16">
        <v>0</v>
      </c>
      <c r="K16">
        <v>0</v>
      </c>
      <c r="L16">
        <v>0</v>
      </c>
      <c r="M16">
        <v>0</v>
      </c>
      <c r="N16">
        <v>0</v>
      </c>
      <c r="O16">
        <v>0</v>
      </c>
      <c r="P16">
        <v>0</v>
      </c>
      <c r="Q16">
        <v>0</v>
      </c>
      <c r="R16">
        <v>0</v>
      </c>
      <c r="S16">
        <v>0</v>
      </c>
    </row>
    <row r="17" spans="2:19" ht="15">
      <c r="B17" t="s">
        <v>67</v>
      </c>
      <c r="H17">
        <v>0</v>
      </c>
      <c r="I17">
        <v>0</v>
      </c>
      <c r="J17">
        <v>0</v>
      </c>
      <c r="K17">
        <v>0</v>
      </c>
      <c r="L17">
        <v>0</v>
      </c>
      <c r="M17">
        <v>0</v>
      </c>
      <c r="N17">
        <v>0</v>
      </c>
      <c r="O17">
        <v>0</v>
      </c>
      <c r="P17">
        <v>0</v>
      </c>
      <c r="Q17">
        <v>0</v>
      </c>
      <c r="R17">
        <v>0</v>
      </c>
      <c r="S17">
        <v>0</v>
      </c>
    </row>
    <row r="18" spans="2:19" ht="15">
      <c r="B18" t="s">
        <v>68</v>
      </c>
      <c r="H18">
        <v>0</v>
      </c>
      <c r="I18">
        <v>0</v>
      </c>
      <c r="J18">
        <v>0</v>
      </c>
      <c r="K18">
        <v>0</v>
      </c>
      <c r="L18">
        <v>0</v>
      </c>
      <c r="M18">
        <v>0</v>
      </c>
      <c r="N18">
        <v>0</v>
      </c>
      <c r="O18">
        <v>0</v>
      </c>
      <c r="P18">
        <v>0</v>
      </c>
      <c r="Q18">
        <v>0</v>
      </c>
      <c r="R18">
        <v>0</v>
      </c>
      <c r="S18">
        <v>0</v>
      </c>
    </row>
    <row r="20" spans="1:19" ht="15">
      <c r="A20" s="31" t="s">
        <v>36</v>
      </c>
      <c r="B20" s="1" t="s">
        <v>69</v>
      </c>
      <c r="C20" s="1"/>
      <c r="D20" s="1"/>
      <c r="E20" s="1"/>
      <c r="F20" s="1"/>
      <c r="G20" s="5">
        <f>+depreciation!B941</f>
        <v>1394717</v>
      </c>
      <c r="H20" s="5">
        <f>+H15+G20</f>
        <v>1394717</v>
      </c>
      <c r="I20" s="5">
        <f aca="true" t="shared" si="0" ref="I20:S20">+I15+H20</f>
        <v>1394717</v>
      </c>
      <c r="J20" s="5">
        <f t="shared" si="0"/>
        <v>1394717</v>
      </c>
      <c r="K20" s="5">
        <f t="shared" si="0"/>
        <v>1394717</v>
      </c>
      <c r="L20" s="5">
        <f t="shared" si="0"/>
        <v>1394717</v>
      </c>
      <c r="M20" s="5">
        <f t="shared" si="0"/>
        <v>1394717</v>
      </c>
      <c r="N20" s="5">
        <f t="shared" si="0"/>
        <v>1394717</v>
      </c>
      <c r="O20" s="5">
        <f t="shared" si="0"/>
        <v>1394717</v>
      </c>
      <c r="P20" s="5">
        <f t="shared" si="0"/>
        <v>1394717</v>
      </c>
      <c r="Q20" s="5">
        <f t="shared" si="0"/>
        <v>1394717</v>
      </c>
      <c r="R20" s="5">
        <f t="shared" si="0"/>
        <v>1394717</v>
      </c>
      <c r="S20" s="5">
        <f t="shared" si="0"/>
        <v>1394717</v>
      </c>
    </row>
    <row r="21" spans="1:19" ht="15">
      <c r="A21" s="30" t="s">
        <v>38</v>
      </c>
      <c r="B21" t="s">
        <v>70</v>
      </c>
      <c r="G21">
        <f>-depreciation!E941</f>
        <v>-581590.3999999999</v>
      </c>
      <c r="H21">
        <f aca="true" t="shared" si="1" ref="H21:S21">G21-H33</f>
        <v>-604835.3999999999</v>
      </c>
      <c r="I21">
        <f t="shared" si="1"/>
        <v>-628080.3999999999</v>
      </c>
      <c r="J21">
        <f t="shared" si="1"/>
        <v>-651325.3999999999</v>
      </c>
      <c r="K21">
        <f t="shared" si="1"/>
        <v>-674570.3999999999</v>
      </c>
      <c r="L21">
        <f t="shared" si="1"/>
        <v>-697815.3999999999</v>
      </c>
      <c r="M21">
        <f t="shared" si="1"/>
        <v>-721060.3999999999</v>
      </c>
      <c r="N21">
        <f t="shared" si="1"/>
        <v>-744305.3999999999</v>
      </c>
      <c r="O21">
        <f t="shared" si="1"/>
        <v>-767550.3999999999</v>
      </c>
      <c r="P21">
        <f t="shared" si="1"/>
        <v>-790795.3999999999</v>
      </c>
      <c r="Q21">
        <f t="shared" si="1"/>
        <v>-814040.3999999999</v>
      </c>
      <c r="R21">
        <f t="shared" si="1"/>
        <v>-837285.3999999999</v>
      </c>
      <c r="S21">
        <f t="shared" si="1"/>
        <v>-860530.3999999999</v>
      </c>
    </row>
    <row r="22" spans="1:19" ht="15">
      <c r="A22" s="31" t="s">
        <v>39</v>
      </c>
      <c r="B22" s="1" t="s">
        <v>71</v>
      </c>
      <c r="C22" s="1"/>
      <c r="D22" s="1"/>
      <c r="E22" s="1"/>
      <c r="F22" s="1"/>
      <c r="G22">
        <v>0</v>
      </c>
      <c r="H22">
        <f>+G22</f>
        <v>0</v>
      </c>
      <c r="I22">
        <f>+H22+I15</f>
        <v>0</v>
      </c>
      <c r="J22">
        <f>+I22+J15</f>
        <v>0</v>
      </c>
      <c r="K22">
        <f>+J22+K15</f>
        <v>0</v>
      </c>
      <c r="L22">
        <f>+K22+L15</f>
        <v>0</v>
      </c>
      <c r="M22">
        <f>+L22+M15</f>
        <v>0</v>
      </c>
      <c r="N22">
        <v>0</v>
      </c>
      <c r="O22">
        <v>0</v>
      </c>
      <c r="P22">
        <v>0</v>
      </c>
      <c r="Q22">
        <v>0</v>
      </c>
      <c r="R22">
        <v>0</v>
      </c>
      <c r="S22">
        <v>0</v>
      </c>
    </row>
    <row r="23" spans="1:19" ht="15">
      <c r="A23" s="31"/>
      <c r="B23" s="1" t="s">
        <v>110</v>
      </c>
      <c r="C23" s="1"/>
      <c r="D23" s="1"/>
      <c r="E23" s="1"/>
      <c r="F23" s="1"/>
      <c r="G23" s="6">
        <v>0</v>
      </c>
      <c r="H23" s="6">
        <v>0</v>
      </c>
      <c r="I23" s="6">
        <v>0</v>
      </c>
      <c r="J23" s="6">
        <v>0</v>
      </c>
      <c r="K23" s="6">
        <v>0</v>
      </c>
      <c r="L23" s="6">
        <v>0</v>
      </c>
      <c r="M23" s="6">
        <v>0</v>
      </c>
      <c r="N23" s="6">
        <v>0</v>
      </c>
      <c r="O23" s="6">
        <v>0</v>
      </c>
      <c r="P23" s="6">
        <v>0</v>
      </c>
      <c r="Q23" s="6">
        <v>0</v>
      </c>
      <c r="R23" s="6">
        <v>0</v>
      </c>
      <c r="S23" s="6">
        <v>0</v>
      </c>
    </row>
    <row r="24" spans="1:20" ht="15">
      <c r="A24" s="31" t="s">
        <v>40</v>
      </c>
      <c r="B24" s="1" t="s">
        <v>72</v>
      </c>
      <c r="C24" s="1"/>
      <c r="D24" s="1"/>
      <c r="E24" s="1"/>
      <c r="F24" s="1"/>
      <c r="G24" s="26">
        <f>G20+G21+G22+G23</f>
        <v>813126.6000000001</v>
      </c>
      <c r="H24" s="17">
        <f>H20+H21+H22+H23</f>
        <v>789881.6000000001</v>
      </c>
      <c r="I24" s="17">
        <f aca="true" t="shared" si="2" ref="I24:S24">I20+I21+I22+I23</f>
        <v>766636.6000000001</v>
      </c>
      <c r="J24" s="17">
        <f t="shared" si="2"/>
        <v>743391.6000000001</v>
      </c>
      <c r="K24" s="17">
        <f t="shared" si="2"/>
        <v>720146.6000000001</v>
      </c>
      <c r="L24" s="17">
        <f t="shared" si="2"/>
        <v>696901.6000000001</v>
      </c>
      <c r="M24" s="17">
        <f t="shared" si="2"/>
        <v>673656.6000000001</v>
      </c>
      <c r="N24" s="17">
        <f t="shared" si="2"/>
        <v>650411.6000000001</v>
      </c>
      <c r="O24" s="17">
        <f t="shared" si="2"/>
        <v>627166.6000000001</v>
      </c>
      <c r="P24" s="17">
        <f t="shared" si="2"/>
        <v>603921.6000000001</v>
      </c>
      <c r="Q24" s="17">
        <f t="shared" si="2"/>
        <v>580676.6000000001</v>
      </c>
      <c r="R24" s="17">
        <f t="shared" si="2"/>
        <v>557431.6000000001</v>
      </c>
      <c r="S24" s="17">
        <f t="shared" si="2"/>
        <v>534186.6000000001</v>
      </c>
      <c r="T24" s="16"/>
    </row>
    <row r="26" spans="1:19" ht="15">
      <c r="A26" s="30" t="s">
        <v>42</v>
      </c>
      <c r="B26" t="s">
        <v>73</v>
      </c>
      <c r="H26">
        <f aca="true" t="shared" si="3" ref="H26:S26">ROUND((+G24+H24)/2,0)</f>
        <v>801504</v>
      </c>
      <c r="I26">
        <f t="shared" si="3"/>
        <v>778259</v>
      </c>
      <c r="J26">
        <f t="shared" si="3"/>
        <v>755014</v>
      </c>
      <c r="K26">
        <f t="shared" si="3"/>
        <v>731769</v>
      </c>
      <c r="L26">
        <f t="shared" si="3"/>
        <v>708524</v>
      </c>
      <c r="M26">
        <f t="shared" si="3"/>
        <v>685279</v>
      </c>
      <c r="N26">
        <f t="shared" si="3"/>
        <v>662034</v>
      </c>
      <c r="O26">
        <f t="shared" si="3"/>
        <v>638789</v>
      </c>
      <c r="P26">
        <f t="shared" si="3"/>
        <v>615544</v>
      </c>
      <c r="Q26">
        <f t="shared" si="3"/>
        <v>592299</v>
      </c>
      <c r="R26">
        <f t="shared" si="3"/>
        <v>569054</v>
      </c>
      <c r="S26">
        <f t="shared" si="3"/>
        <v>545809</v>
      </c>
    </row>
    <row r="28" spans="1:2" ht="15">
      <c r="A28" s="30" t="s">
        <v>43</v>
      </c>
      <c r="B28" t="s">
        <v>74</v>
      </c>
    </row>
    <row r="29" spans="1:20" ht="15">
      <c r="A29" s="1"/>
      <c r="B29" s="1" t="s">
        <v>75</v>
      </c>
      <c r="C29" s="1"/>
      <c r="D29" s="1"/>
      <c r="E29" s="1"/>
      <c r="F29" s="1"/>
      <c r="G29" s="1"/>
      <c r="H29" s="1">
        <f aca="true" t="shared" si="4" ref="H29:S29">ROUND(+H26*(0.088238)/12,0)</f>
        <v>5894</v>
      </c>
      <c r="I29" s="1">
        <f t="shared" si="4"/>
        <v>5723</v>
      </c>
      <c r="J29" s="1">
        <f t="shared" si="4"/>
        <v>5552</v>
      </c>
      <c r="K29" s="1">
        <f t="shared" si="4"/>
        <v>5381</v>
      </c>
      <c r="L29" s="1">
        <f t="shared" si="4"/>
        <v>5210</v>
      </c>
      <c r="M29" s="1">
        <f t="shared" si="4"/>
        <v>5039</v>
      </c>
      <c r="N29" s="1">
        <f t="shared" si="4"/>
        <v>4868</v>
      </c>
      <c r="O29" s="1">
        <f t="shared" si="4"/>
        <v>4697</v>
      </c>
      <c r="P29" s="1">
        <f t="shared" si="4"/>
        <v>4526</v>
      </c>
      <c r="Q29" s="1">
        <f t="shared" si="4"/>
        <v>4355</v>
      </c>
      <c r="R29" s="1">
        <f t="shared" si="4"/>
        <v>4184</v>
      </c>
      <c r="S29" s="1">
        <f t="shared" si="4"/>
        <v>4013</v>
      </c>
      <c r="T29" s="5">
        <f>SUM(H29:S29)</f>
        <v>59442</v>
      </c>
    </row>
    <row r="30" spans="2:20" ht="15">
      <c r="B30" t="s">
        <v>76</v>
      </c>
      <c r="H30">
        <f aca="true" t="shared" si="5" ref="H30:S30">ROUND(+H26*(0.0282)/12,0)</f>
        <v>1884</v>
      </c>
      <c r="I30">
        <f t="shared" si="5"/>
        <v>1829</v>
      </c>
      <c r="J30">
        <f t="shared" si="5"/>
        <v>1774</v>
      </c>
      <c r="K30">
        <f t="shared" si="5"/>
        <v>1720</v>
      </c>
      <c r="L30">
        <f t="shared" si="5"/>
        <v>1665</v>
      </c>
      <c r="M30">
        <f t="shared" si="5"/>
        <v>1610</v>
      </c>
      <c r="N30">
        <f t="shared" si="5"/>
        <v>1556</v>
      </c>
      <c r="O30">
        <f t="shared" si="5"/>
        <v>1501</v>
      </c>
      <c r="P30">
        <f t="shared" si="5"/>
        <v>1447</v>
      </c>
      <c r="Q30">
        <f t="shared" si="5"/>
        <v>1392</v>
      </c>
      <c r="R30">
        <f t="shared" si="5"/>
        <v>1337</v>
      </c>
      <c r="S30">
        <f t="shared" si="5"/>
        <v>1283</v>
      </c>
      <c r="T30">
        <f>SUM(H30:S30)</f>
        <v>18998</v>
      </c>
    </row>
    <row r="32" spans="1:2" ht="15">
      <c r="A32" s="30" t="s">
        <v>44</v>
      </c>
      <c r="B32" t="s">
        <v>77</v>
      </c>
    </row>
    <row r="33" spans="2:20" ht="15">
      <c r="B33" t="s">
        <v>78</v>
      </c>
      <c r="H33">
        <f>+depreciation!D943</f>
        <v>23245</v>
      </c>
      <c r="I33">
        <f>+depreciation!D944</f>
        <v>23245</v>
      </c>
      <c r="J33">
        <f>+depreciation!D945</f>
        <v>23245</v>
      </c>
      <c r="K33">
        <f>+depreciation!D946</f>
        <v>23245</v>
      </c>
      <c r="L33">
        <f>+depreciation!D947</f>
        <v>23245</v>
      </c>
      <c r="M33">
        <f>+depreciation!D948</f>
        <v>23245</v>
      </c>
      <c r="N33">
        <f>+depreciation!D949</f>
        <v>23245</v>
      </c>
      <c r="O33">
        <f>+depreciation!D950</f>
        <v>23245</v>
      </c>
      <c r="P33">
        <f>+depreciation!D951</f>
        <v>23245</v>
      </c>
      <c r="Q33">
        <f>+depreciation!D952</f>
        <v>23245</v>
      </c>
      <c r="R33">
        <f>+depreciation!D953</f>
        <v>23245</v>
      </c>
      <c r="S33">
        <f>+depreciation!D954</f>
        <v>23245</v>
      </c>
      <c r="T33">
        <f>SUM(H33:S33)</f>
        <v>278940</v>
      </c>
    </row>
    <row r="34" spans="2:20" ht="15">
      <c r="B34" t="s">
        <v>79</v>
      </c>
      <c r="H34">
        <v>0</v>
      </c>
      <c r="I34">
        <v>0</v>
      </c>
      <c r="J34">
        <v>0</v>
      </c>
      <c r="K34">
        <v>0</v>
      </c>
      <c r="L34">
        <v>0</v>
      </c>
      <c r="M34">
        <v>0</v>
      </c>
      <c r="N34">
        <v>0</v>
      </c>
      <c r="O34">
        <v>0</v>
      </c>
      <c r="P34">
        <v>0</v>
      </c>
      <c r="Q34">
        <v>0</v>
      </c>
      <c r="R34">
        <v>0</v>
      </c>
      <c r="S34">
        <v>0</v>
      </c>
      <c r="T34">
        <f>SUM(H34:S34)</f>
        <v>0</v>
      </c>
    </row>
    <row r="35" spans="2:20" ht="15">
      <c r="B35" t="s">
        <v>80</v>
      </c>
      <c r="H35">
        <v>0</v>
      </c>
      <c r="I35">
        <v>0</v>
      </c>
      <c r="J35">
        <v>0</v>
      </c>
      <c r="K35">
        <v>0</v>
      </c>
      <c r="L35">
        <v>0</v>
      </c>
      <c r="M35">
        <v>0</v>
      </c>
      <c r="N35">
        <v>0</v>
      </c>
      <c r="O35">
        <v>0</v>
      </c>
      <c r="P35">
        <v>0</v>
      </c>
      <c r="Q35">
        <v>0</v>
      </c>
      <c r="R35">
        <v>0</v>
      </c>
      <c r="S35">
        <v>0</v>
      </c>
      <c r="T35">
        <f>SUM(H35:S35)</f>
        <v>0</v>
      </c>
    </row>
    <row r="36" spans="2:20" ht="15">
      <c r="B36" t="s">
        <v>81</v>
      </c>
      <c r="H36">
        <v>0</v>
      </c>
      <c r="I36">
        <v>0</v>
      </c>
      <c r="J36">
        <v>0</v>
      </c>
      <c r="K36">
        <v>0</v>
      </c>
      <c r="L36">
        <v>0</v>
      </c>
      <c r="M36">
        <v>0</v>
      </c>
      <c r="N36">
        <v>0</v>
      </c>
      <c r="O36">
        <v>0</v>
      </c>
      <c r="P36">
        <v>0</v>
      </c>
      <c r="Q36">
        <v>0</v>
      </c>
      <c r="R36">
        <v>0</v>
      </c>
      <c r="S36">
        <v>0</v>
      </c>
      <c r="T36">
        <f>SUM(H36:S36)</f>
        <v>0</v>
      </c>
    </row>
    <row r="37" spans="1:20" ht="15">
      <c r="A37" s="1"/>
      <c r="B37" s="1" t="s">
        <v>82</v>
      </c>
      <c r="C37" s="1"/>
      <c r="D37" s="1"/>
      <c r="E37" s="1"/>
      <c r="F37" s="1"/>
      <c r="G37" s="1"/>
      <c r="H37" s="6">
        <v>0</v>
      </c>
      <c r="I37" s="6">
        <v>0</v>
      </c>
      <c r="J37" s="6">
        <v>0</v>
      </c>
      <c r="K37" s="6">
        <v>0</v>
      </c>
      <c r="L37" s="6">
        <v>0</v>
      </c>
      <c r="M37" s="6">
        <v>0</v>
      </c>
      <c r="N37" s="6">
        <v>0</v>
      </c>
      <c r="O37" s="6">
        <v>0</v>
      </c>
      <c r="P37" s="6">
        <v>0</v>
      </c>
      <c r="Q37" s="6">
        <v>0</v>
      </c>
      <c r="R37" s="6">
        <v>0</v>
      </c>
      <c r="S37" s="6">
        <v>0</v>
      </c>
      <c r="T37" s="6">
        <f>SUM(H37:S37)</f>
        <v>0</v>
      </c>
    </row>
    <row r="39" spans="1:20" ht="15">
      <c r="A39" s="30" t="s">
        <v>45</v>
      </c>
      <c r="B39" t="s">
        <v>83</v>
      </c>
      <c r="H39">
        <f aca="true" t="shared" si="6" ref="H39:S39">ROUND(+H29+H30+H33+H34+H35+H36+H37,0)</f>
        <v>31023</v>
      </c>
      <c r="I39">
        <f t="shared" si="6"/>
        <v>30797</v>
      </c>
      <c r="J39">
        <f t="shared" si="6"/>
        <v>30571</v>
      </c>
      <c r="K39">
        <f t="shared" si="6"/>
        <v>30346</v>
      </c>
      <c r="L39">
        <f t="shared" si="6"/>
        <v>30120</v>
      </c>
      <c r="M39">
        <f t="shared" si="6"/>
        <v>29894</v>
      </c>
      <c r="N39">
        <f t="shared" si="6"/>
        <v>29669</v>
      </c>
      <c r="O39">
        <f t="shared" si="6"/>
        <v>29443</v>
      </c>
      <c r="P39">
        <f t="shared" si="6"/>
        <v>29218</v>
      </c>
      <c r="Q39">
        <f t="shared" si="6"/>
        <v>28992</v>
      </c>
      <c r="R39">
        <f t="shared" si="6"/>
        <v>28766</v>
      </c>
      <c r="S39">
        <f t="shared" si="6"/>
        <v>28541</v>
      </c>
      <c r="T39">
        <f>SUM(H39:S39)</f>
        <v>357380</v>
      </c>
    </row>
    <row r="40" spans="2:20" ht="15">
      <c r="B40" t="s">
        <v>84</v>
      </c>
      <c r="H40">
        <f aca="true" t="shared" si="7" ref="H40:S40">ROUND(+H39*1,0)</f>
        <v>31023</v>
      </c>
      <c r="I40">
        <f t="shared" si="7"/>
        <v>30797</v>
      </c>
      <c r="J40">
        <f t="shared" si="7"/>
        <v>30571</v>
      </c>
      <c r="K40">
        <f t="shared" si="7"/>
        <v>30346</v>
      </c>
      <c r="L40">
        <f t="shared" si="7"/>
        <v>30120</v>
      </c>
      <c r="M40">
        <f t="shared" si="7"/>
        <v>29894</v>
      </c>
      <c r="N40">
        <f t="shared" si="7"/>
        <v>29669</v>
      </c>
      <c r="O40">
        <f t="shared" si="7"/>
        <v>29443</v>
      </c>
      <c r="P40">
        <f t="shared" si="7"/>
        <v>29218</v>
      </c>
      <c r="Q40">
        <f t="shared" si="7"/>
        <v>28992</v>
      </c>
      <c r="R40">
        <f t="shared" si="7"/>
        <v>28766</v>
      </c>
      <c r="S40">
        <f t="shared" si="7"/>
        <v>28541</v>
      </c>
      <c r="T40">
        <f>SUM(H40:S40)</f>
        <v>357380</v>
      </c>
    </row>
    <row r="41" spans="2:20" ht="15">
      <c r="B41" t="s">
        <v>85</v>
      </c>
      <c r="H41">
        <f aca="true" t="shared" si="8" ref="H41:S41">ROUND(+H39*0,0)</f>
        <v>0</v>
      </c>
      <c r="I41">
        <f t="shared" si="8"/>
        <v>0</v>
      </c>
      <c r="J41">
        <f t="shared" si="8"/>
        <v>0</v>
      </c>
      <c r="K41">
        <f t="shared" si="8"/>
        <v>0</v>
      </c>
      <c r="L41">
        <f t="shared" si="8"/>
        <v>0</v>
      </c>
      <c r="M41">
        <f t="shared" si="8"/>
        <v>0</v>
      </c>
      <c r="N41">
        <f t="shared" si="8"/>
        <v>0</v>
      </c>
      <c r="O41">
        <f t="shared" si="8"/>
        <v>0</v>
      </c>
      <c r="P41">
        <f t="shared" si="8"/>
        <v>0</v>
      </c>
      <c r="Q41">
        <f t="shared" si="8"/>
        <v>0</v>
      </c>
      <c r="R41">
        <f t="shared" si="8"/>
        <v>0</v>
      </c>
      <c r="S41">
        <f t="shared" si="8"/>
        <v>0</v>
      </c>
      <c r="T41">
        <f>SUM(H41:S41)</f>
        <v>0</v>
      </c>
    </row>
    <row r="42" spans="8:19" ht="15">
      <c r="H42">
        <f>'Form 42 5A'!H53</f>
        <v>0</v>
      </c>
      <c r="I42">
        <f>'Form 42 5A'!I53</f>
        <v>0</v>
      </c>
      <c r="J42">
        <f>'Form 42 5A'!J53</f>
        <v>0</v>
      </c>
      <c r="K42">
        <f>'Form 42 5A'!K53</f>
        <v>0</v>
      </c>
      <c r="L42">
        <f>'Form 42 5A'!L53</f>
        <v>0</v>
      </c>
      <c r="M42">
        <f>'Form 42 5A'!M53</f>
        <v>0</v>
      </c>
      <c r="N42">
        <f>'Form 42 5A'!N53</f>
        <v>0</v>
      </c>
      <c r="O42">
        <f>'Form 42 5A'!O53</f>
        <v>0</v>
      </c>
      <c r="P42">
        <f>'Form 42 5A'!P53</f>
        <v>0</v>
      </c>
      <c r="Q42">
        <f>'Form 42 5A'!Q53</f>
        <v>0</v>
      </c>
      <c r="R42">
        <f>'Form 42 5A'!R53</f>
        <v>0</v>
      </c>
      <c r="S42">
        <f>'Form 42 5A'!S53</f>
        <v>0</v>
      </c>
    </row>
    <row r="43" spans="1:20" ht="15">
      <c r="A43" s="31" t="s">
        <v>86</v>
      </c>
      <c r="B43" s="1" t="s">
        <v>87</v>
      </c>
      <c r="C43" s="1"/>
      <c r="D43" s="1"/>
      <c r="E43" s="1"/>
      <c r="F43" s="1"/>
      <c r="G43" s="24"/>
      <c r="H43" s="24">
        <f>'Form 42 5A'!H53</f>
        <v>0</v>
      </c>
      <c r="I43" s="24">
        <f>'Form 42 5A'!I53</f>
        <v>0</v>
      </c>
      <c r="J43" s="24">
        <f>'Form 42 5A'!J53</f>
        <v>0</v>
      </c>
      <c r="K43" s="24">
        <f>'Form 42 5A'!K53</f>
        <v>0</v>
      </c>
      <c r="L43" s="24">
        <f>'Form 42 5A'!L53</f>
        <v>0</v>
      </c>
      <c r="M43" s="24">
        <f>'Form 42 5A'!M53</f>
        <v>0</v>
      </c>
      <c r="N43" s="24">
        <f>'Form 42 5A'!N53</f>
        <v>0</v>
      </c>
      <c r="O43" s="24">
        <f>'Form 42 5A'!O53</f>
        <v>0</v>
      </c>
      <c r="P43" s="24">
        <f>'Form 42 5A'!P53</f>
        <v>0</v>
      </c>
      <c r="Q43" s="24">
        <f>'Form 42 5A'!Q53</f>
        <v>0</v>
      </c>
      <c r="R43" s="24">
        <f>'Form 42 5A'!R53</f>
        <v>0</v>
      </c>
      <c r="S43" s="24">
        <f>'Form 42 5A'!S53</f>
        <v>0</v>
      </c>
      <c r="T43" s="24"/>
    </row>
    <row r="44" spans="1:20" ht="15">
      <c r="A44" s="31" t="s">
        <v>88</v>
      </c>
      <c r="B44" s="1" t="s">
        <v>89</v>
      </c>
      <c r="C44" s="1"/>
      <c r="D44" s="1"/>
      <c r="E44" s="1"/>
      <c r="F44" s="1"/>
      <c r="G44" s="24"/>
      <c r="H44" s="24">
        <f>+'Form 42 5A'!H54</f>
        <v>0</v>
      </c>
      <c r="I44" s="24">
        <f>+H44</f>
        <v>0</v>
      </c>
      <c r="J44" s="24">
        <f aca="true" t="shared" si="9" ref="J44:S44">+I44</f>
        <v>0</v>
      </c>
      <c r="K44" s="24">
        <f t="shared" si="9"/>
        <v>0</v>
      </c>
      <c r="L44" s="24">
        <f t="shared" si="9"/>
        <v>0</v>
      </c>
      <c r="M44" s="24">
        <f t="shared" si="9"/>
        <v>0</v>
      </c>
      <c r="N44" s="24">
        <f t="shared" si="9"/>
        <v>0</v>
      </c>
      <c r="O44" s="24">
        <f t="shared" si="9"/>
        <v>0</v>
      </c>
      <c r="P44" s="24">
        <f t="shared" si="9"/>
        <v>0</v>
      </c>
      <c r="Q44" s="24">
        <f t="shared" si="9"/>
        <v>0</v>
      </c>
      <c r="R44" s="24">
        <f t="shared" si="9"/>
        <v>0</v>
      </c>
      <c r="S44" s="24">
        <f t="shared" si="9"/>
        <v>0</v>
      </c>
      <c r="T44" s="24"/>
    </row>
    <row r="46" spans="1:20" ht="15">
      <c r="A46" s="30" t="s">
        <v>90</v>
      </c>
      <c r="B46" t="s">
        <v>91</v>
      </c>
      <c r="H46">
        <f aca="true" t="shared" si="10" ref="H46:S46">ROUND((+H40*H43),0)</f>
        <v>0</v>
      </c>
      <c r="I46">
        <f t="shared" si="10"/>
        <v>0</v>
      </c>
      <c r="J46">
        <f t="shared" si="10"/>
        <v>0</v>
      </c>
      <c r="K46">
        <f t="shared" si="10"/>
        <v>0</v>
      </c>
      <c r="L46">
        <f t="shared" si="10"/>
        <v>0</v>
      </c>
      <c r="M46">
        <f t="shared" si="10"/>
        <v>0</v>
      </c>
      <c r="N46">
        <f t="shared" si="10"/>
        <v>0</v>
      </c>
      <c r="O46">
        <f t="shared" si="10"/>
        <v>0</v>
      </c>
      <c r="P46">
        <f t="shared" si="10"/>
        <v>0</v>
      </c>
      <c r="Q46">
        <f t="shared" si="10"/>
        <v>0</v>
      </c>
      <c r="R46">
        <f t="shared" si="10"/>
        <v>0</v>
      </c>
      <c r="S46">
        <f t="shared" si="10"/>
        <v>0</v>
      </c>
      <c r="T46">
        <f>SUM(H46:S46)</f>
        <v>0</v>
      </c>
    </row>
    <row r="47" spans="1:20" ht="15">
      <c r="A47" s="31" t="s">
        <v>92</v>
      </c>
      <c r="B47" s="1" t="s">
        <v>93</v>
      </c>
      <c r="C47" s="1"/>
      <c r="D47" s="1"/>
      <c r="E47" s="1"/>
      <c r="F47" s="1"/>
      <c r="G47" s="1"/>
      <c r="H47" s="6">
        <f aca="true" t="shared" si="11" ref="H47:S47">(+H41*H44)</f>
        <v>0</v>
      </c>
      <c r="I47" s="6">
        <f t="shared" si="11"/>
        <v>0</v>
      </c>
      <c r="J47" s="6">
        <f t="shared" si="11"/>
        <v>0</v>
      </c>
      <c r="K47" s="6">
        <f t="shared" si="11"/>
        <v>0</v>
      </c>
      <c r="L47" s="6">
        <f t="shared" si="11"/>
        <v>0</v>
      </c>
      <c r="M47" s="6">
        <f t="shared" si="11"/>
        <v>0</v>
      </c>
      <c r="N47" s="6">
        <f t="shared" si="11"/>
        <v>0</v>
      </c>
      <c r="O47" s="6">
        <f t="shared" si="11"/>
        <v>0</v>
      </c>
      <c r="P47" s="6">
        <f t="shared" si="11"/>
        <v>0</v>
      </c>
      <c r="Q47" s="6">
        <f t="shared" si="11"/>
        <v>0</v>
      </c>
      <c r="R47" s="6">
        <f t="shared" si="11"/>
        <v>0</v>
      </c>
      <c r="S47" s="6">
        <f t="shared" si="11"/>
        <v>0</v>
      </c>
      <c r="T47" s="6">
        <f>SUM(H47:S47)</f>
        <v>0</v>
      </c>
    </row>
    <row r="48" spans="1:20" ht="15.75" thickBot="1">
      <c r="A48" s="31" t="s">
        <v>94</v>
      </c>
      <c r="B48" s="1" t="s">
        <v>95</v>
      </c>
      <c r="C48" s="1"/>
      <c r="D48" s="1"/>
      <c r="E48" s="1"/>
      <c r="F48" s="1"/>
      <c r="G48" s="1"/>
      <c r="H48" s="7">
        <f aca="true" t="shared" si="12" ref="H48:S48">H46+H47</f>
        <v>0</v>
      </c>
      <c r="I48" s="7">
        <f t="shared" si="12"/>
        <v>0</v>
      </c>
      <c r="J48" s="7">
        <f t="shared" si="12"/>
        <v>0</v>
      </c>
      <c r="K48" s="7">
        <f t="shared" si="12"/>
        <v>0</v>
      </c>
      <c r="L48" s="7">
        <f t="shared" si="12"/>
        <v>0</v>
      </c>
      <c r="M48" s="7">
        <f t="shared" si="12"/>
        <v>0</v>
      </c>
      <c r="N48" s="7">
        <f t="shared" si="12"/>
        <v>0</v>
      </c>
      <c r="O48" s="7">
        <f t="shared" si="12"/>
        <v>0</v>
      </c>
      <c r="P48" s="7">
        <f t="shared" si="12"/>
        <v>0</v>
      </c>
      <c r="Q48" s="7">
        <f t="shared" si="12"/>
        <v>0</v>
      </c>
      <c r="R48" s="7">
        <f t="shared" si="12"/>
        <v>0</v>
      </c>
      <c r="S48" s="7">
        <f t="shared" si="12"/>
        <v>0</v>
      </c>
      <c r="T48" s="7">
        <f>SUM(T46:T47)</f>
        <v>0</v>
      </c>
    </row>
    <row r="50" ht="15">
      <c r="A50" s="30" t="s">
        <v>31</v>
      </c>
    </row>
    <row r="51" spans="1:2" ht="15">
      <c r="A51" s="30" t="s">
        <v>96</v>
      </c>
      <c r="B51" t="s">
        <v>97</v>
      </c>
    </row>
    <row r="52" spans="1:2" ht="15">
      <c r="A52" s="30" t="s">
        <v>98</v>
      </c>
      <c r="B52" t="s">
        <v>99</v>
      </c>
    </row>
    <row r="53" spans="1:2" ht="15">
      <c r="A53" s="30" t="s">
        <v>100</v>
      </c>
      <c r="B53" t="s">
        <v>101</v>
      </c>
    </row>
  </sheetData>
  <printOptions/>
  <pageMargins left="0" right="0" top="1" bottom="1" header="0.5" footer="0.5"/>
  <pageSetup horizontalDpi="300" verticalDpi="300" orientation="landscape" scale="43" r:id="rId1"/>
</worksheet>
</file>

<file path=xl/worksheets/sheet16.xml><?xml version="1.0" encoding="utf-8"?>
<worksheet xmlns="http://schemas.openxmlformats.org/spreadsheetml/2006/main" xmlns:r="http://schemas.openxmlformats.org/officeDocument/2006/relationships">
  <sheetPr codeName="Sheet15"/>
  <dimension ref="A1:T52"/>
  <sheetViews>
    <sheetView zoomScale="75" zoomScaleNormal="75" workbookViewId="0" topLeftCell="A1">
      <selection activeCell="A7" sqref="A7"/>
    </sheetView>
  </sheetViews>
  <sheetFormatPr defaultColWidth="9.77734375" defaultRowHeight="15"/>
  <cols>
    <col min="7" max="12" width="12.77734375" style="0" customWidth="1"/>
    <col min="13" max="16" width="14.3359375" style="0" customWidth="1"/>
    <col min="17" max="21" width="12.77734375" style="0" customWidth="1"/>
  </cols>
  <sheetData>
    <row r="1" spans="1:20" ht="15.75">
      <c r="A1" s="8" t="s">
        <v>438</v>
      </c>
      <c r="B1" s="2"/>
      <c r="C1" s="2"/>
      <c r="D1" s="2"/>
      <c r="E1" s="2"/>
      <c r="F1" s="2"/>
      <c r="G1" s="2"/>
      <c r="H1" s="2"/>
      <c r="I1" s="2"/>
      <c r="J1" s="2"/>
      <c r="K1" s="2"/>
      <c r="L1" s="2"/>
      <c r="T1" s="30" t="s">
        <v>442</v>
      </c>
    </row>
    <row r="2" spans="1:20" ht="15">
      <c r="A2" s="2" t="s">
        <v>0</v>
      </c>
      <c r="B2" s="2"/>
      <c r="C2" s="2"/>
      <c r="D2" s="2"/>
      <c r="E2" s="2"/>
      <c r="F2" s="2"/>
      <c r="G2" s="2"/>
      <c r="H2" s="2"/>
      <c r="I2" s="2"/>
      <c r="J2" s="2"/>
      <c r="K2" s="2"/>
      <c r="L2" s="2"/>
      <c r="T2" s="30" t="s">
        <v>398</v>
      </c>
    </row>
    <row r="3" spans="1:12" ht="15">
      <c r="A3" s="2" t="s">
        <v>494</v>
      </c>
      <c r="B3" s="9"/>
      <c r="C3" s="9"/>
      <c r="D3" s="9"/>
      <c r="E3" s="9"/>
      <c r="F3" s="9"/>
      <c r="G3" s="9"/>
      <c r="H3" s="9"/>
      <c r="I3" s="2"/>
      <c r="J3" s="2"/>
      <c r="K3" s="2"/>
      <c r="L3" s="2"/>
    </row>
    <row r="4" spans="1:12" ht="15.75">
      <c r="A4" s="11" t="str">
        <f>'Form 42 2A'!A4</f>
        <v>January 2003 through December 2003</v>
      </c>
      <c r="B4" s="2"/>
      <c r="C4" s="2"/>
      <c r="D4" s="2"/>
      <c r="E4" s="2"/>
      <c r="F4" s="2"/>
      <c r="G4" s="2"/>
      <c r="H4" s="2"/>
      <c r="I4" s="2"/>
      <c r="J4" s="2"/>
      <c r="K4" s="2"/>
      <c r="L4" s="2"/>
    </row>
    <row r="5" spans="1:12" ht="15.75">
      <c r="A5" s="3" t="s">
        <v>1</v>
      </c>
      <c r="B5" s="2"/>
      <c r="C5" s="2"/>
      <c r="D5" s="2"/>
      <c r="E5" s="2"/>
      <c r="F5" s="2"/>
      <c r="G5" s="2"/>
      <c r="H5" s="2"/>
      <c r="I5" s="2"/>
      <c r="J5" s="2"/>
      <c r="K5" s="2"/>
      <c r="L5" s="2"/>
    </row>
    <row r="6" spans="1:12" ht="15">
      <c r="A6" s="2" t="s">
        <v>59</v>
      </c>
      <c r="B6" s="2"/>
      <c r="C6" s="2"/>
      <c r="D6" s="2"/>
      <c r="E6" s="2"/>
      <c r="F6" s="2"/>
      <c r="G6" s="2"/>
      <c r="H6" s="2"/>
      <c r="I6" s="2"/>
      <c r="J6" s="2"/>
      <c r="K6" s="2"/>
      <c r="L6" s="2"/>
    </row>
    <row r="7" spans="1:12" ht="15">
      <c r="A7" s="57" t="s">
        <v>489</v>
      </c>
      <c r="B7" s="2"/>
      <c r="C7" s="2"/>
      <c r="D7" s="2"/>
      <c r="E7" s="2"/>
      <c r="F7" s="2"/>
      <c r="G7" s="2"/>
      <c r="H7" s="2"/>
      <c r="I7" s="2"/>
      <c r="J7" s="2"/>
      <c r="K7" s="2"/>
      <c r="L7" s="2"/>
    </row>
    <row r="8" spans="1:12" ht="15">
      <c r="A8" s="2" t="s">
        <v>5</v>
      </c>
      <c r="B8" s="2"/>
      <c r="C8" s="2"/>
      <c r="D8" s="2"/>
      <c r="E8" s="2"/>
      <c r="F8" s="2"/>
      <c r="G8" s="2"/>
      <c r="H8" s="2"/>
      <c r="I8" s="2"/>
      <c r="J8" s="2"/>
      <c r="K8" s="2"/>
      <c r="L8" s="2"/>
    </row>
    <row r="9" ht="15">
      <c r="A9" s="47" t="s">
        <v>280</v>
      </c>
    </row>
    <row r="10" spans="1:20" ht="15">
      <c r="A10" s="2"/>
      <c r="T10" s="29" t="s">
        <v>60</v>
      </c>
    </row>
    <row r="11" spans="7:20" ht="15">
      <c r="G11" s="29" t="s">
        <v>61</v>
      </c>
      <c r="T11" s="29" t="s">
        <v>2</v>
      </c>
    </row>
    <row r="12" spans="1:20" ht="15.75" thickBot="1">
      <c r="A12" s="25" t="s">
        <v>3</v>
      </c>
      <c r="B12" s="2"/>
      <c r="C12" s="25" t="s">
        <v>62</v>
      </c>
      <c r="E12" s="2"/>
      <c r="F12" s="2"/>
      <c r="G12" s="19" t="s">
        <v>63</v>
      </c>
      <c r="H12" s="68" t="str">
        <f>'Form 42 2A'!H10</f>
        <v>January 03</v>
      </c>
      <c r="I12" s="68" t="str">
        <f>'Form 42 2A'!I10</f>
        <v>February 03</v>
      </c>
      <c r="J12" s="68" t="str">
        <f>'Form 42 2A'!J10</f>
        <v>March 03</v>
      </c>
      <c r="K12" s="68" t="str">
        <f>'Form 42 2A'!K10</f>
        <v>April 03</v>
      </c>
      <c r="L12" s="68" t="str">
        <f>'Form 42 2A'!L10</f>
        <v>May 03</v>
      </c>
      <c r="M12" s="68" t="str">
        <f>'Form 42 2A'!M10</f>
        <v>June 03</v>
      </c>
      <c r="N12" s="68" t="str">
        <f>'Form 42 2A'!N10</f>
        <v>July 03</v>
      </c>
      <c r="O12" s="68" t="str">
        <f>'Form 42 2A'!O10</f>
        <v>August 03</v>
      </c>
      <c r="P12" s="68" t="str">
        <f>'Form 42 2A'!P10</f>
        <v>September 03</v>
      </c>
      <c r="Q12" s="68" t="str">
        <f>'Form 42 2A'!Q10</f>
        <v>October 03</v>
      </c>
      <c r="R12" s="68" t="str">
        <f>'Form 42 2A'!R10</f>
        <v>November 03</v>
      </c>
      <c r="S12" s="68" t="str">
        <f>'Form 42 2A'!S10</f>
        <v>December 03</v>
      </c>
      <c r="T12" s="19" t="s">
        <v>8</v>
      </c>
    </row>
    <row r="13" spans="1:4" ht="15">
      <c r="A13" s="1"/>
      <c r="B13" s="1"/>
      <c r="C13" s="1"/>
      <c r="D13" s="27"/>
    </row>
    <row r="14" spans="1:2" ht="15">
      <c r="A14" s="30" t="s">
        <v>35</v>
      </c>
      <c r="B14" t="s">
        <v>64</v>
      </c>
    </row>
    <row r="15" spans="1:20" ht="15">
      <c r="A15" s="1"/>
      <c r="B15" s="1" t="s">
        <v>65</v>
      </c>
      <c r="C15" s="1"/>
      <c r="D15" s="1"/>
      <c r="E15" s="1"/>
      <c r="F15" s="1"/>
      <c r="G15" s="1"/>
      <c r="H15" s="5">
        <v>0</v>
      </c>
      <c r="I15" s="5">
        <v>0</v>
      </c>
      <c r="J15" s="5">
        <v>0</v>
      </c>
      <c r="K15" s="5">
        <v>0</v>
      </c>
      <c r="L15" s="5">
        <v>0</v>
      </c>
      <c r="M15" s="5">
        <v>0</v>
      </c>
      <c r="N15" s="5">
        <v>0</v>
      </c>
      <c r="O15" s="5">
        <v>0</v>
      </c>
      <c r="P15" s="5">
        <v>0</v>
      </c>
      <c r="Q15" s="5">
        <v>0</v>
      </c>
      <c r="R15" s="5">
        <v>0</v>
      </c>
      <c r="S15" s="5">
        <v>0</v>
      </c>
      <c r="T15" s="5"/>
    </row>
    <row r="16" spans="2:19" ht="15">
      <c r="B16" t="s">
        <v>66</v>
      </c>
      <c r="H16">
        <v>0</v>
      </c>
      <c r="I16">
        <v>0</v>
      </c>
      <c r="J16">
        <v>0</v>
      </c>
      <c r="K16">
        <v>0</v>
      </c>
      <c r="L16">
        <v>0</v>
      </c>
      <c r="M16">
        <v>0</v>
      </c>
      <c r="N16">
        <v>0</v>
      </c>
      <c r="O16">
        <v>0</v>
      </c>
      <c r="P16">
        <v>0</v>
      </c>
      <c r="Q16">
        <v>0</v>
      </c>
      <c r="R16">
        <v>0</v>
      </c>
      <c r="S16">
        <v>0</v>
      </c>
    </row>
    <row r="17" spans="2:19" ht="15">
      <c r="B17" t="s">
        <v>67</v>
      </c>
      <c r="H17">
        <v>0</v>
      </c>
      <c r="I17">
        <v>0</v>
      </c>
      <c r="J17">
        <v>0</v>
      </c>
      <c r="K17">
        <v>0</v>
      </c>
      <c r="L17">
        <v>0</v>
      </c>
      <c r="M17">
        <v>0</v>
      </c>
      <c r="N17">
        <v>0</v>
      </c>
      <c r="O17">
        <v>0</v>
      </c>
      <c r="P17">
        <v>0</v>
      </c>
      <c r="Q17">
        <v>0</v>
      </c>
      <c r="R17">
        <v>0</v>
      </c>
      <c r="S17">
        <v>0</v>
      </c>
    </row>
    <row r="18" spans="2:19" ht="15">
      <c r="B18" t="s">
        <v>68</v>
      </c>
      <c r="H18">
        <v>0</v>
      </c>
      <c r="I18">
        <v>0</v>
      </c>
      <c r="J18">
        <v>0</v>
      </c>
      <c r="K18">
        <v>0</v>
      </c>
      <c r="L18">
        <v>0</v>
      </c>
      <c r="M18">
        <v>0</v>
      </c>
      <c r="N18">
        <v>0</v>
      </c>
      <c r="O18">
        <v>0</v>
      </c>
      <c r="P18">
        <v>0</v>
      </c>
      <c r="Q18">
        <v>0</v>
      </c>
      <c r="R18">
        <v>0</v>
      </c>
      <c r="S18">
        <v>0</v>
      </c>
    </row>
    <row r="20" spans="1:19" ht="15">
      <c r="A20" s="31" t="s">
        <v>36</v>
      </c>
      <c r="B20" s="1" t="s">
        <v>69</v>
      </c>
      <c r="C20" s="1"/>
      <c r="D20" s="1"/>
      <c r="E20" s="1"/>
      <c r="F20" s="1"/>
      <c r="G20" s="5">
        <v>0</v>
      </c>
      <c r="H20" s="5">
        <f>+H15+G20</f>
        <v>0</v>
      </c>
      <c r="I20" s="5">
        <f aca="true" t="shared" si="0" ref="I20:S20">+I15+H20</f>
        <v>0</v>
      </c>
      <c r="J20" s="5">
        <f t="shared" si="0"/>
        <v>0</v>
      </c>
      <c r="K20" s="5">
        <f t="shared" si="0"/>
        <v>0</v>
      </c>
      <c r="L20" s="5">
        <f t="shared" si="0"/>
        <v>0</v>
      </c>
      <c r="M20" s="5">
        <f t="shared" si="0"/>
        <v>0</v>
      </c>
      <c r="N20" s="5">
        <f t="shared" si="0"/>
        <v>0</v>
      </c>
      <c r="O20" s="5">
        <f t="shared" si="0"/>
        <v>0</v>
      </c>
      <c r="P20" s="5">
        <f t="shared" si="0"/>
        <v>0</v>
      </c>
      <c r="Q20" s="5">
        <f t="shared" si="0"/>
        <v>0</v>
      </c>
      <c r="R20" s="5">
        <f t="shared" si="0"/>
        <v>0</v>
      </c>
      <c r="S20" s="5">
        <f t="shared" si="0"/>
        <v>0</v>
      </c>
    </row>
    <row r="21" spans="1:19" ht="15">
      <c r="A21" s="30" t="s">
        <v>38</v>
      </c>
      <c r="B21" t="s">
        <v>70</v>
      </c>
      <c r="G21">
        <v>0</v>
      </c>
      <c r="H21">
        <f aca="true" t="shared" si="1" ref="H21:S21">G21-H32</f>
        <v>0</v>
      </c>
      <c r="I21">
        <f t="shared" si="1"/>
        <v>0</v>
      </c>
      <c r="J21">
        <f t="shared" si="1"/>
        <v>0</v>
      </c>
      <c r="K21">
        <f t="shared" si="1"/>
        <v>0</v>
      </c>
      <c r="L21">
        <f t="shared" si="1"/>
        <v>0</v>
      </c>
      <c r="M21">
        <f t="shared" si="1"/>
        <v>0</v>
      </c>
      <c r="N21">
        <f t="shared" si="1"/>
        <v>0</v>
      </c>
      <c r="O21">
        <f t="shared" si="1"/>
        <v>0</v>
      </c>
      <c r="P21">
        <f t="shared" si="1"/>
        <v>0</v>
      </c>
      <c r="Q21">
        <f t="shared" si="1"/>
        <v>0</v>
      </c>
      <c r="R21">
        <f t="shared" si="1"/>
        <v>0</v>
      </c>
      <c r="S21">
        <f t="shared" si="1"/>
        <v>0</v>
      </c>
    </row>
    <row r="22" spans="1:19" ht="15">
      <c r="A22" s="31" t="s">
        <v>39</v>
      </c>
      <c r="B22" s="1" t="s">
        <v>71</v>
      </c>
      <c r="C22" s="1"/>
      <c r="D22" s="1"/>
      <c r="E22" s="1"/>
      <c r="F22" s="1"/>
      <c r="G22" s="6">
        <v>0</v>
      </c>
      <c r="H22" s="6">
        <f>+G22+H15</f>
        <v>0</v>
      </c>
      <c r="I22" s="6">
        <f aca="true" t="shared" si="2" ref="I22:S22">+H22+I15</f>
        <v>0</v>
      </c>
      <c r="J22" s="6">
        <f t="shared" si="2"/>
        <v>0</v>
      </c>
      <c r="K22" s="6">
        <f t="shared" si="2"/>
        <v>0</v>
      </c>
      <c r="L22" s="6">
        <f t="shared" si="2"/>
        <v>0</v>
      </c>
      <c r="M22" s="6">
        <f t="shared" si="2"/>
        <v>0</v>
      </c>
      <c r="N22" s="6">
        <f t="shared" si="2"/>
        <v>0</v>
      </c>
      <c r="O22" s="6">
        <f t="shared" si="2"/>
        <v>0</v>
      </c>
      <c r="P22" s="6">
        <f t="shared" si="2"/>
        <v>0</v>
      </c>
      <c r="Q22" s="6">
        <f t="shared" si="2"/>
        <v>0</v>
      </c>
      <c r="R22" s="6">
        <f t="shared" si="2"/>
        <v>0</v>
      </c>
      <c r="S22" s="6">
        <f t="shared" si="2"/>
        <v>0</v>
      </c>
    </row>
    <row r="23" spans="1:20" ht="15">
      <c r="A23" s="31" t="s">
        <v>40</v>
      </c>
      <c r="B23" s="1" t="s">
        <v>72</v>
      </c>
      <c r="C23" s="1"/>
      <c r="D23" s="1"/>
      <c r="E23" s="1"/>
      <c r="F23" s="1"/>
      <c r="G23" s="26">
        <f aca="true" t="shared" si="3" ref="G23:S23">G20+G21+G22</f>
        <v>0</v>
      </c>
      <c r="H23" s="17">
        <f t="shared" si="3"/>
        <v>0</v>
      </c>
      <c r="I23" s="17">
        <f t="shared" si="3"/>
        <v>0</v>
      </c>
      <c r="J23" s="17">
        <f t="shared" si="3"/>
        <v>0</v>
      </c>
      <c r="K23" s="17">
        <f t="shared" si="3"/>
        <v>0</v>
      </c>
      <c r="L23" s="17">
        <f t="shared" si="3"/>
        <v>0</v>
      </c>
      <c r="M23" s="17">
        <f t="shared" si="3"/>
        <v>0</v>
      </c>
      <c r="N23" s="17">
        <f t="shared" si="3"/>
        <v>0</v>
      </c>
      <c r="O23" s="17">
        <f t="shared" si="3"/>
        <v>0</v>
      </c>
      <c r="P23" s="17">
        <f t="shared" si="3"/>
        <v>0</v>
      </c>
      <c r="Q23" s="17">
        <f t="shared" si="3"/>
        <v>0</v>
      </c>
      <c r="R23" s="17">
        <f t="shared" si="3"/>
        <v>0</v>
      </c>
      <c r="S23" s="17">
        <f t="shared" si="3"/>
        <v>0</v>
      </c>
      <c r="T23" s="16"/>
    </row>
    <row r="25" spans="1:19" ht="15">
      <c r="A25" s="30" t="s">
        <v>42</v>
      </c>
      <c r="B25" t="s">
        <v>73</v>
      </c>
      <c r="H25">
        <f aca="true" t="shared" si="4" ref="H25:S25">ROUND((+G23+H23)/2,0)</f>
        <v>0</v>
      </c>
      <c r="I25">
        <f t="shared" si="4"/>
        <v>0</v>
      </c>
      <c r="J25">
        <f t="shared" si="4"/>
        <v>0</v>
      </c>
      <c r="K25">
        <f t="shared" si="4"/>
        <v>0</v>
      </c>
      <c r="L25">
        <f t="shared" si="4"/>
        <v>0</v>
      </c>
      <c r="M25">
        <f t="shared" si="4"/>
        <v>0</v>
      </c>
      <c r="N25">
        <f t="shared" si="4"/>
        <v>0</v>
      </c>
      <c r="O25">
        <f t="shared" si="4"/>
        <v>0</v>
      </c>
      <c r="P25">
        <f t="shared" si="4"/>
        <v>0</v>
      </c>
      <c r="Q25">
        <f t="shared" si="4"/>
        <v>0</v>
      </c>
      <c r="R25">
        <f t="shared" si="4"/>
        <v>0</v>
      </c>
      <c r="S25">
        <f t="shared" si="4"/>
        <v>0</v>
      </c>
    </row>
    <row r="27" spans="1:2" ht="15">
      <c r="A27" s="30" t="s">
        <v>43</v>
      </c>
      <c r="B27" t="s">
        <v>74</v>
      </c>
    </row>
    <row r="28" spans="1:20" ht="15">
      <c r="A28" s="1"/>
      <c r="B28" s="1" t="s">
        <v>75</v>
      </c>
      <c r="C28" s="1"/>
      <c r="D28" s="1"/>
      <c r="E28" s="1"/>
      <c r="F28" s="1"/>
      <c r="G28" s="1"/>
      <c r="H28" s="1">
        <f aca="true" t="shared" si="5" ref="H28:S28">ROUND(+H25*(0.088238)/12,0)</f>
        <v>0</v>
      </c>
      <c r="I28" s="1">
        <f t="shared" si="5"/>
        <v>0</v>
      </c>
      <c r="J28" s="1">
        <f t="shared" si="5"/>
        <v>0</v>
      </c>
      <c r="K28" s="1">
        <f t="shared" si="5"/>
        <v>0</v>
      </c>
      <c r="L28" s="1">
        <f t="shared" si="5"/>
        <v>0</v>
      </c>
      <c r="M28" s="1">
        <f t="shared" si="5"/>
        <v>0</v>
      </c>
      <c r="N28" s="1">
        <f t="shared" si="5"/>
        <v>0</v>
      </c>
      <c r="O28" s="1">
        <f t="shared" si="5"/>
        <v>0</v>
      </c>
      <c r="P28" s="1">
        <f t="shared" si="5"/>
        <v>0</v>
      </c>
      <c r="Q28" s="1">
        <f t="shared" si="5"/>
        <v>0</v>
      </c>
      <c r="R28" s="1">
        <f t="shared" si="5"/>
        <v>0</v>
      </c>
      <c r="S28" s="1">
        <f t="shared" si="5"/>
        <v>0</v>
      </c>
      <c r="T28" s="5">
        <f>SUM(H28:S28)</f>
        <v>0</v>
      </c>
    </row>
    <row r="29" spans="2:20" ht="15">
      <c r="B29" t="s">
        <v>76</v>
      </c>
      <c r="H29">
        <f aca="true" t="shared" si="6" ref="H29:S29">ROUND(+H25*(0.0282)/12,0)</f>
        <v>0</v>
      </c>
      <c r="I29">
        <f t="shared" si="6"/>
        <v>0</v>
      </c>
      <c r="J29">
        <f t="shared" si="6"/>
        <v>0</v>
      </c>
      <c r="K29">
        <f t="shared" si="6"/>
        <v>0</v>
      </c>
      <c r="L29">
        <f t="shared" si="6"/>
        <v>0</v>
      </c>
      <c r="M29">
        <f t="shared" si="6"/>
        <v>0</v>
      </c>
      <c r="N29">
        <f t="shared" si="6"/>
        <v>0</v>
      </c>
      <c r="O29">
        <f t="shared" si="6"/>
        <v>0</v>
      </c>
      <c r="P29">
        <f t="shared" si="6"/>
        <v>0</v>
      </c>
      <c r="Q29">
        <f t="shared" si="6"/>
        <v>0</v>
      </c>
      <c r="R29">
        <f t="shared" si="6"/>
        <v>0</v>
      </c>
      <c r="S29">
        <f t="shared" si="6"/>
        <v>0</v>
      </c>
      <c r="T29">
        <f>SUM(H29:S29)</f>
        <v>0</v>
      </c>
    </row>
    <row r="31" spans="1:2" ht="15">
      <c r="A31" s="30" t="s">
        <v>44</v>
      </c>
      <c r="B31" t="s">
        <v>77</v>
      </c>
    </row>
    <row r="32" spans="2:20" ht="15">
      <c r="B32" t="s">
        <v>78</v>
      </c>
      <c r="H32">
        <v>0</v>
      </c>
      <c r="I32">
        <v>0</v>
      </c>
      <c r="J32">
        <v>0</v>
      </c>
      <c r="K32">
        <v>0</v>
      </c>
      <c r="L32">
        <v>0</v>
      </c>
      <c r="M32">
        <v>0</v>
      </c>
      <c r="N32">
        <v>0</v>
      </c>
      <c r="O32">
        <v>0</v>
      </c>
      <c r="P32">
        <v>0</v>
      </c>
      <c r="Q32">
        <v>0</v>
      </c>
      <c r="R32">
        <v>0</v>
      </c>
      <c r="S32">
        <v>0</v>
      </c>
      <c r="T32">
        <f>SUM(H32:S32)</f>
        <v>0</v>
      </c>
    </row>
    <row r="33" spans="2:20" ht="15">
      <c r="B33" t="s">
        <v>79</v>
      </c>
      <c r="H33">
        <v>0</v>
      </c>
      <c r="I33">
        <v>0</v>
      </c>
      <c r="J33">
        <v>0</v>
      </c>
      <c r="K33">
        <v>0</v>
      </c>
      <c r="L33">
        <v>0</v>
      </c>
      <c r="M33">
        <v>0</v>
      </c>
      <c r="N33">
        <v>0</v>
      </c>
      <c r="O33">
        <v>0</v>
      </c>
      <c r="P33">
        <v>0</v>
      </c>
      <c r="Q33">
        <v>0</v>
      </c>
      <c r="R33">
        <v>0</v>
      </c>
      <c r="S33">
        <v>0</v>
      </c>
      <c r="T33">
        <f>SUM(H33:S33)</f>
        <v>0</v>
      </c>
    </row>
    <row r="34" spans="2:20" ht="15">
      <c r="B34" t="s">
        <v>80</v>
      </c>
      <c r="H34">
        <v>0</v>
      </c>
      <c r="I34">
        <v>0</v>
      </c>
      <c r="J34">
        <v>0</v>
      </c>
      <c r="K34">
        <v>0</v>
      </c>
      <c r="L34">
        <v>0</v>
      </c>
      <c r="M34">
        <v>0</v>
      </c>
      <c r="N34">
        <v>0</v>
      </c>
      <c r="O34">
        <v>0</v>
      </c>
      <c r="P34">
        <v>0</v>
      </c>
      <c r="Q34">
        <v>0</v>
      </c>
      <c r="R34">
        <v>0</v>
      </c>
      <c r="S34">
        <v>0</v>
      </c>
      <c r="T34">
        <f>SUM(H34:S34)</f>
        <v>0</v>
      </c>
    </row>
    <row r="35" spans="2:20" ht="15">
      <c r="B35" t="s">
        <v>81</v>
      </c>
      <c r="H35">
        <v>0</v>
      </c>
      <c r="I35">
        <v>0</v>
      </c>
      <c r="J35">
        <v>0</v>
      </c>
      <c r="K35">
        <v>0</v>
      </c>
      <c r="L35">
        <v>0</v>
      </c>
      <c r="M35">
        <v>0</v>
      </c>
      <c r="N35">
        <v>0</v>
      </c>
      <c r="O35">
        <v>0</v>
      </c>
      <c r="P35">
        <v>0</v>
      </c>
      <c r="Q35">
        <v>0</v>
      </c>
      <c r="R35">
        <v>0</v>
      </c>
      <c r="S35">
        <v>0</v>
      </c>
      <c r="T35">
        <f>SUM(H35:S35)</f>
        <v>0</v>
      </c>
    </row>
    <row r="36" spans="1:20" ht="15">
      <c r="A36" s="1"/>
      <c r="B36" s="1" t="s">
        <v>82</v>
      </c>
      <c r="C36" s="1"/>
      <c r="D36" s="1"/>
      <c r="E36" s="1"/>
      <c r="F36" s="1"/>
      <c r="G36" s="1"/>
      <c r="H36" s="6">
        <v>0</v>
      </c>
      <c r="I36" s="6">
        <v>0</v>
      </c>
      <c r="J36" s="6">
        <v>0</v>
      </c>
      <c r="K36" s="6">
        <v>0</v>
      </c>
      <c r="L36" s="6">
        <v>0</v>
      </c>
      <c r="M36" s="6">
        <v>0</v>
      </c>
      <c r="N36" s="6">
        <v>0</v>
      </c>
      <c r="O36" s="6">
        <v>0</v>
      </c>
      <c r="P36" s="6">
        <v>0</v>
      </c>
      <c r="Q36" s="6">
        <v>0</v>
      </c>
      <c r="R36" s="6">
        <v>0</v>
      </c>
      <c r="S36" s="6">
        <v>0</v>
      </c>
      <c r="T36" s="6">
        <f>SUM(H36:S36)</f>
        <v>0</v>
      </c>
    </row>
    <row r="38" spans="1:20" ht="15">
      <c r="A38" s="30" t="s">
        <v>45</v>
      </c>
      <c r="B38" t="s">
        <v>83</v>
      </c>
      <c r="H38">
        <f aca="true" t="shared" si="7" ref="H38:S38">ROUND(+H28+H29+H32+H33+H34+H35+H36,0)</f>
        <v>0</v>
      </c>
      <c r="I38">
        <f t="shared" si="7"/>
        <v>0</v>
      </c>
      <c r="J38">
        <f t="shared" si="7"/>
        <v>0</v>
      </c>
      <c r="K38">
        <f t="shared" si="7"/>
        <v>0</v>
      </c>
      <c r="L38">
        <f t="shared" si="7"/>
        <v>0</v>
      </c>
      <c r="M38">
        <f t="shared" si="7"/>
        <v>0</v>
      </c>
      <c r="N38">
        <f t="shared" si="7"/>
        <v>0</v>
      </c>
      <c r="O38">
        <f t="shared" si="7"/>
        <v>0</v>
      </c>
      <c r="P38">
        <f t="shared" si="7"/>
        <v>0</v>
      </c>
      <c r="Q38">
        <f t="shared" si="7"/>
        <v>0</v>
      </c>
      <c r="R38">
        <f t="shared" si="7"/>
        <v>0</v>
      </c>
      <c r="S38">
        <f t="shared" si="7"/>
        <v>0</v>
      </c>
      <c r="T38">
        <f>SUM(H38:S38)</f>
        <v>0</v>
      </c>
    </row>
    <row r="39" spans="2:20" ht="15">
      <c r="B39" t="s">
        <v>84</v>
      </c>
      <c r="H39">
        <f aca="true" t="shared" si="8" ref="H39:S39">ROUND(+H38*1,0)</f>
        <v>0</v>
      </c>
      <c r="I39">
        <f t="shared" si="8"/>
        <v>0</v>
      </c>
      <c r="J39">
        <f t="shared" si="8"/>
        <v>0</v>
      </c>
      <c r="K39">
        <f t="shared" si="8"/>
        <v>0</v>
      </c>
      <c r="L39">
        <f t="shared" si="8"/>
        <v>0</v>
      </c>
      <c r="M39">
        <f t="shared" si="8"/>
        <v>0</v>
      </c>
      <c r="N39">
        <f t="shared" si="8"/>
        <v>0</v>
      </c>
      <c r="O39">
        <f t="shared" si="8"/>
        <v>0</v>
      </c>
      <c r="P39">
        <f t="shared" si="8"/>
        <v>0</v>
      </c>
      <c r="Q39">
        <f t="shared" si="8"/>
        <v>0</v>
      </c>
      <c r="R39">
        <f t="shared" si="8"/>
        <v>0</v>
      </c>
      <c r="S39">
        <f t="shared" si="8"/>
        <v>0</v>
      </c>
      <c r="T39">
        <f>SUM(H39:S39)</f>
        <v>0</v>
      </c>
    </row>
    <row r="40" spans="2:20" ht="15">
      <c r="B40" t="s">
        <v>85</v>
      </c>
      <c r="H40">
        <f aca="true" t="shared" si="9" ref="H40:S40">ROUND(+H38*0,0)</f>
        <v>0</v>
      </c>
      <c r="I40">
        <f t="shared" si="9"/>
        <v>0</v>
      </c>
      <c r="J40">
        <f t="shared" si="9"/>
        <v>0</v>
      </c>
      <c r="K40">
        <f t="shared" si="9"/>
        <v>0</v>
      </c>
      <c r="L40">
        <f t="shared" si="9"/>
        <v>0</v>
      </c>
      <c r="M40">
        <f t="shared" si="9"/>
        <v>0</v>
      </c>
      <c r="N40">
        <f t="shared" si="9"/>
        <v>0</v>
      </c>
      <c r="O40">
        <f t="shared" si="9"/>
        <v>0</v>
      </c>
      <c r="P40">
        <f t="shared" si="9"/>
        <v>0</v>
      </c>
      <c r="Q40">
        <f t="shared" si="9"/>
        <v>0</v>
      </c>
      <c r="R40">
        <f t="shared" si="9"/>
        <v>0</v>
      </c>
      <c r="S40">
        <f t="shared" si="9"/>
        <v>0</v>
      </c>
      <c r="T40">
        <f>SUM(H40:S40)</f>
        <v>0</v>
      </c>
    </row>
    <row r="42" spans="1:20" ht="15">
      <c r="A42" s="31" t="s">
        <v>86</v>
      </c>
      <c r="B42" s="1" t="s">
        <v>87</v>
      </c>
      <c r="C42" s="1"/>
      <c r="D42" s="1"/>
      <c r="E42" s="1"/>
      <c r="F42" s="1"/>
      <c r="G42" s="24"/>
      <c r="H42" s="24">
        <f>'Form 42 5A'!H53</f>
        <v>0</v>
      </c>
      <c r="I42" s="24">
        <f>'Form 42 5A'!I53</f>
        <v>0</v>
      </c>
      <c r="J42" s="24">
        <f>'Form 42 5A'!J53</f>
        <v>0</v>
      </c>
      <c r="K42" s="24">
        <f>'Form 42 5A'!K53</f>
        <v>0</v>
      </c>
      <c r="L42" s="24">
        <f>'Form 42 5A'!L53</f>
        <v>0</v>
      </c>
      <c r="M42" s="24">
        <f>'Form 42 5A'!M53</f>
        <v>0</v>
      </c>
      <c r="N42" s="24">
        <f>'Form 42 5A'!N53</f>
        <v>0</v>
      </c>
      <c r="O42" s="24">
        <f>'Form 42 5A'!O53</f>
        <v>0</v>
      </c>
      <c r="P42" s="24">
        <f>'Form 42 5A'!P53</f>
        <v>0</v>
      </c>
      <c r="Q42" s="24">
        <f>'Form 42 5A'!Q53</f>
        <v>0</v>
      </c>
      <c r="R42" s="24">
        <f>'Form 42 5A'!R53</f>
        <v>0</v>
      </c>
      <c r="S42" s="24">
        <f>'Form 42 5A'!S53</f>
        <v>0</v>
      </c>
      <c r="T42" s="24"/>
    </row>
    <row r="43" spans="1:20" ht="15">
      <c r="A43" s="31" t="s">
        <v>88</v>
      </c>
      <c r="B43" s="1" t="s">
        <v>89</v>
      </c>
      <c r="C43" s="1"/>
      <c r="D43" s="1"/>
      <c r="E43" s="1"/>
      <c r="F43" s="1"/>
      <c r="G43" s="24"/>
      <c r="H43" s="24">
        <f>+'Form 42 5A'!H54</f>
        <v>0</v>
      </c>
      <c r="I43" s="24">
        <f>+'Form 42 5A'!I54</f>
        <v>0</v>
      </c>
      <c r="J43" s="24">
        <f>+'Form 42 5A'!J54</f>
        <v>0</v>
      </c>
      <c r="K43" s="24">
        <f>+'Form 42 5A'!K54</f>
        <v>0</v>
      </c>
      <c r="L43" s="24">
        <f>+'Form 42 5A'!L54</f>
        <v>0</v>
      </c>
      <c r="M43" s="24">
        <f>+'Form 42 5A'!M54</f>
        <v>0</v>
      </c>
      <c r="N43" s="24">
        <f>+'Form 42 5A'!N54</f>
        <v>0</v>
      </c>
      <c r="O43" s="24">
        <f>+'Form 42 5A'!O54</f>
        <v>0</v>
      </c>
      <c r="P43" s="24">
        <f>+'Form 42 5A'!P54</f>
        <v>0</v>
      </c>
      <c r="Q43" s="24">
        <f>+'Form 42 5A'!Q54</f>
        <v>0</v>
      </c>
      <c r="R43" s="24">
        <f>+'Form 42 5A'!R54</f>
        <v>0</v>
      </c>
      <c r="S43" s="24">
        <f>+'Form 42 5A'!S54</f>
        <v>0</v>
      </c>
      <c r="T43" s="24"/>
    </row>
    <row r="45" spans="1:20" ht="15">
      <c r="A45" s="30" t="s">
        <v>90</v>
      </c>
      <c r="B45" t="s">
        <v>91</v>
      </c>
      <c r="H45">
        <f aca="true" t="shared" si="10" ref="H45:S45">ROUND((+H39*H42),0)</f>
        <v>0</v>
      </c>
      <c r="I45">
        <f t="shared" si="10"/>
        <v>0</v>
      </c>
      <c r="J45">
        <f t="shared" si="10"/>
        <v>0</v>
      </c>
      <c r="K45">
        <f t="shared" si="10"/>
        <v>0</v>
      </c>
      <c r="L45">
        <f t="shared" si="10"/>
        <v>0</v>
      </c>
      <c r="M45">
        <f t="shared" si="10"/>
        <v>0</v>
      </c>
      <c r="N45">
        <f t="shared" si="10"/>
        <v>0</v>
      </c>
      <c r="O45">
        <f t="shared" si="10"/>
        <v>0</v>
      </c>
      <c r="P45">
        <f t="shared" si="10"/>
        <v>0</v>
      </c>
      <c r="Q45">
        <f t="shared" si="10"/>
        <v>0</v>
      </c>
      <c r="R45">
        <f t="shared" si="10"/>
        <v>0</v>
      </c>
      <c r="S45">
        <f t="shared" si="10"/>
        <v>0</v>
      </c>
      <c r="T45">
        <f>SUM(H45:S45)</f>
        <v>0</v>
      </c>
    </row>
    <row r="46" spans="1:20" ht="15">
      <c r="A46" s="31" t="s">
        <v>92</v>
      </c>
      <c r="B46" s="1" t="s">
        <v>93</v>
      </c>
      <c r="C46" s="1"/>
      <c r="D46" s="1"/>
      <c r="E46" s="1"/>
      <c r="F46" s="1"/>
      <c r="G46" s="1"/>
      <c r="H46" s="6">
        <f aca="true" t="shared" si="11" ref="H46:S46">(+H40*H43)</f>
        <v>0</v>
      </c>
      <c r="I46" s="6">
        <f t="shared" si="11"/>
        <v>0</v>
      </c>
      <c r="J46" s="6">
        <f t="shared" si="11"/>
        <v>0</v>
      </c>
      <c r="K46" s="6">
        <f t="shared" si="11"/>
        <v>0</v>
      </c>
      <c r="L46" s="6">
        <f t="shared" si="11"/>
        <v>0</v>
      </c>
      <c r="M46" s="6">
        <f t="shared" si="11"/>
        <v>0</v>
      </c>
      <c r="N46" s="6">
        <f t="shared" si="11"/>
        <v>0</v>
      </c>
      <c r="O46" s="6">
        <f t="shared" si="11"/>
        <v>0</v>
      </c>
      <c r="P46" s="6">
        <f t="shared" si="11"/>
        <v>0</v>
      </c>
      <c r="Q46" s="6">
        <f t="shared" si="11"/>
        <v>0</v>
      </c>
      <c r="R46" s="6">
        <f t="shared" si="11"/>
        <v>0</v>
      </c>
      <c r="S46" s="6">
        <f t="shared" si="11"/>
        <v>0</v>
      </c>
      <c r="T46" s="6">
        <f>SUM(H46:S46)</f>
        <v>0</v>
      </c>
    </row>
    <row r="47" spans="1:20" ht="15.75" thickBot="1">
      <c r="A47" s="31" t="s">
        <v>94</v>
      </c>
      <c r="B47" s="1" t="s">
        <v>95</v>
      </c>
      <c r="C47" s="1"/>
      <c r="D47" s="1"/>
      <c r="E47" s="1"/>
      <c r="F47" s="1"/>
      <c r="G47" s="1"/>
      <c r="H47" s="7">
        <f aca="true" t="shared" si="12" ref="H47:S47">H45+H46</f>
        <v>0</v>
      </c>
      <c r="I47" s="7">
        <f t="shared" si="12"/>
        <v>0</v>
      </c>
      <c r="J47" s="7">
        <f t="shared" si="12"/>
        <v>0</v>
      </c>
      <c r="K47" s="7">
        <f t="shared" si="12"/>
        <v>0</v>
      </c>
      <c r="L47" s="7">
        <f t="shared" si="12"/>
        <v>0</v>
      </c>
      <c r="M47" s="7">
        <f t="shared" si="12"/>
        <v>0</v>
      </c>
      <c r="N47" s="7">
        <f t="shared" si="12"/>
        <v>0</v>
      </c>
      <c r="O47" s="7">
        <f t="shared" si="12"/>
        <v>0</v>
      </c>
      <c r="P47" s="7">
        <f t="shared" si="12"/>
        <v>0</v>
      </c>
      <c r="Q47" s="7">
        <f t="shared" si="12"/>
        <v>0</v>
      </c>
      <c r="R47" s="7">
        <f t="shared" si="12"/>
        <v>0</v>
      </c>
      <c r="S47" s="7">
        <f t="shared" si="12"/>
        <v>0</v>
      </c>
      <c r="T47" s="7">
        <f>SUM(T45:T46)</f>
        <v>0</v>
      </c>
    </row>
    <row r="49" ht="15">
      <c r="A49" s="30" t="s">
        <v>31</v>
      </c>
    </row>
    <row r="50" spans="1:2" ht="15">
      <c r="A50" s="30" t="s">
        <v>96</v>
      </c>
      <c r="B50" t="s">
        <v>97</v>
      </c>
    </row>
    <row r="51" spans="1:2" ht="15">
      <c r="A51" s="30" t="s">
        <v>98</v>
      </c>
      <c r="B51" t="s">
        <v>99</v>
      </c>
    </row>
    <row r="52" spans="1:2" ht="15">
      <c r="A52" s="30" t="s">
        <v>100</v>
      </c>
      <c r="B52" t="s">
        <v>101</v>
      </c>
    </row>
  </sheetData>
  <printOptions/>
  <pageMargins left="0" right="0" top="1" bottom="1" header="0.5" footer="0.5"/>
  <pageSetup horizontalDpi="300" verticalDpi="300" orientation="landscape" scale="43" r:id="rId1"/>
</worksheet>
</file>

<file path=xl/worksheets/sheet17.xml><?xml version="1.0" encoding="utf-8"?>
<worksheet xmlns="http://schemas.openxmlformats.org/spreadsheetml/2006/main" xmlns:r="http://schemas.openxmlformats.org/officeDocument/2006/relationships">
  <sheetPr codeName="Sheet16"/>
  <dimension ref="A1:T52"/>
  <sheetViews>
    <sheetView zoomScale="75" zoomScaleNormal="75" workbookViewId="0" topLeftCell="A1">
      <selection activeCell="A7" sqref="A7"/>
    </sheetView>
  </sheetViews>
  <sheetFormatPr defaultColWidth="9.77734375" defaultRowHeight="15"/>
  <cols>
    <col min="7" max="12" width="12.77734375" style="0" customWidth="1"/>
    <col min="13" max="16" width="14.3359375" style="0" customWidth="1"/>
    <col min="17" max="21" width="12.77734375" style="0" customWidth="1"/>
  </cols>
  <sheetData>
    <row r="1" spans="1:20" ht="15.75">
      <c r="A1" s="8" t="s">
        <v>438</v>
      </c>
      <c r="B1" s="2"/>
      <c r="C1" s="2"/>
      <c r="D1" s="2"/>
      <c r="E1" s="2"/>
      <c r="F1" s="2"/>
      <c r="G1" s="2"/>
      <c r="H1" s="2"/>
      <c r="I1" s="2"/>
      <c r="J1" s="2"/>
      <c r="K1" s="2"/>
      <c r="L1" s="2"/>
      <c r="T1" s="30" t="s">
        <v>442</v>
      </c>
    </row>
    <row r="2" spans="1:20" ht="15">
      <c r="A2" s="2" t="s">
        <v>0</v>
      </c>
      <c r="B2" s="2"/>
      <c r="C2" s="2"/>
      <c r="D2" s="2"/>
      <c r="E2" s="2"/>
      <c r="F2" s="2"/>
      <c r="G2" s="2"/>
      <c r="H2" s="2"/>
      <c r="I2" s="2"/>
      <c r="J2" s="2"/>
      <c r="K2" s="2"/>
      <c r="L2" s="2"/>
      <c r="T2" s="30" t="s">
        <v>399</v>
      </c>
    </row>
    <row r="3" spans="1:12" ht="15">
      <c r="A3" s="2" t="s">
        <v>494</v>
      </c>
      <c r="B3" s="9"/>
      <c r="C3" s="9"/>
      <c r="D3" s="9"/>
      <c r="E3" s="9"/>
      <c r="F3" s="9"/>
      <c r="G3" s="9"/>
      <c r="H3" s="9"/>
      <c r="I3" s="2"/>
      <c r="J3" s="2"/>
      <c r="K3" s="2"/>
      <c r="L3" s="2"/>
    </row>
    <row r="4" spans="1:12" ht="15.75">
      <c r="A4" s="11" t="str">
        <f>'Form 42 2A'!A4</f>
        <v>January 2003 through December 2003</v>
      </c>
      <c r="B4" s="2"/>
      <c r="C4" s="2"/>
      <c r="D4" s="2"/>
      <c r="E4" s="2"/>
      <c r="F4" s="2"/>
      <c r="G4" s="2"/>
      <c r="H4" s="2"/>
      <c r="I4" s="2"/>
      <c r="J4" s="2"/>
      <c r="K4" s="2"/>
      <c r="L4" s="2"/>
    </row>
    <row r="5" spans="1:12" ht="15.75">
      <c r="A5" s="3" t="s">
        <v>1</v>
      </c>
      <c r="B5" s="2"/>
      <c r="C5" s="2"/>
      <c r="D5" s="2"/>
      <c r="E5" s="2"/>
      <c r="F5" s="2"/>
      <c r="G5" s="2"/>
      <c r="H5" s="2"/>
      <c r="I5" s="2"/>
      <c r="J5" s="2"/>
      <c r="K5" s="2"/>
      <c r="L5" s="2"/>
    </row>
    <row r="6" spans="1:12" ht="15">
      <c r="A6" s="2" t="s">
        <v>59</v>
      </c>
      <c r="B6" s="2"/>
      <c r="C6" s="2"/>
      <c r="D6" s="2"/>
      <c r="E6" s="2"/>
      <c r="F6" s="2"/>
      <c r="G6" s="2"/>
      <c r="H6" s="2"/>
      <c r="I6" s="2"/>
      <c r="J6" s="2"/>
      <c r="K6" s="2"/>
      <c r="L6" s="2"/>
    </row>
    <row r="7" spans="1:12" ht="15">
      <c r="A7" s="57" t="s">
        <v>489</v>
      </c>
      <c r="B7" s="2"/>
      <c r="C7" s="2"/>
      <c r="D7" s="2"/>
      <c r="E7" s="2"/>
      <c r="F7" s="2"/>
      <c r="G7" s="2"/>
      <c r="H7" s="2"/>
      <c r="I7" s="2"/>
      <c r="J7" s="2"/>
      <c r="K7" s="2"/>
      <c r="L7" s="2"/>
    </row>
    <row r="8" spans="1:12" ht="15">
      <c r="A8" s="2" t="s">
        <v>5</v>
      </c>
      <c r="B8" s="2"/>
      <c r="C8" s="2"/>
      <c r="D8" s="2"/>
      <c r="E8" s="2"/>
      <c r="F8" s="2"/>
      <c r="G8" s="2"/>
      <c r="H8" s="2"/>
      <c r="I8" s="2"/>
      <c r="J8" s="2"/>
      <c r="K8" s="2"/>
      <c r="L8" s="2"/>
    </row>
    <row r="9" ht="15">
      <c r="A9" s="47" t="s">
        <v>281</v>
      </c>
    </row>
    <row r="10" spans="1:20" ht="15">
      <c r="A10" s="2"/>
      <c r="T10" s="29" t="s">
        <v>60</v>
      </c>
    </row>
    <row r="11" spans="7:20" ht="15">
      <c r="G11" s="29" t="s">
        <v>61</v>
      </c>
      <c r="T11" s="29" t="s">
        <v>2</v>
      </c>
    </row>
    <row r="12" spans="1:20" ht="15.75" thickBot="1">
      <c r="A12" s="25" t="s">
        <v>3</v>
      </c>
      <c r="B12" s="2"/>
      <c r="C12" s="25" t="s">
        <v>62</v>
      </c>
      <c r="E12" s="2"/>
      <c r="F12" s="2"/>
      <c r="G12" s="19" t="s">
        <v>63</v>
      </c>
      <c r="H12" s="68" t="str">
        <f>'Form 42 2A'!H10</f>
        <v>January 03</v>
      </c>
      <c r="I12" s="68" t="str">
        <f>'Form 42 2A'!I10</f>
        <v>February 03</v>
      </c>
      <c r="J12" s="68" t="str">
        <f>'Form 42 2A'!J10</f>
        <v>March 03</v>
      </c>
      <c r="K12" s="68" t="str">
        <f>'Form 42 2A'!K10</f>
        <v>April 03</v>
      </c>
      <c r="L12" s="68" t="str">
        <f>'Form 42 2A'!L10</f>
        <v>May 03</v>
      </c>
      <c r="M12" s="68" t="str">
        <f>'Form 42 2A'!M10</f>
        <v>June 03</v>
      </c>
      <c r="N12" s="68" t="str">
        <f>'Form 42 2A'!N10</f>
        <v>July 03</v>
      </c>
      <c r="O12" s="68" t="str">
        <f>'Form 42 2A'!O10</f>
        <v>August 03</v>
      </c>
      <c r="P12" s="68" t="str">
        <f>'Form 42 2A'!P10</f>
        <v>September 03</v>
      </c>
      <c r="Q12" s="68" t="str">
        <f>'Form 42 2A'!Q10</f>
        <v>October 03</v>
      </c>
      <c r="R12" s="68" t="str">
        <f>'Form 42 2A'!R10</f>
        <v>November 03</v>
      </c>
      <c r="S12" s="68" t="str">
        <f>'Form 42 2A'!S10</f>
        <v>December 03</v>
      </c>
      <c r="T12" s="19" t="s">
        <v>8</v>
      </c>
    </row>
    <row r="13" spans="1:4" ht="15">
      <c r="A13" s="1"/>
      <c r="B13" s="1"/>
      <c r="C13" s="1"/>
      <c r="D13" s="27"/>
    </row>
    <row r="14" spans="1:2" ht="15">
      <c r="A14" s="30" t="s">
        <v>35</v>
      </c>
      <c r="B14" t="s">
        <v>64</v>
      </c>
    </row>
    <row r="15" spans="1:20" ht="15">
      <c r="A15" s="1"/>
      <c r="B15" s="1" t="s">
        <v>65</v>
      </c>
      <c r="C15" s="1"/>
      <c r="D15" s="1"/>
      <c r="E15" s="1"/>
      <c r="F15" s="1"/>
      <c r="G15" s="1"/>
      <c r="H15" s="5">
        <v>0</v>
      </c>
      <c r="I15" s="5">
        <v>0</v>
      </c>
      <c r="J15" s="5">
        <v>0</v>
      </c>
      <c r="K15" s="5">
        <v>0</v>
      </c>
      <c r="L15" s="5">
        <v>0</v>
      </c>
      <c r="M15" s="5">
        <v>0</v>
      </c>
      <c r="N15" s="5">
        <v>0</v>
      </c>
      <c r="O15" s="5">
        <v>0</v>
      </c>
      <c r="P15" s="5">
        <v>0</v>
      </c>
      <c r="Q15" s="5">
        <v>0</v>
      </c>
      <c r="R15" s="5">
        <v>0</v>
      </c>
      <c r="S15" s="5">
        <v>0</v>
      </c>
      <c r="T15" s="5"/>
    </row>
    <row r="16" spans="2:19" ht="15">
      <c r="B16" t="s">
        <v>66</v>
      </c>
      <c r="H16">
        <v>0</v>
      </c>
      <c r="I16">
        <v>0</v>
      </c>
      <c r="J16">
        <v>0</v>
      </c>
      <c r="K16">
        <v>0</v>
      </c>
      <c r="L16">
        <v>0</v>
      </c>
      <c r="M16">
        <v>0</v>
      </c>
      <c r="N16">
        <v>0</v>
      </c>
      <c r="O16">
        <v>0</v>
      </c>
      <c r="P16">
        <v>0</v>
      </c>
      <c r="Q16">
        <v>0</v>
      </c>
      <c r="R16">
        <v>0</v>
      </c>
      <c r="S16">
        <v>0</v>
      </c>
    </row>
    <row r="17" spans="2:19" ht="15">
      <c r="B17" t="s">
        <v>67</v>
      </c>
      <c r="H17">
        <v>0</v>
      </c>
      <c r="I17">
        <v>0</v>
      </c>
      <c r="J17">
        <v>0</v>
      </c>
      <c r="K17">
        <v>0</v>
      </c>
      <c r="L17">
        <v>0</v>
      </c>
      <c r="M17">
        <v>0</v>
      </c>
      <c r="N17">
        <v>0</v>
      </c>
      <c r="O17">
        <v>0</v>
      </c>
      <c r="P17">
        <v>0</v>
      </c>
      <c r="Q17">
        <v>0</v>
      </c>
      <c r="R17">
        <v>0</v>
      </c>
      <c r="S17">
        <v>0</v>
      </c>
    </row>
    <row r="18" spans="2:19" ht="15">
      <c r="B18" t="s">
        <v>68</v>
      </c>
      <c r="H18">
        <v>0</v>
      </c>
      <c r="I18">
        <v>0</v>
      </c>
      <c r="J18">
        <v>0</v>
      </c>
      <c r="K18">
        <v>0</v>
      </c>
      <c r="L18">
        <v>0</v>
      </c>
      <c r="M18">
        <v>0</v>
      </c>
      <c r="N18">
        <v>0</v>
      </c>
      <c r="O18">
        <v>0</v>
      </c>
      <c r="P18">
        <v>0</v>
      </c>
      <c r="Q18">
        <v>0</v>
      </c>
      <c r="R18">
        <v>0</v>
      </c>
      <c r="S18">
        <v>0</v>
      </c>
    </row>
    <row r="20" spans="1:19" ht="15">
      <c r="A20" s="31" t="s">
        <v>36</v>
      </c>
      <c r="B20" s="1" t="s">
        <v>69</v>
      </c>
      <c r="C20" s="1"/>
      <c r="D20" s="1"/>
      <c r="E20" s="1"/>
      <c r="F20" s="1"/>
      <c r="G20" s="5">
        <v>0</v>
      </c>
      <c r="H20" s="5">
        <f>+H15+G20</f>
        <v>0</v>
      </c>
      <c r="I20" s="5">
        <f aca="true" t="shared" si="0" ref="I20:S20">+I15+H20</f>
        <v>0</v>
      </c>
      <c r="J20" s="5">
        <f t="shared" si="0"/>
        <v>0</v>
      </c>
      <c r="K20" s="5">
        <f t="shared" si="0"/>
        <v>0</v>
      </c>
      <c r="L20" s="5">
        <f t="shared" si="0"/>
        <v>0</v>
      </c>
      <c r="M20" s="5">
        <f t="shared" si="0"/>
        <v>0</v>
      </c>
      <c r="N20" s="5">
        <f t="shared" si="0"/>
        <v>0</v>
      </c>
      <c r="O20" s="5">
        <f t="shared" si="0"/>
        <v>0</v>
      </c>
      <c r="P20" s="5">
        <f t="shared" si="0"/>
        <v>0</v>
      </c>
      <c r="Q20" s="5">
        <f t="shared" si="0"/>
        <v>0</v>
      </c>
      <c r="R20" s="5">
        <f t="shared" si="0"/>
        <v>0</v>
      </c>
      <c r="S20" s="5">
        <f t="shared" si="0"/>
        <v>0</v>
      </c>
    </row>
    <row r="21" spans="1:19" ht="15">
      <c r="A21" s="30" t="s">
        <v>38</v>
      </c>
      <c r="B21" t="s">
        <v>70</v>
      </c>
      <c r="G21">
        <v>0</v>
      </c>
      <c r="H21">
        <f aca="true" t="shared" si="1" ref="H21:S21">G21-H32</f>
        <v>0</v>
      </c>
      <c r="I21">
        <f t="shared" si="1"/>
        <v>0</v>
      </c>
      <c r="J21">
        <f t="shared" si="1"/>
        <v>0</v>
      </c>
      <c r="K21">
        <f t="shared" si="1"/>
        <v>0</v>
      </c>
      <c r="L21">
        <f t="shared" si="1"/>
        <v>0</v>
      </c>
      <c r="M21">
        <f t="shared" si="1"/>
        <v>0</v>
      </c>
      <c r="N21">
        <f t="shared" si="1"/>
        <v>0</v>
      </c>
      <c r="O21">
        <f t="shared" si="1"/>
        <v>0</v>
      </c>
      <c r="P21">
        <f t="shared" si="1"/>
        <v>0</v>
      </c>
      <c r="Q21">
        <f t="shared" si="1"/>
        <v>0</v>
      </c>
      <c r="R21">
        <f t="shared" si="1"/>
        <v>0</v>
      </c>
      <c r="S21">
        <f t="shared" si="1"/>
        <v>0</v>
      </c>
    </row>
    <row r="22" spans="1:19" ht="15">
      <c r="A22" s="31" t="s">
        <v>39</v>
      </c>
      <c r="B22" s="1" t="s">
        <v>71</v>
      </c>
      <c r="C22" s="1"/>
      <c r="D22" s="1"/>
      <c r="E22" s="1"/>
      <c r="F22" s="1"/>
      <c r="G22" s="6">
        <v>0</v>
      </c>
      <c r="H22" s="6">
        <f>+G22+H15</f>
        <v>0</v>
      </c>
      <c r="I22" s="6">
        <f aca="true" t="shared" si="2" ref="I22:S22">+H22+I15</f>
        <v>0</v>
      </c>
      <c r="J22" s="6">
        <f t="shared" si="2"/>
        <v>0</v>
      </c>
      <c r="K22" s="6">
        <f t="shared" si="2"/>
        <v>0</v>
      </c>
      <c r="L22" s="6">
        <f t="shared" si="2"/>
        <v>0</v>
      </c>
      <c r="M22" s="6">
        <f t="shared" si="2"/>
        <v>0</v>
      </c>
      <c r="N22" s="6">
        <f t="shared" si="2"/>
        <v>0</v>
      </c>
      <c r="O22" s="6">
        <f t="shared" si="2"/>
        <v>0</v>
      </c>
      <c r="P22" s="6">
        <f t="shared" si="2"/>
        <v>0</v>
      </c>
      <c r="Q22" s="6">
        <f t="shared" si="2"/>
        <v>0</v>
      </c>
      <c r="R22" s="6">
        <f t="shared" si="2"/>
        <v>0</v>
      </c>
      <c r="S22" s="6">
        <f t="shared" si="2"/>
        <v>0</v>
      </c>
    </row>
    <row r="23" spans="1:20" ht="15">
      <c r="A23" s="31" t="s">
        <v>40</v>
      </c>
      <c r="B23" s="1" t="s">
        <v>72</v>
      </c>
      <c r="C23" s="1"/>
      <c r="D23" s="1"/>
      <c r="E23" s="1"/>
      <c r="F23" s="1"/>
      <c r="G23" s="26">
        <f aca="true" t="shared" si="3" ref="G23:S23">G20+G21+G22</f>
        <v>0</v>
      </c>
      <c r="H23" s="17">
        <f t="shared" si="3"/>
        <v>0</v>
      </c>
      <c r="I23" s="17">
        <f t="shared" si="3"/>
        <v>0</v>
      </c>
      <c r="J23" s="17">
        <f t="shared" si="3"/>
        <v>0</v>
      </c>
      <c r="K23" s="17">
        <f t="shared" si="3"/>
        <v>0</v>
      </c>
      <c r="L23" s="17">
        <f t="shared" si="3"/>
        <v>0</v>
      </c>
      <c r="M23" s="17">
        <f t="shared" si="3"/>
        <v>0</v>
      </c>
      <c r="N23" s="17">
        <f t="shared" si="3"/>
        <v>0</v>
      </c>
      <c r="O23" s="17">
        <f t="shared" si="3"/>
        <v>0</v>
      </c>
      <c r="P23" s="17">
        <f t="shared" si="3"/>
        <v>0</v>
      </c>
      <c r="Q23" s="17">
        <f t="shared" si="3"/>
        <v>0</v>
      </c>
      <c r="R23" s="17">
        <f t="shared" si="3"/>
        <v>0</v>
      </c>
      <c r="S23" s="17">
        <f t="shared" si="3"/>
        <v>0</v>
      </c>
      <c r="T23" s="16"/>
    </row>
    <row r="25" spans="1:19" ht="15">
      <c r="A25" s="30" t="s">
        <v>42</v>
      </c>
      <c r="B25" t="s">
        <v>73</v>
      </c>
      <c r="H25">
        <f aca="true" t="shared" si="4" ref="H25:S25">ROUND((+G23+H23)/2,0)</f>
        <v>0</v>
      </c>
      <c r="I25">
        <f t="shared" si="4"/>
        <v>0</v>
      </c>
      <c r="J25">
        <f t="shared" si="4"/>
        <v>0</v>
      </c>
      <c r="K25">
        <f t="shared" si="4"/>
        <v>0</v>
      </c>
      <c r="L25">
        <f t="shared" si="4"/>
        <v>0</v>
      </c>
      <c r="M25">
        <f t="shared" si="4"/>
        <v>0</v>
      </c>
      <c r="N25">
        <f t="shared" si="4"/>
        <v>0</v>
      </c>
      <c r="O25">
        <f t="shared" si="4"/>
        <v>0</v>
      </c>
      <c r="P25">
        <f t="shared" si="4"/>
        <v>0</v>
      </c>
      <c r="Q25">
        <f t="shared" si="4"/>
        <v>0</v>
      </c>
      <c r="R25">
        <f t="shared" si="4"/>
        <v>0</v>
      </c>
      <c r="S25">
        <f t="shared" si="4"/>
        <v>0</v>
      </c>
    </row>
    <row r="27" spans="1:2" ht="15">
      <c r="A27" s="30" t="s">
        <v>43</v>
      </c>
      <c r="B27" t="s">
        <v>74</v>
      </c>
    </row>
    <row r="28" spans="1:20" ht="15">
      <c r="A28" s="1"/>
      <c r="B28" s="1" t="s">
        <v>75</v>
      </c>
      <c r="C28" s="1"/>
      <c r="D28" s="1"/>
      <c r="E28" s="1"/>
      <c r="F28" s="1"/>
      <c r="G28" s="1"/>
      <c r="H28" s="1">
        <f aca="true" t="shared" si="5" ref="H28:S28">ROUND(+H25*(0.088238)/12,0)</f>
        <v>0</v>
      </c>
      <c r="I28" s="1">
        <f t="shared" si="5"/>
        <v>0</v>
      </c>
      <c r="J28" s="1">
        <f t="shared" si="5"/>
        <v>0</v>
      </c>
      <c r="K28" s="1">
        <f t="shared" si="5"/>
        <v>0</v>
      </c>
      <c r="L28" s="1">
        <f t="shared" si="5"/>
        <v>0</v>
      </c>
      <c r="M28" s="1">
        <f t="shared" si="5"/>
        <v>0</v>
      </c>
      <c r="N28" s="1">
        <f t="shared" si="5"/>
        <v>0</v>
      </c>
      <c r="O28" s="1">
        <f t="shared" si="5"/>
        <v>0</v>
      </c>
      <c r="P28" s="1">
        <f t="shared" si="5"/>
        <v>0</v>
      </c>
      <c r="Q28" s="1">
        <f t="shared" si="5"/>
        <v>0</v>
      </c>
      <c r="R28" s="1">
        <f t="shared" si="5"/>
        <v>0</v>
      </c>
      <c r="S28" s="1">
        <f t="shared" si="5"/>
        <v>0</v>
      </c>
      <c r="T28" s="5">
        <f>SUM(H28:S28)</f>
        <v>0</v>
      </c>
    </row>
    <row r="29" spans="2:20" ht="15">
      <c r="B29" t="s">
        <v>76</v>
      </c>
      <c r="H29">
        <f aca="true" t="shared" si="6" ref="H29:S29">ROUND(+H25*(0.0282)/12,0)</f>
        <v>0</v>
      </c>
      <c r="I29">
        <f t="shared" si="6"/>
        <v>0</v>
      </c>
      <c r="J29">
        <f t="shared" si="6"/>
        <v>0</v>
      </c>
      <c r="K29">
        <f t="shared" si="6"/>
        <v>0</v>
      </c>
      <c r="L29">
        <f t="shared" si="6"/>
        <v>0</v>
      </c>
      <c r="M29">
        <f t="shared" si="6"/>
        <v>0</v>
      </c>
      <c r="N29">
        <f t="shared" si="6"/>
        <v>0</v>
      </c>
      <c r="O29">
        <f t="shared" si="6"/>
        <v>0</v>
      </c>
      <c r="P29">
        <f t="shared" si="6"/>
        <v>0</v>
      </c>
      <c r="Q29">
        <f t="shared" si="6"/>
        <v>0</v>
      </c>
      <c r="R29">
        <f t="shared" si="6"/>
        <v>0</v>
      </c>
      <c r="S29">
        <f t="shared" si="6"/>
        <v>0</v>
      </c>
      <c r="T29">
        <f>SUM(H29:S29)</f>
        <v>0</v>
      </c>
    </row>
    <row r="31" spans="1:2" ht="15">
      <c r="A31" s="30" t="s">
        <v>44</v>
      </c>
      <c r="B31" t="s">
        <v>77</v>
      </c>
    </row>
    <row r="32" spans="2:20" ht="15">
      <c r="B32" t="s">
        <v>78</v>
      </c>
      <c r="H32">
        <v>0</v>
      </c>
      <c r="I32">
        <v>0</v>
      </c>
      <c r="J32">
        <v>0</v>
      </c>
      <c r="K32">
        <v>0</v>
      </c>
      <c r="L32">
        <v>0</v>
      </c>
      <c r="M32">
        <v>0</v>
      </c>
      <c r="N32">
        <v>0</v>
      </c>
      <c r="O32">
        <v>0</v>
      </c>
      <c r="P32">
        <v>0</v>
      </c>
      <c r="Q32">
        <v>0</v>
      </c>
      <c r="R32">
        <v>0</v>
      </c>
      <c r="S32">
        <v>0</v>
      </c>
      <c r="T32">
        <f>SUM(H32:S32)</f>
        <v>0</v>
      </c>
    </row>
    <row r="33" spans="2:20" ht="15">
      <c r="B33" t="s">
        <v>79</v>
      </c>
      <c r="H33">
        <v>0</v>
      </c>
      <c r="I33">
        <v>0</v>
      </c>
      <c r="J33">
        <v>0</v>
      </c>
      <c r="K33">
        <v>0</v>
      </c>
      <c r="L33">
        <v>0</v>
      </c>
      <c r="M33">
        <v>0</v>
      </c>
      <c r="N33">
        <v>0</v>
      </c>
      <c r="O33">
        <v>0</v>
      </c>
      <c r="P33">
        <v>0</v>
      </c>
      <c r="Q33">
        <v>0</v>
      </c>
      <c r="R33">
        <v>0</v>
      </c>
      <c r="S33">
        <v>0</v>
      </c>
      <c r="T33">
        <f>SUM(H33:S33)</f>
        <v>0</v>
      </c>
    </row>
    <row r="34" spans="2:20" ht="15">
      <c r="B34" t="s">
        <v>80</v>
      </c>
      <c r="H34">
        <v>0</v>
      </c>
      <c r="I34">
        <v>0</v>
      </c>
      <c r="J34">
        <v>0</v>
      </c>
      <c r="K34">
        <v>0</v>
      </c>
      <c r="L34">
        <v>0</v>
      </c>
      <c r="M34">
        <v>0</v>
      </c>
      <c r="N34">
        <v>0</v>
      </c>
      <c r="O34">
        <v>0</v>
      </c>
      <c r="P34">
        <v>0</v>
      </c>
      <c r="Q34">
        <v>0</v>
      </c>
      <c r="R34">
        <v>0</v>
      </c>
      <c r="S34">
        <v>0</v>
      </c>
      <c r="T34">
        <f>SUM(H34:S34)</f>
        <v>0</v>
      </c>
    </row>
    <row r="35" spans="2:20" ht="15">
      <c r="B35" t="s">
        <v>81</v>
      </c>
      <c r="H35">
        <v>0</v>
      </c>
      <c r="I35">
        <v>0</v>
      </c>
      <c r="J35">
        <v>0</v>
      </c>
      <c r="K35">
        <v>0</v>
      </c>
      <c r="L35">
        <v>0</v>
      </c>
      <c r="M35">
        <v>0</v>
      </c>
      <c r="N35">
        <v>0</v>
      </c>
      <c r="O35">
        <v>0</v>
      </c>
      <c r="P35">
        <v>0</v>
      </c>
      <c r="Q35">
        <v>0</v>
      </c>
      <c r="R35">
        <v>0</v>
      </c>
      <c r="S35">
        <v>0</v>
      </c>
      <c r="T35">
        <f>SUM(H35:S35)</f>
        <v>0</v>
      </c>
    </row>
    <row r="36" spans="1:20" ht="15">
      <c r="A36" s="1"/>
      <c r="B36" s="1" t="s">
        <v>82</v>
      </c>
      <c r="C36" s="1"/>
      <c r="D36" s="1"/>
      <c r="E36" s="1"/>
      <c r="F36" s="1"/>
      <c r="G36" s="1"/>
      <c r="H36" s="6">
        <v>0</v>
      </c>
      <c r="I36" s="6">
        <v>0</v>
      </c>
      <c r="J36" s="6">
        <v>0</v>
      </c>
      <c r="K36" s="6">
        <v>0</v>
      </c>
      <c r="L36" s="6">
        <v>0</v>
      </c>
      <c r="M36" s="6">
        <v>0</v>
      </c>
      <c r="N36" s="6">
        <v>0</v>
      </c>
      <c r="O36" s="6">
        <v>0</v>
      </c>
      <c r="P36" s="6">
        <v>0</v>
      </c>
      <c r="Q36" s="6">
        <v>0</v>
      </c>
      <c r="R36" s="6">
        <v>0</v>
      </c>
      <c r="S36" s="6">
        <v>0</v>
      </c>
      <c r="T36" s="6">
        <f>SUM(H36:S36)</f>
        <v>0</v>
      </c>
    </row>
    <row r="38" spans="1:20" ht="15">
      <c r="A38" s="30" t="s">
        <v>45</v>
      </c>
      <c r="B38" t="s">
        <v>83</v>
      </c>
      <c r="H38">
        <f aca="true" t="shared" si="7" ref="H38:S38">ROUND(+H28+H29+H32+H33+H34+H35+H36,0)</f>
        <v>0</v>
      </c>
      <c r="I38">
        <f t="shared" si="7"/>
        <v>0</v>
      </c>
      <c r="J38">
        <f t="shared" si="7"/>
        <v>0</v>
      </c>
      <c r="K38">
        <f t="shared" si="7"/>
        <v>0</v>
      </c>
      <c r="L38">
        <f t="shared" si="7"/>
        <v>0</v>
      </c>
      <c r="M38">
        <f t="shared" si="7"/>
        <v>0</v>
      </c>
      <c r="N38">
        <f t="shared" si="7"/>
        <v>0</v>
      </c>
      <c r="O38">
        <f t="shared" si="7"/>
        <v>0</v>
      </c>
      <c r="P38">
        <f t="shared" si="7"/>
        <v>0</v>
      </c>
      <c r="Q38">
        <f t="shared" si="7"/>
        <v>0</v>
      </c>
      <c r="R38">
        <f t="shared" si="7"/>
        <v>0</v>
      </c>
      <c r="S38">
        <f t="shared" si="7"/>
        <v>0</v>
      </c>
      <c r="T38">
        <f>SUM(H38:S38)</f>
        <v>0</v>
      </c>
    </row>
    <row r="39" spans="2:20" ht="15">
      <c r="B39" t="s">
        <v>84</v>
      </c>
      <c r="H39">
        <f aca="true" t="shared" si="8" ref="H39:S39">ROUND(+H38*1,0)</f>
        <v>0</v>
      </c>
      <c r="I39">
        <f t="shared" si="8"/>
        <v>0</v>
      </c>
      <c r="J39">
        <f t="shared" si="8"/>
        <v>0</v>
      </c>
      <c r="K39">
        <f t="shared" si="8"/>
        <v>0</v>
      </c>
      <c r="L39">
        <f t="shared" si="8"/>
        <v>0</v>
      </c>
      <c r="M39">
        <f t="shared" si="8"/>
        <v>0</v>
      </c>
      <c r="N39">
        <f t="shared" si="8"/>
        <v>0</v>
      </c>
      <c r="O39">
        <f t="shared" si="8"/>
        <v>0</v>
      </c>
      <c r="P39">
        <f t="shared" si="8"/>
        <v>0</v>
      </c>
      <c r="Q39">
        <f t="shared" si="8"/>
        <v>0</v>
      </c>
      <c r="R39">
        <f t="shared" si="8"/>
        <v>0</v>
      </c>
      <c r="S39">
        <f t="shared" si="8"/>
        <v>0</v>
      </c>
      <c r="T39">
        <f>SUM(H39:S39)</f>
        <v>0</v>
      </c>
    </row>
    <row r="40" spans="2:20" ht="15">
      <c r="B40" t="s">
        <v>85</v>
      </c>
      <c r="H40">
        <f aca="true" t="shared" si="9" ref="H40:S40">ROUND(+H38*0,0)</f>
        <v>0</v>
      </c>
      <c r="I40">
        <f t="shared" si="9"/>
        <v>0</v>
      </c>
      <c r="J40">
        <f t="shared" si="9"/>
        <v>0</v>
      </c>
      <c r="K40">
        <f t="shared" si="9"/>
        <v>0</v>
      </c>
      <c r="L40">
        <f t="shared" si="9"/>
        <v>0</v>
      </c>
      <c r="M40">
        <f t="shared" si="9"/>
        <v>0</v>
      </c>
      <c r="N40">
        <f t="shared" si="9"/>
        <v>0</v>
      </c>
      <c r="O40">
        <f t="shared" si="9"/>
        <v>0</v>
      </c>
      <c r="P40">
        <f t="shared" si="9"/>
        <v>0</v>
      </c>
      <c r="Q40">
        <f t="shared" si="9"/>
        <v>0</v>
      </c>
      <c r="R40">
        <f t="shared" si="9"/>
        <v>0</v>
      </c>
      <c r="S40">
        <f t="shared" si="9"/>
        <v>0</v>
      </c>
      <c r="T40">
        <f>SUM(H40:S40)</f>
        <v>0</v>
      </c>
    </row>
    <row r="42" spans="1:20" ht="15">
      <c r="A42" s="31" t="s">
        <v>86</v>
      </c>
      <c r="B42" s="1" t="s">
        <v>87</v>
      </c>
      <c r="C42" s="1"/>
      <c r="D42" s="1"/>
      <c r="E42" s="1"/>
      <c r="F42" s="1"/>
      <c r="G42" s="24"/>
      <c r="H42" s="24">
        <f>'Form 42 5A'!H53</f>
        <v>0</v>
      </c>
      <c r="I42" s="24">
        <f>'Form 42 5A'!I53</f>
        <v>0</v>
      </c>
      <c r="J42" s="24">
        <f>'Form 42 5A'!J53</f>
        <v>0</v>
      </c>
      <c r="K42" s="24">
        <f>'Form 42 5A'!K53</f>
        <v>0</v>
      </c>
      <c r="L42" s="24">
        <f>'Form 42 5A'!L53</f>
        <v>0</v>
      </c>
      <c r="M42" s="24">
        <f>'Form 42 5A'!M53</f>
        <v>0</v>
      </c>
      <c r="N42" s="24">
        <f>'Form 42 5A'!N53</f>
        <v>0</v>
      </c>
      <c r="O42" s="24">
        <f>'Form 42 5A'!O53</f>
        <v>0</v>
      </c>
      <c r="P42" s="24">
        <f>'Form 42 5A'!P53</f>
        <v>0</v>
      </c>
      <c r="Q42" s="24">
        <f>'Form 42 5A'!Q53</f>
        <v>0</v>
      </c>
      <c r="R42" s="24">
        <f>'Form 42 5A'!R53</f>
        <v>0</v>
      </c>
      <c r="S42" s="24">
        <f>'Form 42 5A'!S53</f>
        <v>0</v>
      </c>
      <c r="T42" s="24"/>
    </row>
    <row r="43" spans="1:20" ht="15">
      <c r="A43" s="31" t="s">
        <v>88</v>
      </c>
      <c r="B43" s="1" t="s">
        <v>89</v>
      </c>
      <c r="C43" s="1"/>
      <c r="D43" s="1"/>
      <c r="E43" s="1"/>
      <c r="F43" s="1"/>
      <c r="G43" s="24"/>
      <c r="H43" s="24">
        <f>+'Form 42 5A'!H54</f>
        <v>0</v>
      </c>
      <c r="I43" s="24">
        <f>+'Form 42 5A'!I54</f>
        <v>0</v>
      </c>
      <c r="J43" s="24">
        <f>+'Form 42 5A'!J54</f>
        <v>0</v>
      </c>
      <c r="K43" s="24">
        <f>+'Form 42 5A'!K54</f>
        <v>0</v>
      </c>
      <c r="L43" s="24">
        <f>+'Form 42 5A'!L54</f>
        <v>0</v>
      </c>
      <c r="M43" s="24">
        <f>+'Form 42 5A'!M54</f>
        <v>0</v>
      </c>
      <c r="N43" s="24">
        <f>+'Form 42 5A'!N54</f>
        <v>0</v>
      </c>
      <c r="O43" s="24">
        <f>+'Form 42 5A'!O54</f>
        <v>0</v>
      </c>
      <c r="P43" s="24">
        <f>+'Form 42 5A'!P54</f>
        <v>0</v>
      </c>
      <c r="Q43" s="24">
        <f>+'Form 42 5A'!Q54</f>
        <v>0</v>
      </c>
      <c r="R43" s="24">
        <f>+'Form 42 5A'!R54</f>
        <v>0</v>
      </c>
      <c r="S43" s="24">
        <f>+'Form 42 5A'!S54</f>
        <v>0</v>
      </c>
      <c r="T43" s="24"/>
    </row>
    <row r="45" spans="1:20" ht="15">
      <c r="A45" s="30" t="s">
        <v>90</v>
      </c>
      <c r="B45" t="s">
        <v>91</v>
      </c>
      <c r="H45">
        <f aca="true" t="shared" si="10" ref="H45:S45">ROUND((+H39*H42),0)</f>
        <v>0</v>
      </c>
      <c r="I45">
        <f t="shared" si="10"/>
        <v>0</v>
      </c>
      <c r="J45">
        <f t="shared" si="10"/>
        <v>0</v>
      </c>
      <c r="K45">
        <f t="shared" si="10"/>
        <v>0</v>
      </c>
      <c r="L45">
        <f t="shared" si="10"/>
        <v>0</v>
      </c>
      <c r="M45">
        <f t="shared" si="10"/>
        <v>0</v>
      </c>
      <c r="N45">
        <f t="shared" si="10"/>
        <v>0</v>
      </c>
      <c r="O45">
        <f t="shared" si="10"/>
        <v>0</v>
      </c>
      <c r="P45">
        <f t="shared" si="10"/>
        <v>0</v>
      </c>
      <c r="Q45">
        <f t="shared" si="10"/>
        <v>0</v>
      </c>
      <c r="R45">
        <f t="shared" si="10"/>
        <v>0</v>
      </c>
      <c r="S45">
        <f t="shared" si="10"/>
        <v>0</v>
      </c>
      <c r="T45">
        <f>SUM(H45:S45)</f>
        <v>0</v>
      </c>
    </row>
    <row r="46" spans="1:20" ht="15">
      <c r="A46" s="31" t="s">
        <v>92</v>
      </c>
      <c r="B46" s="1" t="s">
        <v>93</v>
      </c>
      <c r="C46" s="1"/>
      <c r="D46" s="1"/>
      <c r="E46" s="1"/>
      <c r="F46" s="1"/>
      <c r="G46" s="1"/>
      <c r="H46" s="6">
        <f aca="true" t="shared" si="11" ref="H46:S46">(+H40*H43)</f>
        <v>0</v>
      </c>
      <c r="I46" s="6">
        <f t="shared" si="11"/>
        <v>0</v>
      </c>
      <c r="J46" s="6">
        <f t="shared" si="11"/>
        <v>0</v>
      </c>
      <c r="K46" s="6">
        <f t="shared" si="11"/>
        <v>0</v>
      </c>
      <c r="L46" s="6">
        <f t="shared" si="11"/>
        <v>0</v>
      </c>
      <c r="M46" s="6">
        <f t="shared" si="11"/>
        <v>0</v>
      </c>
      <c r="N46" s="6">
        <f t="shared" si="11"/>
        <v>0</v>
      </c>
      <c r="O46" s="6">
        <f t="shared" si="11"/>
        <v>0</v>
      </c>
      <c r="P46" s="6">
        <f t="shared" si="11"/>
        <v>0</v>
      </c>
      <c r="Q46" s="6">
        <f t="shared" si="11"/>
        <v>0</v>
      </c>
      <c r="R46" s="6">
        <f t="shared" si="11"/>
        <v>0</v>
      </c>
      <c r="S46" s="6">
        <f t="shared" si="11"/>
        <v>0</v>
      </c>
      <c r="T46" s="6">
        <f>SUM(H46:S46)</f>
        <v>0</v>
      </c>
    </row>
    <row r="47" spans="1:20" ht="15.75" thickBot="1">
      <c r="A47" s="31" t="s">
        <v>94</v>
      </c>
      <c r="B47" s="1" t="s">
        <v>95</v>
      </c>
      <c r="C47" s="1"/>
      <c r="D47" s="1"/>
      <c r="E47" s="1"/>
      <c r="F47" s="1"/>
      <c r="G47" s="1"/>
      <c r="H47" s="7">
        <f aca="true" t="shared" si="12" ref="H47:S47">H45+H46</f>
        <v>0</v>
      </c>
      <c r="I47" s="7">
        <f t="shared" si="12"/>
        <v>0</v>
      </c>
      <c r="J47" s="7">
        <f t="shared" si="12"/>
        <v>0</v>
      </c>
      <c r="K47" s="7">
        <f t="shared" si="12"/>
        <v>0</v>
      </c>
      <c r="L47" s="7">
        <f t="shared" si="12"/>
        <v>0</v>
      </c>
      <c r="M47" s="7">
        <f t="shared" si="12"/>
        <v>0</v>
      </c>
      <c r="N47" s="7">
        <f t="shared" si="12"/>
        <v>0</v>
      </c>
      <c r="O47" s="7">
        <f t="shared" si="12"/>
        <v>0</v>
      </c>
      <c r="P47" s="7">
        <f t="shared" si="12"/>
        <v>0</v>
      </c>
      <c r="Q47" s="7">
        <f t="shared" si="12"/>
        <v>0</v>
      </c>
      <c r="R47" s="7">
        <f t="shared" si="12"/>
        <v>0</v>
      </c>
      <c r="S47" s="7">
        <f t="shared" si="12"/>
        <v>0</v>
      </c>
      <c r="T47" s="7">
        <f>SUM(T45:T46)</f>
        <v>0</v>
      </c>
    </row>
    <row r="49" ht="15">
      <c r="A49" s="30" t="s">
        <v>31</v>
      </c>
    </row>
    <row r="50" spans="1:2" ht="15">
      <c r="A50" s="30" t="s">
        <v>96</v>
      </c>
      <c r="B50" t="s">
        <v>97</v>
      </c>
    </row>
    <row r="51" spans="1:2" ht="15">
      <c r="A51" s="30" t="s">
        <v>98</v>
      </c>
      <c r="B51" t="s">
        <v>99</v>
      </c>
    </row>
    <row r="52" spans="1:2" ht="15">
      <c r="A52" s="30" t="s">
        <v>100</v>
      </c>
      <c r="B52" t="s">
        <v>101</v>
      </c>
    </row>
  </sheetData>
  <printOptions/>
  <pageMargins left="0" right="0" top="1" bottom="1" header="0.5" footer="0.5"/>
  <pageSetup horizontalDpi="300" verticalDpi="300" orientation="landscape" scale="43" r:id="rId1"/>
</worksheet>
</file>

<file path=xl/worksheets/sheet18.xml><?xml version="1.0" encoding="utf-8"?>
<worksheet xmlns="http://schemas.openxmlformats.org/spreadsheetml/2006/main" xmlns:r="http://schemas.openxmlformats.org/officeDocument/2006/relationships">
  <sheetPr codeName="Sheet17"/>
  <dimension ref="A1:T52"/>
  <sheetViews>
    <sheetView zoomScale="75" zoomScaleNormal="75" workbookViewId="0" topLeftCell="A1">
      <selection activeCell="A7" sqref="A7"/>
    </sheetView>
  </sheetViews>
  <sheetFormatPr defaultColWidth="9.77734375" defaultRowHeight="15"/>
  <cols>
    <col min="7" max="12" width="12.77734375" style="0" customWidth="1"/>
    <col min="13" max="16" width="14.3359375" style="0" customWidth="1"/>
    <col min="17" max="21" width="12.77734375" style="0" customWidth="1"/>
  </cols>
  <sheetData>
    <row r="1" spans="1:20" ht="15.75">
      <c r="A1" s="8" t="s">
        <v>438</v>
      </c>
      <c r="B1" s="2"/>
      <c r="C1" s="2"/>
      <c r="D1" s="2"/>
      <c r="E1" s="2"/>
      <c r="F1" s="2"/>
      <c r="G1" s="2"/>
      <c r="H1" s="2"/>
      <c r="I1" s="2"/>
      <c r="J1" s="2"/>
      <c r="K1" s="2"/>
      <c r="L1" s="2"/>
      <c r="T1" s="30" t="s">
        <v>442</v>
      </c>
    </row>
    <row r="2" spans="1:20" ht="15">
      <c r="A2" s="2" t="s">
        <v>0</v>
      </c>
      <c r="B2" s="2"/>
      <c r="C2" s="2"/>
      <c r="D2" s="2"/>
      <c r="E2" s="2"/>
      <c r="F2" s="2"/>
      <c r="G2" s="2"/>
      <c r="H2" s="2"/>
      <c r="I2" s="2"/>
      <c r="J2" s="2"/>
      <c r="K2" s="2"/>
      <c r="L2" s="2"/>
      <c r="T2" s="30" t="s">
        <v>400</v>
      </c>
    </row>
    <row r="3" spans="1:12" ht="15">
      <c r="A3" s="2" t="s">
        <v>494</v>
      </c>
      <c r="B3" s="9"/>
      <c r="C3" s="9"/>
      <c r="D3" s="9"/>
      <c r="E3" s="9"/>
      <c r="F3" s="9"/>
      <c r="G3" s="9"/>
      <c r="H3" s="9"/>
      <c r="I3" s="2"/>
      <c r="J3" s="2"/>
      <c r="K3" s="2"/>
      <c r="L3" s="2"/>
    </row>
    <row r="4" spans="1:12" ht="15.75">
      <c r="A4" s="11" t="str">
        <f>'Form 42 2A'!A4</f>
        <v>January 2003 through December 2003</v>
      </c>
      <c r="B4" s="2"/>
      <c r="C4" s="2"/>
      <c r="D4" s="2"/>
      <c r="E4" s="2"/>
      <c r="F4" s="2"/>
      <c r="G4" s="2"/>
      <c r="H4" s="2"/>
      <c r="I4" s="2"/>
      <c r="J4" s="2"/>
      <c r="K4" s="2"/>
      <c r="L4" s="2"/>
    </row>
    <row r="5" spans="1:12" ht="15.75">
      <c r="A5" s="3" t="s">
        <v>1</v>
      </c>
      <c r="B5" s="2"/>
      <c r="C5" s="2"/>
      <c r="D5" s="2"/>
      <c r="E5" s="2"/>
      <c r="F5" s="2"/>
      <c r="G5" s="2"/>
      <c r="H5" s="2"/>
      <c r="I5" s="2"/>
      <c r="J5" s="2"/>
      <c r="K5" s="2"/>
      <c r="L5" s="2"/>
    </row>
    <row r="6" spans="1:12" ht="15">
      <c r="A6" s="2" t="s">
        <v>59</v>
      </c>
      <c r="B6" s="2"/>
      <c r="C6" s="2"/>
      <c r="D6" s="2"/>
      <c r="E6" s="2"/>
      <c r="F6" s="2"/>
      <c r="G6" s="2"/>
      <c r="H6" s="2"/>
      <c r="I6" s="2"/>
      <c r="J6" s="2"/>
      <c r="K6" s="2"/>
      <c r="L6" s="2"/>
    </row>
    <row r="7" spans="1:12" ht="15">
      <c r="A7" s="57" t="s">
        <v>489</v>
      </c>
      <c r="B7" s="2"/>
      <c r="C7" s="2"/>
      <c r="D7" s="2"/>
      <c r="E7" s="2"/>
      <c r="F7" s="2"/>
      <c r="G7" s="2"/>
      <c r="H7" s="2"/>
      <c r="I7" s="2"/>
      <c r="J7" s="2"/>
      <c r="K7" s="2"/>
      <c r="L7" s="2"/>
    </row>
    <row r="8" spans="1:12" ht="15">
      <c r="A8" s="2" t="s">
        <v>5</v>
      </c>
      <c r="B8" s="2"/>
      <c r="C8" s="2"/>
      <c r="D8" s="2"/>
      <c r="E8" s="2"/>
      <c r="F8" s="2"/>
      <c r="G8" s="2"/>
      <c r="H8" s="2"/>
      <c r="I8" s="2"/>
      <c r="J8" s="2"/>
      <c r="K8" s="2"/>
      <c r="L8" s="2"/>
    </row>
    <row r="9" ht="15">
      <c r="A9" s="47" t="s">
        <v>275</v>
      </c>
    </row>
    <row r="10" spans="1:20" ht="15">
      <c r="A10" s="2"/>
      <c r="T10" s="29" t="s">
        <v>60</v>
      </c>
    </row>
    <row r="11" spans="7:20" ht="15">
      <c r="G11" s="29" t="s">
        <v>61</v>
      </c>
      <c r="T11" s="29" t="s">
        <v>2</v>
      </c>
    </row>
    <row r="12" spans="1:20" ht="15.75" thickBot="1">
      <c r="A12" s="25" t="s">
        <v>3</v>
      </c>
      <c r="B12" s="2"/>
      <c r="C12" s="25" t="s">
        <v>62</v>
      </c>
      <c r="E12" s="2"/>
      <c r="F12" s="2"/>
      <c r="G12" s="19" t="s">
        <v>63</v>
      </c>
      <c r="H12" s="68" t="str">
        <f>'Form 42 2A'!H10</f>
        <v>January 03</v>
      </c>
      <c r="I12" s="68" t="str">
        <f>'Form 42 2A'!I10</f>
        <v>February 03</v>
      </c>
      <c r="J12" s="68" t="str">
        <f>'Form 42 2A'!J10</f>
        <v>March 03</v>
      </c>
      <c r="K12" s="68" t="str">
        <f>'Form 42 2A'!K10</f>
        <v>April 03</v>
      </c>
      <c r="L12" s="68" t="str">
        <f>'Form 42 2A'!L10</f>
        <v>May 03</v>
      </c>
      <c r="M12" s="68" t="str">
        <f>'Form 42 2A'!M10</f>
        <v>June 03</v>
      </c>
      <c r="N12" s="68" t="str">
        <f>'Form 42 2A'!N10</f>
        <v>July 03</v>
      </c>
      <c r="O12" s="68" t="str">
        <f>'Form 42 2A'!O10</f>
        <v>August 03</v>
      </c>
      <c r="P12" s="68" t="str">
        <f>'Form 42 2A'!P10</f>
        <v>September 03</v>
      </c>
      <c r="Q12" s="68" t="str">
        <f>'Form 42 2A'!Q10</f>
        <v>October 03</v>
      </c>
      <c r="R12" s="68" t="str">
        <f>'Form 42 2A'!R10</f>
        <v>November 03</v>
      </c>
      <c r="S12" s="68" t="str">
        <f>'Form 42 2A'!S10</f>
        <v>December 03</v>
      </c>
      <c r="T12" s="19" t="s">
        <v>8</v>
      </c>
    </row>
    <row r="13" spans="1:4" ht="15">
      <c r="A13" s="1"/>
      <c r="B13" s="1"/>
      <c r="C13" s="1"/>
      <c r="D13" s="27"/>
    </row>
    <row r="14" spans="1:2" ht="15">
      <c r="A14" s="30" t="s">
        <v>35</v>
      </c>
      <c r="B14" t="s">
        <v>64</v>
      </c>
    </row>
    <row r="15" spans="1:20" ht="15">
      <c r="A15" s="1"/>
      <c r="B15" s="1" t="s">
        <v>65</v>
      </c>
      <c r="C15" s="1"/>
      <c r="D15" s="1"/>
      <c r="E15" s="1"/>
      <c r="F15" s="1"/>
      <c r="G15" s="1"/>
      <c r="H15" s="49">
        <v>0</v>
      </c>
      <c r="I15" s="49">
        <v>0</v>
      </c>
      <c r="J15" s="49">
        <v>0</v>
      </c>
      <c r="K15" s="49">
        <v>0</v>
      </c>
      <c r="L15" s="49">
        <v>0</v>
      </c>
      <c r="M15" s="49">
        <v>0</v>
      </c>
      <c r="N15" s="49">
        <v>0</v>
      </c>
      <c r="O15" s="49">
        <v>0</v>
      </c>
      <c r="P15" s="49">
        <v>0</v>
      </c>
      <c r="Q15" s="49">
        <v>0</v>
      </c>
      <c r="R15" s="49">
        <v>0</v>
      </c>
      <c r="S15" s="49">
        <v>0</v>
      </c>
      <c r="T15" s="5"/>
    </row>
    <row r="16" spans="2:19" ht="15">
      <c r="B16" t="s">
        <v>66</v>
      </c>
      <c r="H16">
        <v>0</v>
      </c>
      <c r="I16">
        <v>0</v>
      </c>
      <c r="J16">
        <v>0</v>
      </c>
      <c r="K16">
        <v>0</v>
      </c>
      <c r="L16">
        <v>0</v>
      </c>
      <c r="M16">
        <v>0</v>
      </c>
      <c r="N16">
        <v>0</v>
      </c>
      <c r="O16">
        <v>0</v>
      </c>
      <c r="P16">
        <v>0</v>
      </c>
      <c r="Q16">
        <v>0</v>
      </c>
      <c r="R16">
        <v>0</v>
      </c>
      <c r="S16">
        <v>0</v>
      </c>
    </row>
    <row r="17" spans="2:19" ht="15">
      <c r="B17" t="s">
        <v>67</v>
      </c>
      <c r="H17">
        <v>0</v>
      </c>
      <c r="I17">
        <v>0</v>
      </c>
      <c r="J17">
        <v>0</v>
      </c>
      <c r="K17">
        <v>0</v>
      </c>
      <c r="L17">
        <v>0</v>
      </c>
      <c r="M17">
        <v>0</v>
      </c>
      <c r="N17">
        <v>0</v>
      </c>
      <c r="O17">
        <v>0</v>
      </c>
      <c r="P17">
        <v>0</v>
      </c>
      <c r="Q17">
        <v>0</v>
      </c>
      <c r="R17">
        <v>0</v>
      </c>
      <c r="S17">
        <v>0</v>
      </c>
    </row>
    <row r="18" spans="2:19" ht="15">
      <c r="B18" t="s">
        <v>68</v>
      </c>
      <c r="H18">
        <v>0</v>
      </c>
      <c r="I18">
        <v>0</v>
      </c>
      <c r="J18">
        <v>0</v>
      </c>
      <c r="K18">
        <v>0</v>
      </c>
      <c r="L18">
        <v>0</v>
      </c>
      <c r="M18">
        <v>0</v>
      </c>
      <c r="N18">
        <v>0</v>
      </c>
      <c r="O18">
        <v>0</v>
      </c>
      <c r="P18">
        <v>0</v>
      </c>
      <c r="Q18">
        <v>0</v>
      </c>
      <c r="R18">
        <v>0</v>
      </c>
      <c r="S18">
        <v>0</v>
      </c>
    </row>
    <row r="20" spans="1:19" ht="15">
      <c r="A20" s="31" t="s">
        <v>36</v>
      </c>
      <c r="B20" s="1" t="s">
        <v>69</v>
      </c>
      <c r="C20" s="1"/>
      <c r="D20" s="1"/>
      <c r="E20" s="1"/>
      <c r="F20" s="1"/>
      <c r="G20" s="5">
        <f>+depreciation!B887</f>
        <v>5122774</v>
      </c>
      <c r="H20" s="5">
        <f>+H15+G20</f>
        <v>5122774</v>
      </c>
      <c r="I20" s="5">
        <f aca="true" t="shared" si="0" ref="I20:Q20">+I15+H20</f>
        <v>5122774</v>
      </c>
      <c r="J20" s="5">
        <f t="shared" si="0"/>
        <v>5122774</v>
      </c>
      <c r="K20" s="5">
        <f t="shared" si="0"/>
        <v>5122774</v>
      </c>
      <c r="L20" s="5">
        <f t="shared" si="0"/>
        <v>5122774</v>
      </c>
      <c r="M20" s="5">
        <f t="shared" si="0"/>
        <v>5122774</v>
      </c>
      <c r="N20" s="5">
        <f t="shared" si="0"/>
        <v>5122774</v>
      </c>
      <c r="O20" s="5">
        <f t="shared" si="0"/>
        <v>5122774</v>
      </c>
      <c r="P20" s="5">
        <f t="shared" si="0"/>
        <v>5122774</v>
      </c>
      <c r="Q20" s="5">
        <f t="shared" si="0"/>
        <v>5122774</v>
      </c>
      <c r="R20" s="5">
        <f>+R15+Q20</f>
        <v>5122774</v>
      </c>
      <c r="S20" s="5">
        <f>+S15+R20</f>
        <v>5122774</v>
      </c>
    </row>
    <row r="21" spans="1:19" ht="15">
      <c r="A21" s="30" t="s">
        <v>38</v>
      </c>
      <c r="B21" t="s">
        <v>70</v>
      </c>
      <c r="G21">
        <f>-depreciation!E887</f>
        <v>-2153635</v>
      </c>
      <c r="H21">
        <f aca="true" t="shared" si="1" ref="H21:S21">G21-H32</f>
        <v>-2239015</v>
      </c>
      <c r="I21">
        <f>H21-I32</f>
        <v>-2324395</v>
      </c>
      <c r="J21">
        <f>I21-J32</f>
        <v>-2409775</v>
      </c>
      <c r="K21">
        <f>J21-K32</f>
        <v>-2495155</v>
      </c>
      <c r="L21">
        <f>K21-L32</f>
        <v>-2580535</v>
      </c>
      <c r="M21">
        <f t="shared" si="1"/>
        <v>-2665915</v>
      </c>
      <c r="N21">
        <f t="shared" si="1"/>
        <v>-2751295</v>
      </c>
      <c r="O21">
        <f t="shared" si="1"/>
        <v>-2836675</v>
      </c>
      <c r="P21">
        <f t="shared" si="1"/>
        <v>-2922055</v>
      </c>
      <c r="Q21">
        <f t="shared" si="1"/>
        <v>-3007435</v>
      </c>
      <c r="R21">
        <f t="shared" si="1"/>
        <v>-3092815</v>
      </c>
      <c r="S21">
        <f t="shared" si="1"/>
        <v>-3178195</v>
      </c>
    </row>
    <row r="22" spans="1:19" ht="15">
      <c r="A22" s="31" t="s">
        <v>39</v>
      </c>
      <c r="B22" s="1" t="s">
        <v>71</v>
      </c>
      <c r="C22" s="1"/>
      <c r="D22" s="1"/>
      <c r="E22" s="1"/>
      <c r="F22" s="1"/>
      <c r="G22" s="6">
        <v>0</v>
      </c>
      <c r="H22" s="6">
        <v>0</v>
      </c>
      <c r="I22" s="6">
        <f>+H22+I15</f>
        <v>0</v>
      </c>
      <c r="J22" s="6">
        <f>+I22+J15</f>
        <v>0</v>
      </c>
      <c r="K22" s="6">
        <f>+J22+K15</f>
        <v>0</v>
      </c>
      <c r="L22" s="6">
        <f>+K22+L15</f>
        <v>0</v>
      </c>
      <c r="M22" s="6">
        <v>0</v>
      </c>
      <c r="N22" s="6">
        <v>0</v>
      </c>
      <c r="O22" s="6">
        <v>0</v>
      </c>
      <c r="P22" s="6">
        <v>0</v>
      </c>
      <c r="Q22" s="6">
        <v>0</v>
      </c>
      <c r="R22" s="6">
        <v>0</v>
      </c>
      <c r="S22" s="6">
        <v>0</v>
      </c>
    </row>
    <row r="23" spans="1:20" ht="15">
      <c r="A23" s="31" t="s">
        <v>40</v>
      </c>
      <c r="B23" s="1" t="s">
        <v>72</v>
      </c>
      <c r="C23" s="1"/>
      <c r="D23" s="1"/>
      <c r="E23" s="1"/>
      <c r="F23" s="1"/>
      <c r="G23" s="26">
        <f aca="true" t="shared" si="2" ref="G23:S23">G20+G21+G22</f>
        <v>2969139</v>
      </c>
      <c r="H23" s="17">
        <f t="shared" si="2"/>
        <v>2883759</v>
      </c>
      <c r="I23" s="17">
        <f t="shared" si="2"/>
        <v>2798379</v>
      </c>
      <c r="J23" s="17">
        <f t="shared" si="2"/>
        <v>2712999</v>
      </c>
      <c r="K23" s="17">
        <f t="shared" si="2"/>
        <v>2627619</v>
      </c>
      <c r="L23" s="17">
        <f t="shared" si="2"/>
        <v>2542239</v>
      </c>
      <c r="M23" s="17">
        <f t="shared" si="2"/>
        <v>2456859</v>
      </c>
      <c r="N23" s="17">
        <f t="shared" si="2"/>
        <v>2371479</v>
      </c>
      <c r="O23" s="17">
        <f t="shared" si="2"/>
        <v>2286099</v>
      </c>
      <c r="P23" s="17">
        <f t="shared" si="2"/>
        <v>2200719</v>
      </c>
      <c r="Q23" s="17">
        <f t="shared" si="2"/>
        <v>2115339</v>
      </c>
      <c r="R23" s="17">
        <f t="shared" si="2"/>
        <v>2029959</v>
      </c>
      <c r="S23" s="17">
        <f t="shared" si="2"/>
        <v>1944579</v>
      </c>
      <c r="T23" s="16"/>
    </row>
    <row r="25" spans="1:19" ht="15">
      <c r="A25" s="30" t="s">
        <v>42</v>
      </c>
      <c r="B25" t="s">
        <v>73</v>
      </c>
      <c r="H25">
        <f aca="true" t="shared" si="3" ref="H25:N25">ROUND((+G23+H23)/2,0)</f>
        <v>2926449</v>
      </c>
      <c r="I25">
        <f t="shared" si="3"/>
        <v>2841069</v>
      </c>
      <c r="J25">
        <f t="shared" si="3"/>
        <v>2755689</v>
      </c>
      <c r="K25">
        <f t="shared" si="3"/>
        <v>2670309</v>
      </c>
      <c r="L25">
        <f t="shared" si="3"/>
        <v>2584929</v>
      </c>
      <c r="M25">
        <f t="shared" si="3"/>
        <v>2499549</v>
      </c>
      <c r="N25">
        <f t="shared" si="3"/>
        <v>2414169</v>
      </c>
      <c r="O25">
        <f>ROUND((+N23+O23)/2,0)</f>
        <v>2328789</v>
      </c>
      <c r="P25">
        <f>ROUND((+O23+P23)/2,0)</f>
        <v>2243409</v>
      </c>
      <c r="Q25">
        <f>ROUND((+P23+Q23)/2,0)</f>
        <v>2158029</v>
      </c>
      <c r="R25">
        <f>ROUND((+Q23+R23)/2,0)</f>
        <v>2072649</v>
      </c>
      <c r="S25">
        <f>ROUND((+R23+S23)/2,0)</f>
        <v>1987269</v>
      </c>
    </row>
    <row r="27" spans="1:2" ht="15">
      <c r="A27" s="30" t="s">
        <v>43</v>
      </c>
      <c r="B27" t="s">
        <v>74</v>
      </c>
    </row>
    <row r="28" spans="1:20" ht="15">
      <c r="A28" s="1"/>
      <c r="B28" s="1" t="s">
        <v>75</v>
      </c>
      <c r="C28" s="1"/>
      <c r="D28" s="1"/>
      <c r="E28" s="1"/>
      <c r="F28" s="1"/>
      <c r="G28" s="1"/>
      <c r="H28" s="1">
        <f aca="true" t="shared" si="4" ref="H28:S28">ROUND(+H25*(0.088238)/12,0)</f>
        <v>21519</v>
      </c>
      <c r="I28" s="1">
        <f t="shared" si="4"/>
        <v>20891</v>
      </c>
      <c r="J28" s="1">
        <f t="shared" si="4"/>
        <v>20263</v>
      </c>
      <c r="K28" s="1">
        <f t="shared" si="4"/>
        <v>19635</v>
      </c>
      <c r="L28" s="1">
        <f t="shared" si="4"/>
        <v>19007</v>
      </c>
      <c r="M28" s="1">
        <f t="shared" si="4"/>
        <v>18380</v>
      </c>
      <c r="N28" s="1">
        <f t="shared" si="4"/>
        <v>17752</v>
      </c>
      <c r="O28" s="1">
        <f t="shared" si="4"/>
        <v>17124</v>
      </c>
      <c r="P28" s="1">
        <f t="shared" si="4"/>
        <v>16496</v>
      </c>
      <c r="Q28" s="1">
        <f t="shared" si="4"/>
        <v>15868</v>
      </c>
      <c r="R28" s="1">
        <f t="shared" si="4"/>
        <v>15241</v>
      </c>
      <c r="S28" s="1">
        <f t="shared" si="4"/>
        <v>14613</v>
      </c>
      <c r="T28" s="5">
        <f>SUM(H28:S28)</f>
        <v>216789</v>
      </c>
    </row>
    <row r="29" spans="2:20" ht="15">
      <c r="B29" t="s">
        <v>76</v>
      </c>
      <c r="H29">
        <f aca="true" t="shared" si="5" ref="H29:S29">ROUND(+H25*(0.0282)/12,0)</f>
        <v>6877</v>
      </c>
      <c r="I29">
        <f t="shared" si="5"/>
        <v>6677</v>
      </c>
      <c r="J29">
        <f t="shared" si="5"/>
        <v>6476</v>
      </c>
      <c r="K29">
        <f t="shared" si="5"/>
        <v>6275</v>
      </c>
      <c r="L29">
        <f t="shared" si="5"/>
        <v>6075</v>
      </c>
      <c r="M29">
        <f t="shared" si="5"/>
        <v>5874</v>
      </c>
      <c r="N29">
        <f t="shared" si="5"/>
        <v>5673</v>
      </c>
      <c r="O29">
        <f t="shared" si="5"/>
        <v>5473</v>
      </c>
      <c r="P29">
        <f t="shared" si="5"/>
        <v>5272</v>
      </c>
      <c r="Q29">
        <f t="shared" si="5"/>
        <v>5071</v>
      </c>
      <c r="R29">
        <f t="shared" si="5"/>
        <v>4871</v>
      </c>
      <c r="S29">
        <f t="shared" si="5"/>
        <v>4670</v>
      </c>
      <c r="T29">
        <f>SUM(H29:S29)</f>
        <v>69284</v>
      </c>
    </row>
    <row r="31" spans="1:2" ht="15">
      <c r="A31" s="30" t="s">
        <v>44</v>
      </c>
      <c r="B31" t="s">
        <v>77</v>
      </c>
    </row>
    <row r="32" spans="2:20" ht="15">
      <c r="B32" t="s">
        <v>78</v>
      </c>
      <c r="H32">
        <f>+depreciation!D889</f>
        <v>85380</v>
      </c>
      <c r="I32">
        <f>+depreciation!$D890</f>
        <v>85380</v>
      </c>
      <c r="J32">
        <f>+depreciation!$D891</f>
        <v>85380</v>
      </c>
      <c r="K32">
        <f>+depreciation!$D892</f>
        <v>85380</v>
      </c>
      <c r="L32">
        <f>+depreciation!$D893</f>
        <v>85380</v>
      </c>
      <c r="M32">
        <f>+depreciation!$D894</f>
        <v>85380</v>
      </c>
      <c r="N32">
        <f>+depreciation!$D895</f>
        <v>85380</v>
      </c>
      <c r="O32">
        <f>+depreciation!$D896</f>
        <v>85380</v>
      </c>
      <c r="P32">
        <f>+depreciation!$D897</f>
        <v>85380</v>
      </c>
      <c r="Q32">
        <f>+depreciation!$D898</f>
        <v>85380</v>
      </c>
      <c r="R32">
        <f>+depreciation!$D899</f>
        <v>85380</v>
      </c>
      <c r="S32">
        <f>+depreciation!$D900</f>
        <v>85380</v>
      </c>
      <c r="T32">
        <f>SUM(H32:S32)</f>
        <v>1024560</v>
      </c>
    </row>
    <row r="33" spans="2:20" ht="15">
      <c r="B33" t="s">
        <v>79</v>
      </c>
      <c r="H33">
        <v>0</v>
      </c>
      <c r="I33">
        <v>0</v>
      </c>
      <c r="J33">
        <v>0</v>
      </c>
      <c r="K33">
        <v>0</v>
      </c>
      <c r="L33">
        <v>0</v>
      </c>
      <c r="M33">
        <v>0</v>
      </c>
      <c r="N33">
        <v>0</v>
      </c>
      <c r="O33">
        <v>0</v>
      </c>
      <c r="P33">
        <v>0</v>
      </c>
      <c r="Q33">
        <v>0</v>
      </c>
      <c r="R33">
        <v>0</v>
      </c>
      <c r="S33">
        <v>0</v>
      </c>
      <c r="T33">
        <f>SUM(H33:S33)</f>
        <v>0</v>
      </c>
    </row>
    <row r="34" spans="2:20" ht="15">
      <c r="B34" t="s">
        <v>80</v>
      </c>
      <c r="H34">
        <v>0</v>
      </c>
      <c r="I34">
        <v>0</v>
      </c>
      <c r="J34">
        <v>0</v>
      </c>
      <c r="K34">
        <v>0</v>
      </c>
      <c r="L34">
        <v>0</v>
      </c>
      <c r="M34">
        <v>0</v>
      </c>
      <c r="N34">
        <v>0</v>
      </c>
      <c r="O34">
        <v>0</v>
      </c>
      <c r="P34">
        <v>0</v>
      </c>
      <c r="Q34">
        <v>0</v>
      </c>
      <c r="R34">
        <v>0</v>
      </c>
      <c r="S34">
        <v>0</v>
      </c>
      <c r="T34">
        <f>SUM(H34:S34)</f>
        <v>0</v>
      </c>
    </row>
    <row r="35" spans="2:20" ht="15">
      <c r="B35" t="s">
        <v>81</v>
      </c>
      <c r="H35">
        <v>0</v>
      </c>
      <c r="I35">
        <v>0</v>
      </c>
      <c r="J35">
        <v>0</v>
      </c>
      <c r="K35">
        <v>0</v>
      </c>
      <c r="L35">
        <v>0</v>
      </c>
      <c r="M35">
        <v>0</v>
      </c>
      <c r="N35">
        <v>0</v>
      </c>
      <c r="O35">
        <v>0</v>
      </c>
      <c r="P35">
        <v>0</v>
      </c>
      <c r="Q35">
        <v>0</v>
      </c>
      <c r="R35">
        <v>0</v>
      </c>
      <c r="S35">
        <v>0</v>
      </c>
      <c r="T35">
        <f>SUM(H35:S35)</f>
        <v>0</v>
      </c>
    </row>
    <row r="36" spans="1:20" ht="15">
      <c r="A36" s="1"/>
      <c r="B36" s="1" t="s">
        <v>82</v>
      </c>
      <c r="C36" s="1"/>
      <c r="D36" s="1"/>
      <c r="E36" s="1"/>
      <c r="F36" s="1"/>
      <c r="G36" s="1"/>
      <c r="H36" s="6">
        <v>0</v>
      </c>
      <c r="I36" s="6">
        <v>0</v>
      </c>
      <c r="J36" s="6">
        <v>0</v>
      </c>
      <c r="K36" s="6">
        <v>0</v>
      </c>
      <c r="L36" s="6">
        <v>0</v>
      </c>
      <c r="M36" s="6">
        <v>0</v>
      </c>
      <c r="N36" s="6">
        <v>0</v>
      </c>
      <c r="O36" s="6">
        <v>0</v>
      </c>
      <c r="P36" s="6">
        <v>0</v>
      </c>
      <c r="Q36" s="6">
        <v>0</v>
      </c>
      <c r="R36" s="6">
        <v>0</v>
      </c>
      <c r="S36" s="6">
        <v>0</v>
      </c>
      <c r="T36" s="6">
        <f>SUM(H36:S36)</f>
        <v>0</v>
      </c>
    </row>
    <row r="38" spans="1:20" ht="15">
      <c r="A38" s="30" t="s">
        <v>45</v>
      </c>
      <c r="B38" t="s">
        <v>83</v>
      </c>
      <c r="H38">
        <f aca="true" t="shared" si="6" ref="H38:S38">ROUND(+H28+H29+H32+H33+H34+H35+H36,0)</f>
        <v>113776</v>
      </c>
      <c r="I38">
        <f t="shared" si="6"/>
        <v>112948</v>
      </c>
      <c r="J38">
        <f t="shared" si="6"/>
        <v>112119</v>
      </c>
      <c r="K38">
        <f t="shared" si="6"/>
        <v>111290</v>
      </c>
      <c r="L38">
        <f t="shared" si="6"/>
        <v>110462</v>
      </c>
      <c r="M38">
        <f t="shared" si="6"/>
        <v>109634</v>
      </c>
      <c r="N38">
        <f t="shared" si="6"/>
        <v>108805</v>
      </c>
      <c r="O38">
        <f t="shared" si="6"/>
        <v>107977</v>
      </c>
      <c r="P38">
        <f t="shared" si="6"/>
        <v>107148</v>
      </c>
      <c r="Q38">
        <f t="shared" si="6"/>
        <v>106319</v>
      </c>
      <c r="R38">
        <f t="shared" si="6"/>
        <v>105492</v>
      </c>
      <c r="S38">
        <f t="shared" si="6"/>
        <v>104663</v>
      </c>
      <c r="T38">
        <f>SUM(H38:S38)</f>
        <v>1310633</v>
      </c>
    </row>
    <row r="39" spans="2:20" ht="15">
      <c r="B39" t="s">
        <v>84</v>
      </c>
      <c r="H39">
        <f aca="true" t="shared" si="7" ref="H39:S39">ROUND(+H38*1,0)</f>
        <v>113776</v>
      </c>
      <c r="I39">
        <f t="shared" si="7"/>
        <v>112948</v>
      </c>
      <c r="J39">
        <f t="shared" si="7"/>
        <v>112119</v>
      </c>
      <c r="K39">
        <f t="shared" si="7"/>
        <v>111290</v>
      </c>
      <c r="L39">
        <f t="shared" si="7"/>
        <v>110462</v>
      </c>
      <c r="M39">
        <f t="shared" si="7"/>
        <v>109634</v>
      </c>
      <c r="N39">
        <f t="shared" si="7"/>
        <v>108805</v>
      </c>
      <c r="O39">
        <f t="shared" si="7"/>
        <v>107977</v>
      </c>
      <c r="P39">
        <f t="shared" si="7"/>
        <v>107148</v>
      </c>
      <c r="Q39">
        <f t="shared" si="7"/>
        <v>106319</v>
      </c>
      <c r="R39">
        <f t="shared" si="7"/>
        <v>105492</v>
      </c>
      <c r="S39">
        <f t="shared" si="7"/>
        <v>104663</v>
      </c>
      <c r="T39">
        <f>SUM(H39:S39)</f>
        <v>1310633</v>
      </c>
    </row>
    <row r="40" spans="2:20" ht="15">
      <c r="B40" t="s">
        <v>85</v>
      </c>
      <c r="H40">
        <f aca="true" t="shared" si="8" ref="H40:S40">ROUND(+H38*0,0)</f>
        <v>0</v>
      </c>
      <c r="I40">
        <f t="shared" si="8"/>
        <v>0</v>
      </c>
      <c r="J40">
        <f t="shared" si="8"/>
        <v>0</v>
      </c>
      <c r="K40">
        <f t="shared" si="8"/>
        <v>0</v>
      </c>
      <c r="L40">
        <f t="shared" si="8"/>
        <v>0</v>
      </c>
      <c r="M40">
        <f t="shared" si="8"/>
        <v>0</v>
      </c>
      <c r="N40">
        <f t="shared" si="8"/>
        <v>0</v>
      </c>
      <c r="O40">
        <f t="shared" si="8"/>
        <v>0</v>
      </c>
      <c r="P40">
        <f t="shared" si="8"/>
        <v>0</v>
      </c>
      <c r="Q40">
        <f t="shared" si="8"/>
        <v>0</v>
      </c>
      <c r="R40">
        <f t="shared" si="8"/>
        <v>0</v>
      </c>
      <c r="S40">
        <f t="shared" si="8"/>
        <v>0</v>
      </c>
      <c r="T40">
        <f>SUM(H40:S40)</f>
        <v>0</v>
      </c>
    </row>
    <row r="42" spans="1:20" ht="15">
      <c r="A42" s="31" t="s">
        <v>86</v>
      </c>
      <c r="B42" s="1" t="s">
        <v>87</v>
      </c>
      <c r="C42" s="1"/>
      <c r="D42" s="1"/>
      <c r="E42" s="1"/>
      <c r="F42" s="1"/>
      <c r="G42" s="24"/>
      <c r="H42" s="24">
        <f>'Form 42 5A'!H53</f>
        <v>0</v>
      </c>
      <c r="I42" s="24">
        <f>'Form 42 5A'!I53</f>
        <v>0</v>
      </c>
      <c r="J42" s="24">
        <f>'Form 42 5A'!J53</f>
        <v>0</v>
      </c>
      <c r="K42" s="24">
        <f>'Form 42 5A'!K53</f>
        <v>0</v>
      </c>
      <c r="L42" s="24">
        <f>'Form 42 5A'!L53</f>
        <v>0</v>
      </c>
      <c r="M42" s="24">
        <f>'Form 42 5A'!M53</f>
        <v>0</v>
      </c>
      <c r="N42" s="24">
        <f>'Form 42 5A'!N53</f>
        <v>0</v>
      </c>
      <c r="O42" s="24">
        <f>'Form 42 5A'!O53</f>
        <v>0</v>
      </c>
      <c r="P42" s="24">
        <f>'Form 42 5A'!P53</f>
        <v>0</v>
      </c>
      <c r="Q42" s="24">
        <f>'Form 42 5A'!Q53</f>
        <v>0</v>
      </c>
      <c r="R42" s="24">
        <f>'Form 42 5A'!R53</f>
        <v>0</v>
      </c>
      <c r="S42" s="24">
        <f>'Form 42 5A'!S53</f>
        <v>0</v>
      </c>
      <c r="T42" s="24"/>
    </row>
    <row r="43" spans="1:20" ht="15">
      <c r="A43" s="31" t="s">
        <v>88</v>
      </c>
      <c r="B43" s="1" t="s">
        <v>89</v>
      </c>
      <c r="C43" s="1"/>
      <c r="D43" s="1"/>
      <c r="E43" s="1"/>
      <c r="F43" s="1"/>
      <c r="G43" s="24"/>
      <c r="H43" s="24">
        <f>+'Form 42 5A'!H54</f>
        <v>0</v>
      </c>
      <c r="I43" s="24">
        <f>+'Form 42 5A'!I54</f>
        <v>0</v>
      </c>
      <c r="J43" s="24">
        <f>+'Form 42 5A'!J54</f>
        <v>0</v>
      </c>
      <c r="K43" s="24">
        <f>+'Form 42 5A'!K54</f>
        <v>0</v>
      </c>
      <c r="L43" s="24">
        <f>+'Form 42 5A'!L54</f>
        <v>0</v>
      </c>
      <c r="M43" s="24">
        <f>+'Form 42 5A'!M54</f>
        <v>0</v>
      </c>
      <c r="N43" s="24">
        <f>+'Form 42 5A'!N54</f>
        <v>0</v>
      </c>
      <c r="O43" s="24">
        <f>+'Form 42 5A'!O54</f>
        <v>0</v>
      </c>
      <c r="P43" s="24">
        <f>+'Form 42 5A'!P54</f>
        <v>0</v>
      </c>
      <c r="Q43" s="24">
        <f>+'Form 42 5A'!Q54</f>
        <v>0</v>
      </c>
      <c r="R43" s="24">
        <f>+'Form 42 5A'!R54</f>
        <v>0</v>
      </c>
      <c r="S43" s="24">
        <f>+'Form 42 5A'!S54</f>
        <v>0</v>
      </c>
      <c r="T43" s="24"/>
    </row>
    <row r="45" spans="1:20" ht="15">
      <c r="A45" s="30" t="s">
        <v>90</v>
      </c>
      <c r="B45" t="s">
        <v>91</v>
      </c>
      <c r="H45">
        <f aca="true" t="shared" si="9" ref="H45:S45">ROUND((+H39*H42),0)</f>
        <v>0</v>
      </c>
      <c r="I45">
        <f t="shared" si="9"/>
        <v>0</v>
      </c>
      <c r="J45">
        <f t="shared" si="9"/>
        <v>0</v>
      </c>
      <c r="K45">
        <f t="shared" si="9"/>
        <v>0</v>
      </c>
      <c r="L45">
        <f t="shared" si="9"/>
        <v>0</v>
      </c>
      <c r="M45">
        <f t="shared" si="9"/>
        <v>0</v>
      </c>
      <c r="N45">
        <f t="shared" si="9"/>
        <v>0</v>
      </c>
      <c r="O45">
        <f t="shared" si="9"/>
        <v>0</v>
      </c>
      <c r="P45">
        <f t="shared" si="9"/>
        <v>0</v>
      </c>
      <c r="Q45">
        <f t="shared" si="9"/>
        <v>0</v>
      </c>
      <c r="R45">
        <f t="shared" si="9"/>
        <v>0</v>
      </c>
      <c r="S45">
        <f t="shared" si="9"/>
        <v>0</v>
      </c>
      <c r="T45">
        <f>SUM(H45:S45)</f>
        <v>0</v>
      </c>
    </row>
    <row r="46" spans="1:20" ht="15">
      <c r="A46" s="31" t="s">
        <v>92</v>
      </c>
      <c r="B46" s="1" t="s">
        <v>93</v>
      </c>
      <c r="C46" s="1"/>
      <c r="D46" s="1"/>
      <c r="E46" s="1"/>
      <c r="F46" s="1"/>
      <c r="G46" s="1"/>
      <c r="H46" s="6">
        <f aca="true" t="shared" si="10" ref="H46:S46">(+H40*H43)</f>
        <v>0</v>
      </c>
      <c r="I46" s="6">
        <f t="shared" si="10"/>
        <v>0</v>
      </c>
      <c r="J46" s="6">
        <f t="shared" si="10"/>
        <v>0</v>
      </c>
      <c r="K46" s="6">
        <f t="shared" si="10"/>
        <v>0</v>
      </c>
      <c r="L46" s="6">
        <f t="shared" si="10"/>
        <v>0</v>
      </c>
      <c r="M46" s="6">
        <f t="shared" si="10"/>
        <v>0</v>
      </c>
      <c r="N46" s="6">
        <f t="shared" si="10"/>
        <v>0</v>
      </c>
      <c r="O46" s="6">
        <f t="shared" si="10"/>
        <v>0</v>
      </c>
      <c r="P46" s="6">
        <f t="shared" si="10"/>
        <v>0</v>
      </c>
      <c r="Q46" s="6">
        <f t="shared" si="10"/>
        <v>0</v>
      </c>
      <c r="R46" s="6">
        <f t="shared" si="10"/>
        <v>0</v>
      </c>
      <c r="S46" s="6">
        <f t="shared" si="10"/>
        <v>0</v>
      </c>
      <c r="T46" s="6">
        <f>SUM(H46:S46)</f>
        <v>0</v>
      </c>
    </row>
    <row r="47" spans="1:20" ht="15.75" thickBot="1">
      <c r="A47" s="31" t="s">
        <v>94</v>
      </c>
      <c r="B47" s="1" t="s">
        <v>95</v>
      </c>
      <c r="C47" s="1"/>
      <c r="D47" s="1"/>
      <c r="E47" s="1"/>
      <c r="F47" s="1"/>
      <c r="G47" s="1"/>
      <c r="H47" s="7">
        <f aca="true" t="shared" si="11" ref="H47:S47">H45+H46</f>
        <v>0</v>
      </c>
      <c r="I47" s="7">
        <f t="shared" si="11"/>
        <v>0</v>
      </c>
      <c r="J47" s="7">
        <f t="shared" si="11"/>
        <v>0</v>
      </c>
      <c r="K47" s="7">
        <f t="shared" si="11"/>
        <v>0</v>
      </c>
      <c r="L47" s="7">
        <f t="shared" si="11"/>
        <v>0</v>
      </c>
      <c r="M47" s="7">
        <f t="shared" si="11"/>
        <v>0</v>
      </c>
      <c r="N47" s="7">
        <f t="shared" si="11"/>
        <v>0</v>
      </c>
      <c r="O47" s="7">
        <f t="shared" si="11"/>
        <v>0</v>
      </c>
      <c r="P47" s="7">
        <f t="shared" si="11"/>
        <v>0</v>
      </c>
      <c r="Q47" s="7">
        <f t="shared" si="11"/>
        <v>0</v>
      </c>
      <c r="R47" s="7">
        <f t="shared" si="11"/>
        <v>0</v>
      </c>
      <c r="S47" s="7">
        <f t="shared" si="11"/>
        <v>0</v>
      </c>
      <c r="T47" s="7">
        <f>SUM(T45:T46)</f>
        <v>0</v>
      </c>
    </row>
    <row r="49" ht="15">
      <c r="A49" s="30" t="s">
        <v>31</v>
      </c>
    </row>
    <row r="50" spans="1:2" ht="15">
      <c r="A50" s="30" t="s">
        <v>96</v>
      </c>
      <c r="B50" t="s">
        <v>97</v>
      </c>
    </row>
    <row r="51" spans="1:2" ht="15">
      <c r="A51" s="30" t="s">
        <v>98</v>
      </c>
      <c r="B51" t="s">
        <v>99</v>
      </c>
    </row>
    <row r="52" spans="1:2" ht="15">
      <c r="A52" s="30" t="s">
        <v>100</v>
      </c>
      <c r="B52" t="s">
        <v>101</v>
      </c>
    </row>
  </sheetData>
  <printOptions/>
  <pageMargins left="0" right="0" top="1" bottom="1" header="0.5" footer="0.5"/>
  <pageSetup horizontalDpi="300" verticalDpi="300" orientation="landscape" scale="43" r:id="rId3"/>
  <legacyDrawing r:id="rId2"/>
</worksheet>
</file>

<file path=xl/worksheets/sheet19.xml><?xml version="1.0" encoding="utf-8"?>
<worksheet xmlns="http://schemas.openxmlformats.org/spreadsheetml/2006/main" xmlns:r="http://schemas.openxmlformats.org/officeDocument/2006/relationships">
  <sheetPr codeName="Sheet18"/>
  <dimension ref="A1:T98"/>
  <sheetViews>
    <sheetView zoomScale="75" zoomScaleNormal="75" workbookViewId="0" topLeftCell="A1">
      <selection activeCell="A7" sqref="A7"/>
    </sheetView>
  </sheetViews>
  <sheetFormatPr defaultColWidth="9.77734375" defaultRowHeight="15"/>
  <cols>
    <col min="7" max="12" width="12.77734375" style="0" customWidth="1"/>
    <col min="13" max="16" width="14.3359375" style="0" customWidth="1"/>
    <col min="17" max="23" width="12.77734375" style="0" customWidth="1"/>
  </cols>
  <sheetData>
    <row r="1" spans="1:20" ht="15.75">
      <c r="A1" s="8" t="s">
        <v>438</v>
      </c>
      <c r="B1" s="2"/>
      <c r="C1" s="2"/>
      <c r="D1" s="2"/>
      <c r="E1" s="2"/>
      <c r="F1" s="2"/>
      <c r="G1" s="2"/>
      <c r="H1" s="2"/>
      <c r="I1" s="2"/>
      <c r="J1" s="2"/>
      <c r="K1" s="2"/>
      <c r="L1" s="2"/>
      <c r="T1" s="30" t="s">
        <v>442</v>
      </c>
    </row>
    <row r="2" spans="1:20" ht="15">
      <c r="A2" s="2" t="s">
        <v>0</v>
      </c>
      <c r="B2" s="2"/>
      <c r="C2" s="2"/>
      <c r="D2" s="2"/>
      <c r="E2" s="2"/>
      <c r="F2" s="2"/>
      <c r="G2" s="2"/>
      <c r="H2" s="2"/>
      <c r="I2" s="2"/>
      <c r="J2" s="2"/>
      <c r="K2" s="2"/>
      <c r="L2" s="2"/>
      <c r="T2" s="30" t="s">
        <v>401</v>
      </c>
    </row>
    <row r="3" spans="1:12" ht="15">
      <c r="A3" s="2" t="s">
        <v>494</v>
      </c>
      <c r="B3" s="9"/>
      <c r="C3" s="9"/>
      <c r="D3" s="9"/>
      <c r="E3" s="9"/>
      <c r="F3" s="9"/>
      <c r="G3" s="9"/>
      <c r="H3" s="9"/>
      <c r="I3" s="2"/>
      <c r="J3" s="2"/>
      <c r="K3" s="2"/>
      <c r="L3" s="2"/>
    </row>
    <row r="4" spans="1:12" ht="15.75">
      <c r="A4" s="11" t="str">
        <f>'Form 42 2A'!A4</f>
        <v>January 2003 through December 2003</v>
      </c>
      <c r="B4" s="2"/>
      <c r="C4" s="2"/>
      <c r="D4" s="2"/>
      <c r="E4" s="2"/>
      <c r="F4" s="2"/>
      <c r="G4" s="2"/>
      <c r="H4" s="2"/>
      <c r="I4" s="2"/>
      <c r="J4" s="2"/>
      <c r="K4" s="2"/>
      <c r="L4" s="2"/>
    </row>
    <row r="5" spans="1:12" ht="15.75">
      <c r="A5" s="3" t="s">
        <v>1</v>
      </c>
      <c r="B5" s="2"/>
      <c r="C5" s="2"/>
      <c r="D5" s="2"/>
      <c r="E5" s="2"/>
      <c r="F5" s="2"/>
      <c r="G5" s="2"/>
      <c r="H5" s="2"/>
      <c r="I5" s="2"/>
      <c r="J5" s="2"/>
      <c r="K5" s="2"/>
      <c r="L5" s="2"/>
    </row>
    <row r="6" spans="1:12" ht="15">
      <c r="A6" s="2" t="s">
        <v>59</v>
      </c>
      <c r="B6" s="2"/>
      <c r="C6" s="2"/>
      <c r="D6" s="2"/>
      <c r="E6" s="2"/>
      <c r="F6" s="2"/>
      <c r="G6" s="2"/>
      <c r="H6" s="2"/>
      <c r="I6" s="2"/>
      <c r="J6" s="2"/>
      <c r="K6" s="2"/>
      <c r="L6" s="2"/>
    </row>
    <row r="7" spans="1:12" ht="15">
      <c r="A7" s="57" t="s">
        <v>489</v>
      </c>
      <c r="B7" s="2"/>
      <c r="C7" s="2"/>
      <c r="D7" s="2"/>
      <c r="E7" s="2"/>
      <c r="F7" s="2"/>
      <c r="G7" s="2"/>
      <c r="H7" s="2"/>
      <c r="I7" s="2"/>
      <c r="J7" s="2"/>
      <c r="K7" s="2"/>
      <c r="L7" s="2"/>
    </row>
    <row r="8" spans="1:12" ht="15">
      <c r="A8" s="2" t="s">
        <v>5</v>
      </c>
      <c r="B8" s="2"/>
      <c r="C8" s="2"/>
      <c r="D8" s="2"/>
      <c r="E8" s="2"/>
      <c r="F8" s="2"/>
      <c r="G8" s="2"/>
      <c r="H8" s="2"/>
      <c r="I8" s="2"/>
      <c r="J8" s="2"/>
      <c r="K8" s="2"/>
      <c r="L8" s="2"/>
    </row>
    <row r="9" ht="15">
      <c r="A9" s="47" t="s">
        <v>282</v>
      </c>
    </row>
    <row r="10" spans="1:20" ht="15">
      <c r="A10" s="2"/>
      <c r="T10" s="29" t="s">
        <v>60</v>
      </c>
    </row>
    <row r="11" spans="7:20" ht="15">
      <c r="G11" s="29" t="s">
        <v>61</v>
      </c>
      <c r="T11" s="29" t="s">
        <v>2</v>
      </c>
    </row>
    <row r="12" spans="1:20" ht="15.75" thickBot="1">
      <c r="A12" s="25" t="s">
        <v>3</v>
      </c>
      <c r="B12" s="2"/>
      <c r="C12" s="25" t="s">
        <v>62</v>
      </c>
      <c r="E12" s="2"/>
      <c r="F12" s="2"/>
      <c r="G12" s="19" t="s">
        <v>63</v>
      </c>
      <c r="H12" s="68" t="str">
        <f>'Form 42 2A'!H10</f>
        <v>January 03</v>
      </c>
      <c r="I12" s="68" t="str">
        <f>'Form 42 2A'!I10</f>
        <v>February 03</v>
      </c>
      <c r="J12" s="68" t="str">
        <f>'Form 42 2A'!J10</f>
        <v>March 03</v>
      </c>
      <c r="K12" s="68" t="str">
        <f>'Form 42 2A'!K10</f>
        <v>April 03</v>
      </c>
      <c r="L12" s="68" t="str">
        <f>'Form 42 2A'!L10</f>
        <v>May 03</v>
      </c>
      <c r="M12" s="68" t="str">
        <f>'Form 42 2A'!M10</f>
        <v>June 03</v>
      </c>
      <c r="N12" s="68" t="str">
        <f>'Form 42 2A'!N10</f>
        <v>July 03</v>
      </c>
      <c r="O12" s="68" t="str">
        <f>'Form 42 2A'!O10</f>
        <v>August 03</v>
      </c>
      <c r="P12" s="68" t="str">
        <f>'Form 42 2A'!P10</f>
        <v>September 03</v>
      </c>
      <c r="Q12" s="68" t="str">
        <f>'Form 42 2A'!Q10</f>
        <v>October 03</v>
      </c>
      <c r="R12" s="68" t="str">
        <f>'Form 42 2A'!R10</f>
        <v>November 03</v>
      </c>
      <c r="S12" s="68" t="str">
        <f>'Form 42 2A'!S10</f>
        <v>December 03</v>
      </c>
      <c r="T12" s="19" t="s">
        <v>8</v>
      </c>
    </row>
    <row r="14" spans="1:2" ht="15">
      <c r="A14" s="30" t="s">
        <v>35</v>
      </c>
      <c r="B14" t="s">
        <v>64</v>
      </c>
    </row>
    <row r="15" spans="1:20" ht="15">
      <c r="A15" s="1"/>
      <c r="B15" s="1" t="s">
        <v>65</v>
      </c>
      <c r="C15" s="1"/>
      <c r="D15" s="1"/>
      <c r="E15" s="1"/>
      <c r="F15" s="1"/>
      <c r="G15" s="1"/>
      <c r="H15" s="5">
        <v>0</v>
      </c>
      <c r="I15" s="5">
        <v>0</v>
      </c>
      <c r="J15" s="5">
        <v>0</v>
      </c>
      <c r="K15" s="5">
        <v>0</v>
      </c>
      <c r="L15" s="5">
        <v>0</v>
      </c>
      <c r="M15" s="5">
        <v>0</v>
      </c>
      <c r="N15" s="5">
        <v>0</v>
      </c>
      <c r="O15" s="5">
        <v>0</v>
      </c>
      <c r="P15" s="5">
        <v>0</v>
      </c>
      <c r="Q15" s="5">
        <v>0</v>
      </c>
      <c r="R15" s="5">
        <v>0</v>
      </c>
      <c r="S15" s="5">
        <v>0</v>
      </c>
      <c r="T15" s="5"/>
    </row>
    <row r="16" spans="2:19" ht="15">
      <c r="B16" t="s">
        <v>66</v>
      </c>
      <c r="H16">
        <v>0</v>
      </c>
      <c r="I16">
        <v>0</v>
      </c>
      <c r="J16">
        <v>0</v>
      </c>
      <c r="K16">
        <v>0</v>
      </c>
      <c r="L16">
        <v>0</v>
      </c>
      <c r="M16">
        <v>0</v>
      </c>
      <c r="N16">
        <v>0</v>
      </c>
      <c r="O16">
        <v>0</v>
      </c>
      <c r="P16">
        <v>0</v>
      </c>
      <c r="Q16">
        <v>0</v>
      </c>
      <c r="R16">
        <v>0</v>
      </c>
      <c r="S16">
        <v>0</v>
      </c>
    </row>
    <row r="17" spans="2:19" ht="15">
      <c r="B17" t="s">
        <v>67</v>
      </c>
      <c r="H17">
        <v>0</v>
      </c>
      <c r="I17">
        <v>0</v>
      </c>
      <c r="J17">
        <v>0</v>
      </c>
      <c r="K17">
        <v>0</v>
      </c>
      <c r="L17">
        <v>0</v>
      </c>
      <c r="M17">
        <v>0</v>
      </c>
      <c r="N17">
        <v>0</v>
      </c>
      <c r="O17">
        <v>0</v>
      </c>
      <c r="P17">
        <v>0</v>
      </c>
      <c r="Q17">
        <v>0</v>
      </c>
      <c r="R17">
        <v>0</v>
      </c>
      <c r="S17">
        <v>0</v>
      </c>
    </row>
    <row r="18" spans="2:19" ht="15">
      <c r="B18" t="s">
        <v>102</v>
      </c>
      <c r="H18">
        <v>0</v>
      </c>
      <c r="I18">
        <v>0</v>
      </c>
      <c r="J18">
        <v>0</v>
      </c>
      <c r="K18">
        <v>0</v>
      </c>
      <c r="L18">
        <v>0</v>
      </c>
      <c r="M18">
        <v>0</v>
      </c>
      <c r="N18">
        <v>0</v>
      </c>
      <c r="O18">
        <v>0</v>
      </c>
      <c r="P18">
        <v>0</v>
      </c>
      <c r="Q18">
        <v>0</v>
      </c>
      <c r="R18">
        <v>0</v>
      </c>
      <c r="S18">
        <v>0</v>
      </c>
    </row>
    <row r="20" spans="1:19" ht="15">
      <c r="A20" s="31" t="s">
        <v>36</v>
      </c>
      <c r="B20" s="1" t="s">
        <v>69</v>
      </c>
      <c r="C20" s="1"/>
      <c r="D20" s="1"/>
      <c r="E20" s="1"/>
      <c r="F20" s="1"/>
      <c r="G20" s="5">
        <f>+depreciation!$B503</f>
        <v>544745</v>
      </c>
      <c r="H20" s="5">
        <f>+G20+H15</f>
        <v>544745</v>
      </c>
      <c r="I20" s="5">
        <f aca="true" t="shared" si="0" ref="I20:S20">+H20+I15</f>
        <v>544745</v>
      </c>
      <c r="J20" s="5">
        <f t="shared" si="0"/>
        <v>544745</v>
      </c>
      <c r="K20" s="5">
        <f t="shared" si="0"/>
        <v>544745</v>
      </c>
      <c r="L20" s="5">
        <f t="shared" si="0"/>
        <v>544745</v>
      </c>
      <c r="M20" s="5">
        <f t="shared" si="0"/>
        <v>544745</v>
      </c>
      <c r="N20" s="5">
        <f t="shared" si="0"/>
        <v>544745</v>
      </c>
      <c r="O20" s="5">
        <f t="shared" si="0"/>
        <v>544745</v>
      </c>
      <c r="P20" s="5">
        <f t="shared" si="0"/>
        <v>544745</v>
      </c>
      <c r="Q20" s="5">
        <f t="shared" si="0"/>
        <v>544745</v>
      </c>
      <c r="R20" s="5">
        <f t="shared" si="0"/>
        <v>544745</v>
      </c>
      <c r="S20" s="5">
        <f t="shared" si="0"/>
        <v>544745</v>
      </c>
    </row>
    <row r="21" spans="1:19" ht="15">
      <c r="A21" s="30" t="s">
        <v>38</v>
      </c>
      <c r="B21" t="s">
        <v>103</v>
      </c>
      <c r="G21">
        <f>-depreciation!E503</f>
        <v>-262903</v>
      </c>
      <c r="H21">
        <f aca="true" t="shared" si="1" ref="H21:S21">G21-H33</f>
        <v>-271982.0833333333</v>
      </c>
      <c r="I21">
        <f t="shared" si="1"/>
        <v>-281061.1666666666</v>
      </c>
      <c r="J21">
        <f t="shared" si="1"/>
        <v>-290140.24999999994</v>
      </c>
      <c r="K21">
        <f t="shared" si="1"/>
        <v>-299219.33333333326</v>
      </c>
      <c r="L21">
        <f t="shared" si="1"/>
        <v>-308298.41666666657</v>
      </c>
      <c r="M21">
        <f t="shared" si="1"/>
        <v>-317377.4999999999</v>
      </c>
      <c r="N21">
        <f t="shared" si="1"/>
        <v>-326456.5833333332</v>
      </c>
      <c r="O21">
        <f t="shared" si="1"/>
        <v>-335535.6666666665</v>
      </c>
      <c r="P21">
        <f t="shared" si="1"/>
        <v>-344614.7499999998</v>
      </c>
      <c r="Q21">
        <f t="shared" si="1"/>
        <v>-353693.83333333314</v>
      </c>
      <c r="R21">
        <f t="shared" si="1"/>
        <v>-362772.91666666645</v>
      </c>
      <c r="S21">
        <f t="shared" si="1"/>
        <v>-371851.99999999977</v>
      </c>
    </row>
    <row r="22" spans="1:7" ht="15">
      <c r="A22" s="31" t="s">
        <v>39</v>
      </c>
      <c r="B22" t="s">
        <v>71</v>
      </c>
      <c r="G22">
        <v>0</v>
      </c>
    </row>
    <row r="23" spans="1:20" ht="15">
      <c r="A23" s="31"/>
      <c r="B23" s="1" t="s">
        <v>111</v>
      </c>
      <c r="C23" s="1"/>
      <c r="D23" s="1"/>
      <c r="E23" s="1"/>
      <c r="F23" s="1"/>
      <c r="G23" s="6">
        <v>-266000</v>
      </c>
      <c r="H23" s="6">
        <f>+G23</f>
        <v>-266000</v>
      </c>
      <c r="I23" s="6">
        <f aca="true" t="shared" si="2" ref="I23:S23">+H23</f>
        <v>-266000</v>
      </c>
      <c r="J23" s="6">
        <f t="shared" si="2"/>
        <v>-266000</v>
      </c>
      <c r="K23" s="6">
        <f t="shared" si="2"/>
        <v>-266000</v>
      </c>
      <c r="L23" s="6">
        <f t="shared" si="2"/>
        <v>-266000</v>
      </c>
      <c r="M23" s="6">
        <f t="shared" si="2"/>
        <v>-266000</v>
      </c>
      <c r="N23" s="6">
        <f t="shared" si="2"/>
        <v>-266000</v>
      </c>
      <c r="O23" s="6">
        <f t="shared" si="2"/>
        <v>-266000</v>
      </c>
      <c r="P23" s="6">
        <f t="shared" si="2"/>
        <v>-266000</v>
      </c>
      <c r="Q23" s="6">
        <f t="shared" si="2"/>
        <v>-266000</v>
      </c>
      <c r="R23" s="6">
        <f t="shared" si="2"/>
        <v>-266000</v>
      </c>
      <c r="S23" s="6">
        <f t="shared" si="2"/>
        <v>-266000</v>
      </c>
      <c r="T23" s="16"/>
    </row>
    <row r="24" spans="1:19" ht="15">
      <c r="A24" s="31" t="s">
        <v>40</v>
      </c>
      <c r="B24" s="1" t="s">
        <v>72</v>
      </c>
      <c r="C24" s="1"/>
      <c r="D24" s="1"/>
      <c r="E24" s="1"/>
      <c r="F24" s="1"/>
      <c r="G24" s="26">
        <f>G20+G21+G23</f>
        <v>15842</v>
      </c>
      <c r="H24" s="17">
        <f>H20+H21+H23</f>
        <v>6762.916666666686</v>
      </c>
      <c r="I24" s="17">
        <f>I20+I21+I23+2316</f>
        <v>-0.16666666662786156</v>
      </c>
      <c r="J24" s="17">
        <v>0</v>
      </c>
      <c r="K24" s="17">
        <v>0</v>
      </c>
      <c r="L24" s="17">
        <v>0</v>
      </c>
      <c r="M24" s="17">
        <v>0</v>
      </c>
      <c r="N24" s="17">
        <v>0</v>
      </c>
      <c r="O24" s="17">
        <v>0</v>
      </c>
      <c r="P24" s="17">
        <v>0</v>
      </c>
      <c r="Q24" s="17">
        <v>0</v>
      </c>
      <c r="R24" s="17">
        <v>0</v>
      </c>
      <c r="S24" s="17">
        <v>0</v>
      </c>
    </row>
    <row r="26" spans="1:19" ht="15">
      <c r="A26" s="30" t="s">
        <v>42</v>
      </c>
      <c r="B26" t="s">
        <v>73</v>
      </c>
      <c r="H26">
        <f aca="true" t="shared" si="3" ref="H26:S26">ROUND((+G24+H24)/2,0)</f>
        <v>11302</v>
      </c>
      <c r="I26">
        <f>ROUND((+H24+I24)/2,0)</f>
        <v>3381</v>
      </c>
      <c r="J26">
        <f>ROUND((+I24+J24)/2,0)</f>
        <v>0</v>
      </c>
      <c r="K26">
        <f t="shared" si="3"/>
        <v>0</v>
      </c>
      <c r="L26">
        <f t="shared" si="3"/>
        <v>0</v>
      </c>
      <c r="M26">
        <f t="shared" si="3"/>
        <v>0</v>
      </c>
      <c r="N26">
        <f t="shared" si="3"/>
        <v>0</v>
      </c>
      <c r="O26">
        <f t="shared" si="3"/>
        <v>0</v>
      </c>
      <c r="P26">
        <f t="shared" si="3"/>
        <v>0</v>
      </c>
      <c r="Q26">
        <f t="shared" si="3"/>
        <v>0</v>
      </c>
      <c r="R26">
        <f t="shared" si="3"/>
        <v>0</v>
      </c>
      <c r="S26">
        <f t="shared" si="3"/>
        <v>0</v>
      </c>
    </row>
    <row r="28" spans="1:2" ht="15">
      <c r="A28" s="30" t="s">
        <v>43</v>
      </c>
      <c r="B28" t="s">
        <v>74</v>
      </c>
    </row>
    <row r="29" spans="1:20" ht="15">
      <c r="A29" s="1"/>
      <c r="B29" s="1" t="s">
        <v>105</v>
      </c>
      <c r="C29" s="1"/>
      <c r="D29" s="1"/>
      <c r="E29" s="1"/>
      <c r="F29" s="1"/>
      <c r="G29" s="1"/>
      <c r="H29" s="1">
        <f aca="true" t="shared" si="4" ref="H29:S29">ROUND(+H26*(0.088238)/12,0)</f>
        <v>83</v>
      </c>
      <c r="I29" s="1">
        <f t="shared" si="4"/>
        <v>25</v>
      </c>
      <c r="J29" s="1">
        <f>ROUND(+J26*(0.088238)/12,0)</f>
        <v>0</v>
      </c>
      <c r="K29" s="1">
        <f t="shared" si="4"/>
        <v>0</v>
      </c>
      <c r="L29" s="1">
        <f t="shared" si="4"/>
        <v>0</v>
      </c>
      <c r="M29" s="1">
        <f t="shared" si="4"/>
        <v>0</v>
      </c>
      <c r="N29" s="1">
        <f t="shared" si="4"/>
        <v>0</v>
      </c>
      <c r="O29" s="1">
        <f t="shared" si="4"/>
        <v>0</v>
      </c>
      <c r="P29" s="1">
        <f t="shared" si="4"/>
        <v>0</v>
      </c>
      <c r="Q29" s="1">
        <f t="shared" si="4"/>
        <v>0</v>
      </c>
      <c r="R29" s="1">
        <f t="shared" si="4"/>
        <v>0</v>
      </c>
      <c r="S29" s="1">
        <f t="shared" si="4"/>
        <v>0</v>
      </c>
      <c r="T29" s="5">
        <f>SUM(H29:S29)</f>
        <v>108</v>
      </c>
    </row>
    <row r="30" spans="2:20" ht="15">
      <c r="B30" t="s">
        <v>76</v>
      </c>
      <c r="H30">
        <f aca="true" t="shared" si="5" ref="H30:S30">ROUND(+H26*(0.0282)/12,0)</f>
        <v>27</v>
      </c>
      <c r="I30">
        <f t="shared" si="5"/>
        <v>8</v>
      </c>
      <c r="J30">
        <f t="shared" si="5"/>
        <v>0</v>
      </c>
      <c r="K30">
        <f t="shared" si="5"/>
        <v>0</v>
      </c>
      <c r="L30">
        <f t="shared" si="5"/>
        <v>0</v>
      </c>
      <c r="M30">
        <f t="shared" si="5"/>
        <v>0</v>
      </c>
      <c r="N30">
        <f t="shared" si="5"/>
        <v>0</v>
      </c>
      <c r="O30">
        <f t="shared" si="5"/>
        <v>0</v>
      </c>
      <c r="P30">
        <f t="shared" si="5"/>
        <v>0</v>
      </c>
      <c r="Q30">
        <f t="shared" si="5"/>
        <v>0</v>
      </c>
      <c r="R30">
        <f t="shared" si="5"/>
        <v>0</v>
      </c>
      <c r="S30">
        <f t="shared" si="5"/>
        <v>0</v>
      </c>
      <c r="T30">
        <f>SUM(H30:S30)</f>
        <v>35</v>
      </c>
    </row>
    <row r="32" spans="1:2" ht="15">
      <c r="A32" s="30" t="s">
        <v>44</v>
      </c>
      <c r="B32" t="s">
        <v>77</v>
      </c>
    </row>
    <row r="33" spans="2:20" ht="15">
      <c r="B33" t="s">
        <v>78</v>
      </c>
      <c r="H33">
        <f>+depreciation!$D505</f>
        <v>9079.083333333334</v>
      </c>
      <c r="I33">
        <f>+depreciation!$D506</f>
        <v>9079.083333333334</v>
      </c>
      <c r="J33">
        <f>+depreciation!$D507</f>
        <v>9079.083333333334</v>
      </c>
      <c r="K33">
        <f>+depreciation!$D508</f>
        <v>9079.083333333334</v>
      </c>
      <c r="L33">
        <f>+depreciation!$D509</f>
        <v>9079.083333333334</v>
      </c>
      <c r="M33">
        <f>+depreciation!$D510</f>
        <v>9079.083333333334</v>
      </c>
      <c r="N33">
        <f>+depreciation!$D511</f>
        <v>9079.083333333334</v>
      </c>
      <c r="O33">
        <f>+depreciation!$D512</f>
        <v>9079.083333333334</v>
      </c>
      <c r="P33">
        <f>+depreciation!$D513</f>
        <v>9079.083333333334</v>
      </c>
      <c r="Q33">
        <f>+depreciation!$D514</f>
        <v>9079.083333333334</v>
      </c>
      <c r="R33">
        <f>+depreciation!$D515</f>
        <v>9079.083333333334</v>
      </c>
      <c r="S33">
        <f>+depreciation!$D516</f>
        <v>9079.083333333334</v>
      </c>
      <c r="T33">
        <f>SUM(H33:S33)</f>
        <v>108948.99999999999</v>
      </c>
    </row>
    <row r="34" spans="2:20" ht="15">
      <c r="B34" t="s">
        <v>79</v>
      </c>
      <c r="H34">
        <v>0</v>
      </c>
      <c r="I34">
        <v>0</v>
      </c>
      <c r="J34">
        <v>0</v>
      </c>
      <c r="K34">
        <v>0</v>
      </c>
      <c r="L34">
        <v>0</v>
      </c>
      <c r="M34">
        <v>0</v>
      </c>
      <c r="N34">
        <v>0</v>
      </c>
      <c r="O34">
        <v>0</v>
      </c>
      <c r="P34">
        <v>0</v>
      </c>
      <c r="Q34">
        <v>0</v>
      </c>
      <c r="R34">
        <v>0</v>
      </c>
      <c r="S34">
        <v>0</v>
      </c>
      <c r="T34">
        <f>SUM(H34:S34)</f>
        <v>0</v>
      </c>
    </row>
    <row r="35" spans="2:20" ht="15">
      <c r="B35" t="s">
        <v>80</v>
      </c>
      <c r="H35">
        <v>0</v>
      </c>
      <c r="I35">
        <v>0</v>
      </c>
      <c r="J35">
        <v>0</v>
      </c>
      <c r="K35">
        <v>0</v>
      </c>
      <c r="L35">
        <v>0</v>
      </c>
      <c r="M35">
        <v>0</v>
      </c>
      <c r="N35">
        <v>0</v>
      </c>
      <c r="O35">
        <v>0</v>
      </c>
      <c r="P35">
        <v>0</v>
      </c>
      <c r="Q35">
        <v>0</v>
      </c>
      <c r="R35">
        <v>0</v>
      </c>
      <c r="S35">
        <v>0</v>
      </c>
      <c r="T35">
        <f>SUM(H35:S35)</f>
        <v>0</v>
      </c>
    </row>
    <row r="36" spans="2:20" ht="15">
      <c r="B36" t="s">
        <v>81</v>
      </c>
      <c r="H36">
        <v>0</v>
      </c>
      <c r="I36">
        <v>0</v>
      </c>
      <c r="J36">
        <v>0</v>
      </c>
      <c r="K36">
        <v>0</v>
      </c>
      <c r="L36">
        <v>0</v>
      </c>
      <c r="M36">
        <v>0</v>
      </c>
      <c r="N36">
        <v>0</v>
      </c>
      <c r="O36">
        <v>0</v>
      </c>
      <c r="P36">
        <v>0</v>
      </c>
      <c r="Q36">
        <v>0</v>
      </c>
      <c r="R36">
        <v>0</v>
      </c>
      <c r="S36">
        <v>0</v>
      </c>
      <c r="T36">
        <f>SUM(H36:S36)</f>
        <v>0</v>
      </c>
    </row>
    <row r="37" spans="1:20" ht="15">
      <c r="A37" s="1"/>
      <c r="B37" s="1" t="s">
        <v>106</v>
      </c>
      <c r="C37" s="1"/>
      <c r="D37" s="1"/>
      <c r="E37" s="1"/>
      <c r="F37" s="1"/>
      <c r="G37" s="1"/>
      <c r="H37" s="6">
        <v>0</v>
      </c>
      <c r="I37" s="6">
        <v>0</v>
      </c>
      <c r="J37" s="6">
        <v>0</v>
      </c>
      <c r="K37" s="6">
        <v>0</v>
      </c>
      <c r="L37" s="6">
        <v>0</v>
      </c>
      <c r="M37" s="6">
        <v>0</v>
      </c>
      <c r="N37" s="6">
        <v>0</v>
      </c>
      <c r="O37" s="6">
        <v>0</v>
      </c>
      <c r="P37" s="6">
        <v>0</v>
      </c>
      <c r="Q37" s="6">
        <v>0</v>
      </c>
      <c r="R37" s="6">
        <v>0</v>
      </c>
      <c r="S37" s="6">
        <v>0</v>
      </c>
      <c r="T37" s="6">
        <f>SUM(H37:S37)</f>
        <v>0</v>
      </c>
    </row>
    <row r="39" spans="1:20" ht="15">
      <c r="A39" s="30" t="s">
        <v>45</v>
      </c>
      <c r="B39" t="s">
        <v>83</v>
      </c>
      <c r="H39">
        <f aca="true" t="shared" si="6" ref="H39:S39">ROUND(+H29+H30+H33+H34+H35+H36+H37,0)</f>
        <v>9189</v>
      </c>
      <c r="I39">
        <f t="shared" si="6"/>
        <v>9112</v>
      </c>
      <c r="J39">
        <f t="shared" si="6"/>
        <v>9079</v>
      </c>
      <c r="K39">
        <f t="shared" si="6"/>
        <v>9079</v>
      </c>
      <c r="L39">
        <f t="shared" si="6"/>
        <v>9079</v>
      </c>
      <c r="M39">
        <f t="shared" si="6"/>
        <v>9079</v>
      </c>
      <c r="N39">
        <f t="shared" si="6"/>
        <v>9079</v>
      </c>
      <c r="O39">
        <f t="shared" si="6"/>
        <v>9079</v>
      </c>
      <c r="P39">
        <f t="shared" si="6"/>
        <v>9079</v>
      </c>
      <c r="Q39">
        <f t="shared" si="6"/>
        <v>9079</v>
      </c>
      <c r="R39">
        <f t="shared" si="6"/>
        <v>9079</v>
      </c>
      <c r="S39">
        <f t="shared" si="6"/>
        <v>9079</v>
      </c>
      <c r="T39">
        <f>SUM(H39:S39)</f>
        <v>109091</v>
      </c>
    </row>
    <row r="40" spans="2:20" ht="15">
      <c r="B40" t="s">
        <v>84</v>
      </c>
      <c r="H40">
        <f>ROUND(+H39*0,0)</f>
        <v>0</v>
      </c>
      <c r="I40">
        <f>ROUND(+I39*0,0)</f>
        <v>0</v>
      </c>
      <c r="J40">
        <f>ROUND(+J39*0,0)</f>
        <v>0</v>
      </c>
      <c r="K40">
        <f aca="true" t="shared" si="7" ref="K40:S40">ROUND(+K39*0,0)</f>
        <v>0</v>
      </c>
      <c r="L40">
        <f t="shared" si="7"/>
        <v>0</v>
      </c>
      <c r="M40">
        <f t="shared" si="7"/>
        <v>0</v>
      </c>
      <c r="N40">
        <f t="shared" si="7"/>
        <v>0</v>
      </c>
      <c r="O40">
        <f t="shared" si="7"/>
        <v>0</v>
      </c>
      <c r="P40">
        <f t="shared" si="7"/>
        <v>0</v>
      </c>
      <c r="Q40">
        <f t="shared" si="7"/>
        <v>0</v>
      </c>
      <c r="R40">
        <f t="shared" si="7"/>
        <v>0</v>
      </c>
      <c r="S40">
        <f t="shared" si="7"/>
        <v>0</v>
      </c>
      <c r="T40">
        <f>SUM(H40:S40)</f>
        <v>0</v>
      </c>
    </row>
    <row r="41" spans="2:20" ht="15">
      <c r="B41" t="s">
        <v>85</v>
      </c>
      <c r="H41">
        <f>ROUND(+H39*1,0)</f>
        <v>9189</v>
      </c>
      <c r="I41">
        <f>ROUND(+I39*1,0)</f>
        <v>9112</v>
      </c>
      <c r="J41">
        <f>ROUND(+J39*1,0)</f>
        <v>9079</v>
      </c>
      <c r="K41">
        <f aca="true" t="shared" si="8" ref="K41:S41">ROUND(+K39*1,0)</f>
        <v>9079</v>
      </c>
      <c r="L41">
        <f t="shared" si="8"/>
        <v>9079</v>
      </c>
      <c r="M41">
        <f t="shared" si="8"/>
        <v>9079</v>
      </c>
      <c r="N41">
        <f t="shared" si="8"/>
        <v>9079</v>
      </c>
      <c r="O41">
        <f t="shared" si="8"/>
        <v>9079</v>
      </c>
      <c r="P41">
        <f t="shared" si="8"/>
        <v>9079</v>
      </c>
      <c r="Q41">
        <f t="shared" si="8"/>
        <v>9079</v>
      </c>
      <c r="R41">
        <f t="shared" si="8"/>
        <v>9079</v>
      </c>
      <c r="S41">
        <f t="shared" si="8"/>
        <v>9079</v>
      </c>
      <c r="T41">
        <f>SUM(H41:S41)</f>
        <v>109091</v>
      </c>
    </row>
    <row r="42" spans="8:19" ht="15">
      <c r="H42">
        <f>'Form 42 5A'!H53</f>
        <v>0</v>
      </c>
      <c r="I42">
        <f>'Form 42 5A'!I53</f>
        <v>0</v>
      </c>
      <c r="J42">
        <f>'Form 42 5A'!J53</f>
        <v>0</v>
      </c>
      <c r="K42">
        <f>'Form 42 5A'!K53</f>
        <v>0</v>
      </c>
      <c r="L42">
        <f>'Form 42 5A'!L53</f>
        <v>0</v>
      </c>
      <c r="M42">
        <f>'Form 42 5A'!M53</f>
        <v>0</v>
      </c>
      <c r="N42">
        <f>'Form 42 5A'!N53</f>
        <v>0</v>
      </c>
      <c r="O42">
        <f>'Form 42 5A'!O53</f>
        <v>0</v>
      </c>
      <c r="P42">
        <f>'Form 42 5A'!P53</f>
        <v>0</v>
      </c>
      <c r="Q42">
        <f>'Form 42 5A'!Q53</f>
        <v>0</v>
      </c>
      <c r="R42">
        <f>'Form 42 5A'!R53</f>
        <v>0</v>
      </c>
      <c r="S42">
        <f>'Form 42 5A'!S53</f>
        <v>0</v>
      </c>
    </row>
    <row r="43" spans="1:20" ht="15">
      <c r="A43" s="31" t="s">
        <v>86</v>
      </c>
      <c r="B43" s="1" t="s">
        <v>87</v>
      </c>
      <c r="C43" s="1"/>
      <c r="D43" s="1"/>
      <c r="E43" s="1"/>
      <c r="F43" s="1"/>
      <c r="G43" s="24"/>
      <c r="H43" s="24">
        <f>+'Form 42 5A'!H53</f>
        <v>0</v>
      </c>
      <c r="I43" s="24">
        <f>+'Form 42 5A'!I53</f>
        <v>0</v>
      </c>
      <c r="J43" s="24">
        <f>+'Form 42 5A'!J53</f>
        <v>0</v>
      </c>
      <c r="K43" s="24">
        <f>+'Form 42 5A'!K53</f>
        <v>0</v>
      </c>
      <c r="L43" s="24">
        <f>+'Form 42 5A'!L53</f>
        <v>0</v>
      </c>
      <c r="M43" s="24">
        <f>+'Form 42 5A'!M53</f>
        <v>0</v>
      </c>
      <c r="N43" s="24">
        <f>+'Form 42 5A'!N53</f>
        <v>0</v>
      </c>
      <c r="O43" s="24">
        <f>+'Form 42 5A'!O53</f>
        <v>0</v>
      </c>
      <c r="P43" s="24">
        <f>+'Form 42 5A'!P53</f>
        <v>0</v>
      </c>
      <c r="Q43" s="24">
        <f>+'Form 42 5A'!Q53</f>
        <v>0</v>
      </c>
      <c r="R43" s="24">
        <f>+'Form 42 5A'!R53</f>
        <v>0</v>
      </c>
      <c r="S43" s="24">
        <f>+'Form 42 5A'!S53</f>
        <v>0</v>
      </c>
      <c r="T43" s="24"/>
    </row>
    <row r="44" spans="1:20" ht="15">
      <c r="A44" s="31" t="s">
        <v>88</v>
      </c>
      <c r="B44" s="1" t="s">
        <v>89</v>
      </c>
      <c r="C44" s="1"/>
      <c r="D44" s="1"/>
      <c r="E44" s="1"/>
      <c r="F44" s="1"/>
      <c r="G44" s="24"/>
      <c r="H44" s="24">
        <f>+'Form 42 5A'!H54</f>
        <v>0</v>
      </c>
      <c r="I44" s="24">
        <f>+'Form 42 5A'!I54</f>
        <v>0</v>
      </c>
      <c r="J44" s="24">
        <f>+'Form 42 5A'!J54</f>
        <v>0</v>
      </c>
      <c r="K44" s="24">
        <f>+'Form 42 5A'!K54</f>
        <v>0</v>
      </c>
      <c r="L44" s="24">
        <f>+'Form 42 5A'!L54</f>
        <v>0</v>
      </c>
      <c r="M44" s="24">
        <f>+'Form 42 5A'!M54</f>
        <v>0</v>
      </c>
      <c r="N44" s="24">
        <f>+'Form 42 5A'!N54</f>
        <v>0</v>
      </c>
      <c r="O44" s="24">
        <f>+'Form 42 5A'!O54</f>
        <v>0</v>
      </c>
      <c r="P44" s="24">
        <f>+'Form 42 5A'!P54</f>
        <v>0</v>
      </c>
      <c r="Q44" s="24">
        <f>+'Form 42 5A'!Q54</f>
        <v>0</v>
      </c>
      <c r="R44" s="24">
        <f>+'Form 42 5A'!R54</f>
        <v>0</v>
      </c>
      <c r="S44" s="24">
        <f>+'Form 42 5A'!S54</f>
        <v>0</v>
      </c>
      <c r="T44" s="24"/>
    </row>
    <row r="46" spans="1:20" ht="15">
      <c r="A46" s="30" t="s">
        <v>90</v>
      </c>
      <c r="B46" t="s">
        <v>107</v>
      </c>
      <c r="H46">
        <f aca="true" t="shared" si="9" ref="H46:S46">ROUND(H43*H40,0)</f>
        <v>0</v>
      </c>
      <c r="I46">
        <f t="shared" si="9"/>
        <v>0</v>
      </c>
      <c r="J46">
        <f t="shared" si="9"/>
        <v>0</v>
      </c>
      <c r="K46">
        <f t="shared" si="9"/>
        <v>0</v>
      </c>
      <c r="L46">
        <f t="shared" si="9"/>
        <v>0</v>
      </c>
      <c r="M46">
        <f t="shared" si="9"/>
        <v>0</v>
      </c>
      <c r="N46">
        <f t="shared" si="9"/>
        <v>0</v>
      </c>
      <c r="O46">
        <f t="shared" si="9"/>
        <v>0</v>
      </c>
      <c r="P46">
        <f t="shared" si="9"/>
        <v>0</v>
      </c>
      <c r="Q46">
        <f t="shared" si="9"/>
        <v>0</v>
      </c>
      <c r="R46">
        <f t="shared" si="9"/>
        <v>0</v>
      </c>
      <c r="S46">
        <f t="shared" si="9"/>
        <v>0</v>
      </c>
      <c r="T46">
        <f>SUM(H46:S46)</f>
        <v>0</v>
      </c>
    </row>
    <row r="47" spans="1:20" ht="15">
      <c r="A47" s="31" t="s">
        <v>92</v>
      </c>
      <c r="B47" s="1" t="s">
        <v>108</v>
      </c>
      <c r="C47" s="1"/>
      <c r="D47" s="1"/>
      <c r="E47" s="1"/>
      <c r="F47" s="1"/>
      <c r="G47" s="1"/>
      <c r="H47" s="6">
        <f aca="true" t="shared" si="10" ref="H47:S47">ROUND((+H41*H44),0)</f>
        <v>0</v>
      </c>
      <c r="I47" s="6">
        <f t="shared" si="10"/>
        <v>0</v>
      </c>
      <c r="J47" s="6">
        <f t="shared" si="10"/>
        <v>0</v>
      </c>
      <c r="K47" s="6">
        <f t="shared" si="10"/>
        <v>0</v>
      </c>
      <c r="L47" s="6">
        <f t="shared" si="10"/>
        <v>0</v>
      </c>
      <c r="M47" s="6">
        <f t="shared" si="10"/>
        <v>0</v>
      </c>
      <c r="N47" s="6">
        <f t="shared" si="10"/>
        <v>0</v>
      </c>
      <c r="O47" s="6">
        <f t="shared" si="10"/>
        <v>0</v>
      </c>
      <c r="P47" s="6">
        <f t="shared" si="10"/>
        <v>0</v>
      </c>
      <c r="Q47" s="6">
        <f t="shared" si="10"/>
        <v>0</v>
      </c>
      <c r="R47" s="6">
        <f t="shared" si="10"/>
        <v>0</v>
      </c>
      <c r="S47" s="6">
        <f t="shared" si="10"/>
        <v>0</v>
      </c>
      <c r="T47" s="6">
        <f>SUM(H47:S47)</f>
        <v>0</v>
      </c>
    </row>
    <row r="48" spans="1:20" ht="15.75" thickBot="1">
      <c r="A48" s="31" t="s">
        <v>94</v>
      </c>
      <c r="B48" s="1" t="s">
        <v>95</v>
      </c>
      <c r="C48" s="1"/>
      <c r="D48" s="1"/>
      <c r="E48" s="1"/>
      <c r="F48" s="1"/>
      <c r="G48" s="1"/>
      <c r="H48" s="7">
        <f aca="true" t="shared" si="11" ref="H48:S48">H46+H47</f>
        <v>0</v>
      </c>
      <c r="I48" s="7">
        <f t="shared" si="11"/>
        <v>0</v>
      </c>
      <c r="J48" s="7">
        <f t="shared" si="11"/>
        <v>0</v>
      </c>
      <c r="K48" s="7">
        <f t="shared" si="11"/>
        <v>0</v>
      </c>
      <c r="L48" s="7">
        <f t="shared" si="11"/>
        <v>0</v>
      </c>
      <c r="M48" s="7">
        <f t="shared" si="11"/>
        <v>0</v>
      </c>
      <c r="N48" s="7">
        <f t="shared" si="11"/>
        <v>0</v>
      </c>
      <c r="O48" s="7">
        <f t="shared" si="11"/>
        <v>0</v>
      </c>
      <c r="P48" s="7">
        <f t="shared" si="11"/>
        <v>0</v>
      </c>
      <c r="Q48" s="7">
        <f t="shared" si="11"/>
        <v>0</v>
      </c>
      <c r="R48" s="7">
        <f t="shared" si="11"/>
        <v>0</v>
      </c>
      <c r="S48" s="7">
        <f t="shared" si="11"/>
        <v>0</v>
      </c>
      <c r="T48" s="7">
        <f>SUM(T46:T47)</f>
        <v>0</v>
      </c>
    </row>
    <row r="50" ht="15">
      <c r="A50" s="30" t="s">
        <v>31</v>
      </c>
    </row>
    <row r="51" spans="1:2" ht="15">
      <c r="A51" s="30" t="s">
        <v>96</v>
      </c>
      <c r="B51" t="s">
        <v>112</v>
      </c>
    </row>
    <row r="52" spans="1:2" ht="15">
      <c r="A52" s="30" t="s">
        <v>98</v>
      </c>
      <c r="B52" t="s">
        <v>97</v>
      </c>
    </row>
    <row r="53" spans="1:2" ht="15">
      <c r="A53" s="30" t="s">
        <v>100</v>
      </c>
      <c r="B53" t="s">
        <v>99</v>
      </c>
    </row>
    <row r="54" spans="1:2" ht="15">
      <c r="A54" s="30" t="s">
        <v>109</v>
      </c>
      <c r="B54" t="s">
        <v>101</v>
      </c>
    </row>
    <row r="94" ht="15">
      <c r="A94">
        <f>70436+122038+150514+36813+283015</f>
        <v>662816</v>
      </c>
    </row>
    <row r="95" ht="15">
      <c r="A95">
        <f>39882*5</f>
        <v>199410</v>
      </c>
    </row>
    <row r="96" ht="15">
      <c r="A96">
        <f>464+725+1180+1434+1988</f>
        <v>5791</v>
      </c>
    </row>
    <row r="97" ht="15">
      <c r="A97">
        <f>662816+5791-199410</f>
        <v>469197</v>
      </c>
    </row>
    <row r="98" ht="15">
      <c r="A98">
        <f>552042-82845</f>
        <v>469197</v>
      </c>
    </row>
  </sheetData>
  <printOptions/>
  <pageMargins left="0" right="0" top="1" bottom="1" header="0.5" footer="0.5"/>
  <pageSetup horizontalDpi="300" verticalDpi="300" orientation="landscape" scale="43" r:id="rId1"/>
</worksheet>
</file>

<file path=xl/worksheets/sheet2.xml><?xml version="1.0" encoding="utf-8"?>
<worksheet xmlns="http://schemas.openxmlformats.org/spreadsheetml/2006/main" xmlns:r="http://schemas.openxmlformats.org/officeDocument/2006/relationships">
  <dimension ref="A1:J43"/>
  <sheetViews>
    <sheetView zoomScale="75" zoomScaleNormal="75" workbookViewId="0" topLeftCell="A1">
      <selection activeCell="C28" sqref="C28"/>
    </sheetView>
  </sheetViews>
  <sheetFormatPr defaultColWidth="9.77734375" defaultRowHeight="15"/>
  <cols>
    <col min="1" max="1" width="6.4453125" style="0" customWidth="1"/>
    <col min="6" max="6" width="10.99609375" style="0" customWidth="1"/>
    <col min="8" max="8" width="12.77734375" style="0" customWidth="1"/>
    <col min="9" max="9" width="9.5546875" style="0" customWidth="1"/>
    <col min="10" max="10" width="11.88671875" style="0" customWidth="1"/>
  </cols>
  <sheetData>
    <row r="1" spans="1:10" ht="15.75">
      <c r="A1" s="8" t="str">
        <f>Appendix!A11</f>
        <v>PROGRESS ENERGY FLORIDA, INC.</v>
      </c>
      <c r="B1" s="9"/>
      <c r="C1" s="9"/>
      <c r="D1" s="9"/>
      <c r="E1" s="10"/>
      <c r="F1" s="9"/>
      <c r="G1" s="9"/>
      <c r="H1" s="8"/>
      <c r="I1" s="9"/>
      <c r="J1" s="30" t="s">
        <v>568</v>
      </c>
    </row>
    <row r="2" spans="1:10" ht="15">
      <c r="A2" s="9" t="s">
        <v>0</v>
      </c>
      <c r="B2" s="9"/>
      <c r="C2" s="9"/>
      <c r="D2" s="9"/>
      <c r="E2" s="9"/>
      <c r="F2" s="9"/>
      <c r="G2" s="9"/>
      <c r="H2" s="9"/>
      <c r="I2" s="9"/>
      <c r="J2" s="30"/>
    </row>
    <row r="3" spans="1:9" ht="15">
      <c r="A3" s="142" t="s">
        <v>567</v>
      </c>
      <c r="B3" s="142"/>
      <c r="C3" s="142"/>
      <c r="D3" s="142"/>
      <c r="E3" s="142"/>
      <c r="F3" s="142"/>
      <c r="G3" s="142"/>
      <c r="H3" s="142"/>
      <c r="I3" s="142"/>
    </row>
    <row r="4" spans="1:9" ht="15.75">
      <c r="A4" s="11" t="s">
        <v>455</v>
      </c>
      <c r="B4" s="9"/>
      <c r="C4" s="9"/>
      <c r="D4" s="9"/>
      <c r="E4" s="9"/>
      <c r="F4" s="9"/>
      <c r="G4" s="9"/>
      <c r="H4" s="9"/>
      <c r="I4" s="9"/>
    </row>
    <row r="5" spans="1:9" ht="15">
      <c r="A5" s="2" t="s">
        <v>5</v>
      </c>
      <c r="B5" s="9"/>
      <c r="C5" s="9"/>
      <c r="D5" s="9"/>
      <c r="E5" s="9"/>
      <c r="F5" s="9"/>
      <c r="G5" s="9"/>
      <c r="H5" s="9"/>
      <c r="I5" s="9"/>
    </row>
    <row r="6" spans="1:9" ht="15">
      <c r="A6" s="9"/>
      <c r="B6" s="9"/>
      <c r="C6" s="9"/>
      <c r="D6" s="9"/>
      <c r="E6" s="9"/>
      <c r="F6" s="9"/>
      <c r="G6" s="9"/>
      <c r="H6" s="9"/>
      <c r="I6" s="9"/>
    </row>
    <row r="7" spans="1:9" ht="15">
      <c r="A7" s="9"/>
      <c r="B7" s="9"/>
      <c r="C7" s="9"/>
      <c r="D7" s="9"/>
      <c r="E7" s="9"/>
      <c r="F7" s="9"/>
      <c r="G7" s="9"/>
      <c r="H7" s="9"/>
      <c r="I7" s="9"/>
    </row>
    <row r="8" spans="1:7" ht="15">
      <c r="A8" s="9"/>
      <c r="B8" s="9"/>
      <c r="C8" s="9"/>
      <c r="D8" s="9"/>
      <c r="E8" s="9"/>
      <c r="F8" s="9"/>
      <c r="G8" s="9"/>
    </row>
    <row r="10" spans="1:8" ht="15.75" thickBot="1">
      <c r="A10" s="14" t="s">
        <v>3</v>
      </c>
      <c r="H10" s="14" t="s">
        <v>63</v>
      </c>
    </row>
    <row r="13" spans="1:2" ht="15">
      <c r="A13">
        <v>1</v>
      </c>
      <c r="B13" t="s">
        <v>601</v>
      </c>
    </row>
    <row r="14" ht="15">
      <c r="B14" t="s">
        <v>602</v>
      </c>
    </row>
    <row r="15" spans="2:8" ht="15">
      <c r="B15" t="s">
        <v>598</v>
      </c>
      <c r="H15" s="78">
        <f>'Form 42 2A'!T22+'Form 42 2A'!T24+'Form 42 2A'!T34</f>
        <v>-9871506.6243976</v>
      </c>
    </row>
    <row r="16" ht="15">
      <c r="H16" s="76"/>
    </row>
    <row r="18" spans="1:2" ht="15">
      <c r="A18">
        <v>2</v>
      </c>
      <c r="B18" t="s">
        <v>600</v>
      </c>
    </row>
    <row r="19" spans="2:8" ht="15">
      <c r="B19" t="s">
        <v>602</v>
      </c>
      <c r="H19" s="59"/>
    </row>
    <row r="20" spans="2:8" ht="15">
      <c r="B20" s="96" t="s">
        <v>604</v>
      </c>
      <c r="C20" s="96"/>
      <c r="D20" s="96"/>
      <c r="H20" s="77">
        <v>-10822944</v>
      </c>
    </row>
    <row r="22" ht="15">
      <c r="I22" s="59"/>
    </row>
    <row r="23" spans="1:9" ht="15">
      <c r="A23">
        <v>3</v>
      </c>
      <c r="B23" t="s">
        <v>597</v>
      </c>
      <c r="I23" s="59"/>
    </row>
    <row r="24" ht="15">
      <c r="B24" s="75" t="s">
        <v>603</v>
      </c>
    </row>
    <row r="25" spans="2:8" ht="15.75" thickBot="1">
      <c r="B25" t="s">
        <v>599</v>
      </c>
      <c r="H25" s="79">
        <f>+H15-H20</f>
        <v>951437.3756023999</v>
      </c>
    </row>
    <row r="26" ht="15.75" thickTop="1"/>
    <row r="29" ht="15">
      <c r="B29" s="72"/>
    </row>
    <row r="39" spans="8:9" ht="15">
      <c r="H39" s="16"/>
      <c r="I39" s="16"/>
    </row>
    <row r="40" spans="8:9" ht="15">
      <c r="H40" s="16"/>
      <c r="I40" s="16"/>
    </row>
    <row r="41" spans="8:9" ht="15">
      <c r="H41" s="16"/>
      <c r="I41" s="16"/>
    </row>
    <row r="42" spans="8:9" ht="15">
      <c r="H42" s="16"/>
      <c r="I42" s="16"/>
    </row>
    <row r="43" spans="8:9" ht="15">
      <c r="H43" s="16"/>
      <c r="I43" s="16"/>
    </row>
  </sheetData>
  <mergeCells count="1">
    <mergeCell ref="A3:I3"/>
  </mergeCells>
  <printOptions horizontalCentered="1"/>
  <pageMargins left="0" right="0" top="0.75" bottom="0.25" header="0.5" footer="0.5"/>
  <pageSetup horizontalDpi="300" verticalDpi="300" orientation="landscape" scale="75" r:id="rId1"/>
</worksheet>
</file>

<file path=xl/worksheets/sheet20.xml><?xml version="1.0" encoding="utf-8"?>
<worksheet xmlns="http://schemas.openxmlformats.org/spreadsheetml/2006/main" xmlns:r="http://schemas.openxmlformats.org/officeDocument/2006/relationships">
  <sheetPr codeName="Sheet19"/>
  <dimension ref="A1:T52"/>
  <sheetViews>
    <sheetView zoomScale="75" zoomScaleNormal="75" workbookViewId="0" topLeftCell="A1">
      <selection activeCell="A7" sqref="A7"/>
    </sheetView>
  </sheetViews>
  <sheetFormatPr defaultColWidth="9.77734375" defaultRowHeight="15"/>
  <cols>
    <col min="7" max="12" width="12.77734375" style="0" customWidth="1"/>
    <col min="13" max="16" width="14.3359375" style="0" customWidth="1"/>
    <col min="17" max="21" width="12.77734375" style="0" customWidth="1"/>
  </cols>
  <sheetData>
    <row r="1" spans="1:20" ht="15.75">
      <c r="A1" s="8" t="s">
        <v>438</v>
      </c>
      <c r="B1" s="2"/>
      <c r="C1" s="2"/>
      <c r="D1" s="2"/>
      <c r="E1" s="2"/>
      <c r="F1" s="2"/>
      <c r="G1" s="2"/>
      <c r="H1" s="2"/>
      <c r="I1" s="2"/>
      <c r="J1" s="2"/>
      <c r="K1" s="2"/>
      <c r="L1" s="2"/>
      <c r="T1" s="30" t="s">
        <v>442</v>
      </c>
    </row>
    <row r="2" spans="1:20" ht="15">
      <c r="A2" s="2" t="s">
        <v>0</v>
      </c>
      <c r="B2" s="2"/>
      <c r="C2" s="2"/>
      <c r="D2" s="2"/>
      <c r="E2" s="2"/>
      <c r="F2" s="2"/>
      <c r="G2" s="2"/>
      <c r="H2" s="2"/>
      <c r="I2" s="2"/>
      <c r="J2" s="2"/>
      <c r="K2" s="2"/>
      <c r="L2" s="2"/>
      <c r="T2" s="30" t="s">
        <v>402</v>
      </c>
    </row>
    <row r="3" spans="1:12" ht="15">
      <c r="A3" s="2" t="s">
        <v>494</v>
      </c>
      <c r="B3" s="9"/>
      <c r="C3" s="9"/>
      <c r="D3" s="9"/>
      <c r="E3" s="9"/>
      <c r="F3" s="9"/>
      <c r="G3" s="9"/>
      <c r="H3" s="9"/>
      <c r="I3" s="2"/>
      <c r="J3" s="2"/>
      <c r="K3" s="2"/>
      <c r="L3" s="2"/>
    </row>
    <row r="4" spans="1:12" ht="15.75">
      <c r="A4" s="11" t="str">
        <f>'Form 42 2A'!A4</f>
        <v>January 2003 through December 2003</v>
      </c>
      <c r="B4" s="2"/>
      <c r="C4" s="2"/>
      <c r="D4" s="2"/>
      <c r="E4" s="2"/>
      <c r="F4" s="2"/>
      <c r="G4" s="2"/>
      <c r="H4" s="2"/>
      <c r="I4" s="2"/>
      <c r="J4" s="2"/>
      <c r="K4" s="2"/>
      <c r="L4" s="2"/>
    </row>
    <row r="5" spans="1:12" ht="15.75">
      <c r="A5" s="3" t="s">
        <v>1</v>
      </c>
      <c r="B5" s="2"/>
      <c r="C5" s="2"/>
      <c r="D5" s="2"/>
      <c r="E5" s="2"/>
      <c r="F5" s="2"/>
      <c r="G5" s="2"/>
      <c r="H5" s="2"/>
      <c r="I5" s="2"/>
      <c r="J5" s="2"/>
      <c r="K5" s="2"/>
      <c r="L5" s="2"/>
    </row>
    <row r="6" spans="1:12" ht="15">
      <c r="A6" s="2" t="s">
        <v>59</v>
      </c>
      <c r="B6" s="2"/>
      <c r="C6" s="2"/>
      <c r="D6" s="2"/>
      <c r="E6" s="2"/>
      <c r="F6" s="2"/>
      <c r="G6" s="2"/>
      <c r="H6" s="2"/>
      <c r="I6" s="2"/>
      <c r="J6" s="2"/>
      <c r="K6" s="2"/>
      <c r="L6" s="2"/>
    </row>
    <row r="7" spans="1:12" ht="15">
      <c r="A7" s="57" t="s">
        <v>489</v>
      </c>
      <c r="B7" s="2"/>
      <c r="C7" s="2"/>
      <c r="D7" s="2"/>
      <c r="E7" s="2"/>
      <c r="F7" s="2"/>
      <c r="G7" s="2"/>
      <c r="H7" s="2"/>
      <c r="I7" s="2"/>
      <c r="J7" s="2"/>
      <c r="K7" s="2"/>
      <c r="L7" s="2"/>
    </row>
    <row r="8" spans="1:12" ht="15">
      <c r="A8" s="2" t="s">
        <v>5</v>
      </c>
      <c r="B8" s="2"/>
      <c r="C8" s="2"/>
      <c r="D8" s="2"/>
      <c r="E8" s="2"/>
      <c r="F8" s="2"/>
      <c r="G8" s="2"/>
      <c r="H8" s="2"/>
      <c r="I8" s="2"/>
      <c r="J8" s="2"/>
      <c r="K8" s="2"/>
      <c r="L8" s="2"/>
    </row>
    <row r="9" ht="15">
      <c r="A9" s="47" t="s">
        <v>276</v>
      </c>
    </row>
    <row r="10" spans="1:20" ht="15">
      <c r="A10" s="2"/>
      <c r="T10" s="29" t="s">
        <v>60</v>
      </c>
    </row>
    <row r="11" spans="7:20" ht="15">
      <c r="G11" s="29" t="s">
        <v>61</v>
      </c>
      <c r="T11" s="29" t="s">
        <v>2</v>
      </c>
    </row>
    <row r="12" spans="1:20" ht="15.75" thickBot="1">
      <c r="A12" s="25" t="s">
        <v>3</v>
      </c>
      <c r="B12" s="2"/>
      <c r="C12" s="25" t="s">
        <v>62</v>
      </c>
      <c r="E12" s="2"/>
      <c r="F12" s="2"/>
      <c r="G12" s="19" t="s">
        <v>63</v>
      </c>
      <c r="H12" s="68" t="str">
        <f>'Form 42 2A'!H10</f>
        <v>January 03</v>
      </c>
      <c r="I12" s="68" t="str">
        <f>'Form 42 2A'!I10</f>
        <v>February 03</v>
      </c>
      <c r="J12" s="68" t="str">
        <f>'Form 42 2A'!J10</f>
        <v>March 03</v>
      </c>
      <c r="K12" s="68" t="str">
        <f>'Form 42 2A'!K10</f>
        <v>April 03</v>
      </c>
      <c r="L12" s="68" t="str">
        <f>'Form 42 2A'!L10</f>
        <v>May 03</v>
      </c>
      <c r="M12" s="68" t="str">
        <f>'Form 42 2A'!M10</f>
        <v>June 03</v>
      </c>
      <c r="N12" s="68" t="str">
        <f>'Form 42 2A'!N10</f>
        <v>July 03</v>
      </c>
      <c r="O12" s="68" t="str">
        <f>'Form 42 2A'!O10</f>
        <v>August 03</v>
      </c>
      <c r="P12" s="68" t="str">
        <f>'Form 42 2A'!P10</f>
        <v>September 03</v>
      </c>
      <c r="Q12" s="68" t="str">
        <f>'Form 42 2A'!Q10</f>
        <v>October 03</v>
      </c>
      <c r="R12" s="68" t="str">
        <f>'Form 42 2A'!R10</f>
        <v>November 03</v>
      </c>
      <c r="S12" s="68" t="str">
        <f>'Form 42 2A'!S10</f>
        <v>December 03</v>
      </c>
      <c r="T12" s="19" t="s">
        <v>8</v>
      </c>
    </row>
    <row r="14" spans="1:9" ht="15">
      <c r="A14" s="30" t="s">
        <v>35</v>
      </c>
      <c r="B14" t="s">
        <v>64</v>
      </c>
      <c r="I14" s="39"/>
    </row>
    <row r="15" spans="1:19" ht="15">
      <c r="A15" s="1"/>
      <c r="B15" s="1" t="s">
        <v>65</v>
      </c>
      <c r="C15" s="1"/>
      <c r="D15" s="1"/>
      <c r="E15" s="1"/>
      <c r="F15" s="1"/>
      <c r="G15" s="1"/>
      <c r="H15" s="49">
        <v>0</v>
      </c>
      <c r="I15" s="49">
        <v>0</v>
      </c>
      <c r="J15" s="49">
        <v>0</v>
      </c>
      <c r="K15" s="49">
        <v>0</v>
      </c>
      <c r="L15" s="49">
        <v>0</v>
      </c>
      <c r="M15" s="49">
        <v>0</v>
      </c>
      <c r="N15" s="49">
        <v>0</v>
      </c>
      <c r="O15" s="49">
        <v>0</v>
      </c>
      <c r="P15" s="49">
        <v>0</v>
      </c>
      <c r="Q15" s="5">
        <v>0</v>
      </c>
      <c r="R15" s="5">
        <v>0</v>
      </c>
      <c r="S15" s="5">
        <v>0</v>
      </c>
    </row>
    <row r="16" spans="2:19" ht="15">
      <c r="B16" t="s">
        <v>66</v>
      </c>
      <c r="H16">
        <v>0</v>
      </c>
      <c r="I16">
        <v>0</v>
      </c>
      <c r="J16">
        <v>0</v>
      </c>
      <c r="K16">
        <v>0</v>
      </c>
      <c r="L16">
        <v>0</v>
      </c>
      <c r="M16">
        <v>0</v>
      </c>
      <c r="N16">
        <v>0</v>
      </c>
      <c r="O16">
        <v>0</v>
      </c>
      <c r="P16">
        <v>0</v>
      </c>
      <c r="Q16">
        <v>0</v>
      </c>
      <c r="R16">
        <v>0</v>
      </c>
      <c r="S16">
        <v>0</v>
      </c>
    </row>
    <row r="17" spans="2:19" ht="15">
      <c r="B17" t="s">
        <v>67</v>
      </c>
      <c r="H17">
        <v>0</v>
      </c>
      <c r="I17">
        <v>0</v>
      </c>
      <c r="J17">
        <v>0</v>
      </c>
      <c r="K17">
        <v>0</v>
      </c>
      <c r="L17">
        <v>0</v>
      </c>
      <c r="M17">
        <v>0</v>
      </c>
      <c r="N17">
        <v>0</v>
      </c>
      <c r="O17">
        <v>0</v>
      </c>
      <c r="P17">
        <v>0</v>
      </c>
      <c r="Q17">
        <v>0</v>
      </c>
      <c r="R17">
        <v>0</v>
      </c>
      <c r="S17">
        <v>0</v>
      </c>
    </row>
    <row r="18" spans="2:19" ht="15">
      <c r="B18" t="s">
        <v>68</v>
      </c>
      <c r="H18">
        <v>0</v>
      </c>
      <c r="I18">
        <v>0</v>
      </c>
      <c r="J18">
        <v>0</v>
      </c>
      <c r="K18">
        <v>0</v>
      </c>
      <c r="L18">
        <v>0</v>
      </c>
      <c r="M18">
        <v>0</v>
      </c>
      <c r="N18">
        <v>0</v>
      </c>
      <c r="O18">
        <v>0</v>
      </c>
      <c r="P18">
        <v>0</v>
      </c>
      <c r="Q18">
        <v>0</v>
      </c>
      <c r="R18">
        <v>0</v>
      </c>
      <c r="S18">
        <v>0</v>
      </c>
    </row>
    <row r="20" spans="1:19" ht="15">
      <c r="A20" s="31" t="s">
        <v>36</v>
      </c>
      <c r="B20" s="1" t="s">
        <v>69</v>
      </c>
      <c r="C20" s="1"/>
      <c r="D20" s="1"/>
      <c r="E20" s="1"/>
      <c r="F20" s="1"/>
      <c r="G20" s="5">
        <f>+depreciation!B635</f>
        <v>497578</v>
      </c>
      <c r="H20">
        <f>+G20+H15</f>
        <v>497578</v>
      </c>
      <c r="I20">
        <f aca="true" t="shared" si="0" ref="I20:S20">+H20+I15</f>
        <v>497578</v>
      </c>
      <c r="J20">
        <f t="shared" si="0"/>
        <v>497578</v>
      </c>
      <c r="K20">
        <f t="shared" si="0"/>
        <v>497578</v>
      </c>
      <c r="L20">
        <f t="shared" si="0"/>
        <v>497578</v>
      </c>
      <c r="M20">
        <f t="shared" si="0"/>
        <v>497578</v>
      </c>
      <c r="N20">
        <f t="shared" si="0"/>
        <v>497578</v>
      </c>
      <c r="O20">
        <f t="shared" si="0"/>
        <v>497578</v>
      </c>
      <c r="P20">
        <f t="shared" si="0"/>
        <v>497578</v>
      </c>
      <c r="Q20">
        <f t="shared" si="0"/>
        <v>497578</v>
      </c>
      <c r="R20">
        <f t="shared" si="0"/>
        <v>497578</v>
      </c>
      <c r="S20">
        <f t="shared" si="0"/>
        <v>497578</v>
      </c>
    </row>
    <row r="21" spans="1:19" ht="15">
      <c r="A21" s="30" t="s">
        <v>38</v>
      </c>
      <c r="B21" t="s">
        <v>70</v>
      </c>
      <c r="G21">
        <f>-depreciation!E635</f>
        <v>-41572</v>
      </c>
      <c r="H21">
        <f>-H32+G21</f>
        <v>-42733</v>
      </c>
      <c r="I21">
        <f aca="true" t="shared" si="1" ref="I21:S21">-I32+H21</f>
        <v>-43894</v>
      </c>
      <c r="J21">
        <f t="shared" si="1"/>
        <v>-45055</v>
      </c>
      <c r="K21">
        <f t="shared" si="1"/>
        <v>-46216</v>
      </c>
      <c r="L21">
        <f t="shared" si="1"/>
        <v>-47377</v>
      </c>
      <c r="M21">
        <f t="shared" si="1"/>
        <v>-48538</v>
      </c>
      <c r="N21">
        <f t="shared" si="1"/>
        <v>-49699</v>
      </c>
      <c r="O21">
        <f t="shared" si="1"/>
        <v>-50860</v>
      </c>
      <c r="P21">
        <f t="shared" si="1"/>
        <v>-52021</v>
      </c>
      <c r="Q21">
        <f t="shared" si="1"/>
        <v>-53182</v>
      </c>
      <c r="R21">
        <f t="shared" si="1"/>
        <v>-54343</v>
      </c>
      <c r="S21">
        <f t="shared" si="1"/>
        <v>-55504</v>
      </c>
    </row>
    <row r="22" spans="1:19" ht="15">
      <c r="A22" s="31" t="s">
        <v>39</v>
      </c>
      <c r="B22" s="1" t="s">
        <v>71</v>
      </c>
      <c r="C22" s="1"/>
      <c r="D22" s="1"/>
      <c r="E22" s="1"/>
      <c r="F22" s="1"/>
      <c r="G22" s="6">
        <v>0</v>
      </c>
      <c r="H22" s="6">
        <v>0</v>
      </c>
      <c r="I22" s="6">
        <v>0</v>
      </c>
      <c r="J22" s="6">
        <v>0</v>
      </c>
      <c r="K22" s="6">
        <v>0</v>
      </c>
      <c r="L22" s="6">
        <v>0</v>
      </c>
      <c r="M22" s="6">
        <v>0</v>
      </c>
      <c r="N22" s="6">
        <v>0</v>
      </c>
      <c r="O22" s="6">
        <v>0</v>
      </c>
      <c r="P22" s="6">
        <v>0</v>
      </c>
      <c r="Q22" s="6">
        <v>0</v>
      </c>
      <c r="R22" s="6">
        <v>0</v>
      </c>
      <c r="S22" s="6">
        <v>0</v>
      </c>
    </row>
    <row r="23" spans="1:19" ht="15">
      <c r="A23" s="31" t="s">
        <v>40</v>
      </c>
      <c r="B23" s="1" t="s">
        <v>72</v>
      </c>
      <c r="C23" s="1"/>
      <c r="D23" s="1"/>
      <c r="E23" s="1"/>
      <c r="F23" s="1"/>
      <c r="G23" s="26">
        <f aca="true" t="shared" si="2" ref="G23:S23">G20+G21+G22</f>
        <v>456006</v>
      </c>
      <c r="H23" s="17">
        <f t="shared" si="2"/>
        <v>454845</v>
      </c>
      <c r="I23" s="17">
        <f t="shared" si="2"/>
        <v>453684</v>
      </c>
      <c r="J23" s="17">
        <f t="shared" si="2"/>
        <v>452523</v>
      </c>
      <c r="K23" s="17">
        <f t="shared" si="2"/>
        <v>451362</v>
      </c>
      <c r="L23" s="17">
        <f t="shared" si="2"/>
        <v>450201</v>
      </c>
      <c r="M23" s="17">
        <f t="shared" si="2"/>
        <v>449040</v>
      </c>
      <c r="N23" s="17">
        <f t="shared" si="2"/>
        <v>447879</v>
      </c>
      <c r="O23" s="17">
        <f t="shared" si="2"/>
        <v>446718</v>
      </c>
      <c r="P23" s="17">
        <f t="shared" si="2"/>
        <v>445557</v>
      </c>
      <c r="Q23" s="17">
        <f t="shared" si="2"/>
        <v>444396</v>
      </c>
      <c r="R23" s="17">
        <f t="shared" si="2"/>
        <v>443235</v>
      </c>
      <c r="S23" s="17">
        <f t="shared" si="2"/>
        <v>442074</v>
      </c>
    </row>
    <row r="25" spans="1:19" ht="15">
      <c r="A25" s="30" t="s">
        <v>42</v>
      </c>
      <c r="B25" t="s">
        <v>73</v>
      </c>
      <c r="H25">
        <f aca="true" t="shared" si="3" ref="H25:S25">ROUND((+G23+H23)/2,0)</f>
        <v>455426</v>
      </c>
      <c r="I25">
        <f t="shared" si="3"/>
        <v>454265</v>
      </c>
      <c r="J25">
        <f t="shared" si="3"/>
        <v>453104</v>
      </c>
      <c r="K25">
        <f t="shared" si="3"/>
        <v>451943</v>
      </c>
      <c r="L25">
        <f t="shared" si="3"/>
        <v>450782</v>
      </c>
      <c r="M25">
        <f t="shared" si="3"/>
        <v>449621</v>
      </c>
      <c r="N25">
        <f t="shared" si="3"/>
        <v>448460</v>
      </c>
      <c r="O25">
        <f t="shared" si="3"/>
        <v>447299</v>
      </c>
      <c r="P25">
        <f t="shared" si="3"/>
        <v>446138</v>
      </c>
      <c r="Q25">
        <f t="shared" si="3"/>
        <v>444977</v>
      </c>
      <c r="R25">
        <f t="shared" si="3"/>
        <v>443816</v>
      </c>
      <c r="S25">
        <f t="shared" si="3"/>
        <v>442655</v>
      </c>
    </row>
    <row r="27" spans="1:2" ht="15">
      <c r="A27" s="30" t="s">
        <v>43</v>
      </c>
      <c r="B27" t="s">
        <v>74</v>
      </c>
    </row>
    <row r="28" spans="1:20" ht="15">
      <c r="A28" s="1"/>
      <c r="B28" s="1" t="s">
        <v>75</v>
      </c>
      <c r="C28" s="1"/>
      <c r="D28" s="1"/>
      <c r="E28" s="1"/>
      <c r="F28" s="1"/>
      <c r="G28" s="1"/>
      <c r="H28" s="1">
        <f aca="true" t="shared" si="4" ref="H28:S28">ROUND(+H25*(0.088238)/12,0)</f>
        <v>3349</v>
      </c>
      <c r="I28" s="1">
        <f t="shared" si="4"/>
        <v>3340</v>
      </c>
      <c r="J28" s="1">
        <f t="shared" si="4"/>
        <v>3332</v>
      </c>
      <c r="K28" s="1">
        <f t="shared" si="4"/>
        <v>3323</v>
      </c>
      <c r="L28" s="1">
        <f t="shared" si="4"/>
        <v>3315</v>
      </c>
      <c r="M28" s="1">
        <f t="shared" si="4"/>
        <v>3306</v>
      </c>
      <c r="N28" s="1">
        <f t="shared" si="4"/>
        <v>3298</v>
      </c>
      <c r="O28" s="1">
        <f t="shared" si="4"/>
        <v>3289</v>
      </c>
      <c r="P28" s="1">
        <f t="shared" si="4"/>
        <v>3281</v>
      </c>
      <c r="Q28" s="1">
        <f t="shared" si="4"/>
        <v>3272</v>
      </c>
      <c r="R28" s="1">
        <f t="shared" si="4"/>
        <v>3263</v>
      </c>
      <c r="S28" s="1">
        <f t="shared" si="4"/>
        <v>3255</v>
      </c>
      <c r="T28" s="5">
        <f>SUM(H28:S28)</f>
        <v>39623</v>
      </c>
    </row>
    <row r="29" spans="2:20" ht="15">
      <c r="B29" t="s">
        <v>76</v>
      </c>
      <c r="H29">
        <f aca="true" t="shared" si="5" ref="H29:S29">ROUND(+H25*(0.0282)/12,0)</f>
        <v>1070</v>
      </c>
      <c r="I29">
        <f t="shared" si="5"/>
        <v>1068</v>
      </c>
      <c r="J29">
        <f t="shared" si="5"/>
        <v>1065</v>
      </c>
      <c r="K29">
        <f t="shared" si="5"/>
        <v>1062</v>
      </c>
      <c r="L29">
        <f t="shared" si="5"/>
        <v>1059</v>
      </c>
      <c r="M29">
        <f t="shared" si="5"/>
        <v>1057</v>
      </c>
      <c r="N29">
        <f t="shared" si="5"/>
        <v>1054</v>
      </c>
      <c r="O29">
        <f t="shared" si="5"/>
        <v>1051</v>
      </c>
      <c r="P29">
        <f t="shared" si="5"/>
        <v>1048</v>
      </c>
      <c r="Q29">
        <f t="shared" si="5"/>
        <v>1046</v>
      </c>
      <c r="R29">
        <f t="shared" si="5"/>
        <v>1043</v>
      </c>
      <c r="S29">
        <f t="shared" si="5"/>
        <v>1040</v>
      </c>
      <c r="T29">
        <f>SUM(H29:S29)</f>
        <v>12663</v>
      </c>
    </row>
    <row r="31" spans="1:2" ht="15">
      <c r="A31" s="30" t="s">
        <v>44</v>
      </c>
      <c r="B31" t="s">
        <v>77</v>
      </c>
    </row>
    <row r="32" spans="2:20" ht="15">
      <c r="B32" t="s">
        <v>78</v>
      </c>
      <c r="H32">
        <f>depreciation!$D637</f>
        <v>1161</v>
      </c>
      <c r="I32">
        <f>depreciation!$D638</f>
        <v>1161</v>
      </c>
      <c r="J32">
        <f>depreciation!$D639</f>
        <v>1161</v>
      </c>
      <c r="K32">
        <f>depreciation!$D640</f>
        <v>1161</v>
      </c>
      <c r="L32">
        <f>depreciation!$D641</f>
        <v>1161</v>
      </c>
      <c r="M32">
        <f>depreciation!$D642</f>
        <v>1161</v>
      </c>
      <c r="N32">
        <f>depreciation!$D643</f>
        <v>1161</v>
      </c>
      <c r="O32">
        <f>depreciation!$D644</f>
        <v>1161</v>
      </c>
      <c r="P32">
        <f>depreciation!$D645</f>
        <v>1161</v>
      </c>
      <c r="Q32">
        <f>depreciation!$D646</f>
        <v>1161</v>
      </c>
      <c r="R32">
        <f>depreciation!$D647</f>
        <v>1161</v>
      </c>
      <c r="S32">
        <f>depreciation!$D648</f>
        <v>1161</v>
      </c>
      <c r="T32">
        <f>SUM(H32:S32)</f>
        <v>13932</v>
      </c>
    </row>
    <row r="33" spans="2:20" ht="15">
      <c r="B33" t="s">
        <v>79</v>
      </c>
      <c r="H33">
        <v>0</v>
      </c>
      <c r="I33">
        <v>0</v>
      </c>
      <c r="J33">
        <v>0</v>
      </c>
      <c r="K33">
        <v>0</v>
      </c>
      <c r="L33">
        <v>0</v>
      </c>
      <c r="M33">
        <v>0</v>
      </c>
      <c r="N33">
        <v>0</v>
      </c>
      <c r="O33">
        <v>0</v>
      </c>
      <c r="P33">
        <v>0</v>
      </c>
      <c r="Q33">
        <v>0</v>
      </c>
      <c r="R33">
        <v>0</v>
      </c>
      <c r="S33">
        <v>0</v>
      </c>
      <c r="T33">
        <f>SUM(H33:S33)</f>
        <v>0</v>
      </c>
    </row>
    <row r="34" spans="2:20" ht="15">
      <c r="B34" t="s">
        <v>80</v>
      </c>
      <c r="H34">
        <v>0</v>
      </c>
      <c r="I34">
        <v>0</v>
      </c>
      <c r="J34">
        <v>0</v>
      </c>
      <c r="K34">
        <v>0</v>
      </c>
      <c r="L34">
        <v>0</v>
      </c>
      <c r="M34">
        <v>0</v>
      </c>
      <c r="N34">
        <v>0</v>
      </c>
      <c r="O34">
        <v>0</v>
      </c>
      <c r="P34">
        <v>0</v>
      </c>
      <c r="Q34">
        <v>0</v>
      </c>
      <c r="R34">
        <v>0</v>
      </c>
      <c r="S34">
        <v>0</v>
      </c>
      <c r="T34">
        <f>SUM(H34:S34)</f>
        <v>0</v>
      </c>
    </row>
    <row r="35" spans="2:20" ht="15">
      <c r="B35" t="s">
        <v>81</v>
      </c>
      <c r="H35">
        <v>0</v>
      </c>
      <c r="I35">
        <v>0</v>
      </c>
      <c r="J35">
        <v>0</v>
      </c>
      <c r="K35">
        <v>0</v>
      </c>
      <c r="L35">
        <v>0</v>
      </c>
      <c r="M35">
        <v>0</v>
      </c>
      <c r="N35">
        <v>0</v>
      </c>
      <c r="O35">
        <v>0</v>
      </c>
      <c r="P35">
        <v>0</v>
      </c>
      <c r="Q35">
        <v>0</v>
      </c>
      <c r="R35">
        <v>0</v>
      </c>
      <c r="S35">
        <v>0</v>
      </c>
      <c r="T35">
        <f>SUM(H35:S35)</f>
        <v>0</v>
      </c>
    </row>
    <row r="36" spans="1:20" ht="15">
      <c r="A36" s="1"/>
      <c r="B36" s="1" t="s">
        <v>82</v>
      </c>
      <c r="C36" s="1"/>
      <c r="D36" s="1"/>
      <c r="E36" s="1"/>
      <c r="F36" s="1"/>
      <c r="G36" s="1"/>
      <c r="H36" s="6">
        <v>0</v>
      </c>
      <c r="I36" s="6">
        <v>0</v>
      </c>
      <c r="J36" s="6">
        <v>0</v>
      </c>
      <c r="K36" s="6">
        <v>0</v>
      </c>
      <c r="L36" s="6">
        <v>0</v>
      </c>
      <c r="M36" s="6">
        <v>0</v>
      </c>
      <c r="N36" s="6">
        <v>0</v>
      </c>
      <c r="O36" s="6">
        <v>0</v>
      </c>
      <c r="P36" s="6">
        <v>0</v>
      </c>
      <c r="Q36" s="6">
        <v>0</v>
      </c>
      <c r="R36" s="6">
        <v>0</v>
      </c>
      <c r="S36" s="6">
        <v>0</v>
      </c>
      <c r="T36" s="6">
        <f>SUM(H36:S36)</f>
        <v>0</v>
      </c>
    </row>
    <row r="38" spans="1:20" ht="15">
      <c r="A38" s="30" t="s">
        <v>45</v>
      </c>
      <c r="B38" t="s">
        <v>83</v>
      </c>
      <c r="H38">
        <f aca="true" t="shared" si="6" ref="H38:S38">ROUND(+H28+H29+H32+H33+H34+H35+H36,0)</f>
        <v>5580</v>
      </c>
      <c r="I38">
        <f t="shared" si="6"/>
        <v>5569</v>
      </c>
      <c r="J38">
        <f t="shared" si="6"/>
        <v>5558</v>
      </c>
      <c r="K38">
        <f t="shared" si="6"/>
        <v>5546</v>
      </c>
      <c r="L38">
        <f t="shared" si="6"/>
        <v>5535</v>
      </c>
      <c r="M38">
        <f t="shared" si="6"/>
        <v>5524</v>
      </c>
      <c r="N38">
        <f t="shared" si="6"/>
        <v>5513</v>
      </c>
      <c r="O38">
        <f t="shared" si="6"/>
        <v>5501</v>
      </c>
      <c r="P38">
        <f t="shared" si="6"/>
        <v>5490</v>
      </c>
      <c r="Q38">
        <f t="shared" si="6"/>
        <v>5479</v>
      </c>
      <c r="R38">
        <f t="shared" si="6"/>
        <v>5467</v>
      </c>
      <c r="S38">
        <f t="shared" si="6"/>
        <v>5456</v>
      </c>
      <c r="T38">
        <f>SUM(H38:S38)</f>
        <v>66218</v>
      </c>
    </row>
    <row r="39" spans="2:20" ht="15">
      <c r="B39" t="s">
        <v>84</v>
      </c>
      <c r="H39">
        <f>ROUND(+H38*0,0)</f>
        <v>0</v>
      </c>
      <c r="I39">
        <f aca="true" t="shared" si="7" ref="I39:S39">ROUND(+I38*0,0)</f>
        <v>0</v>
      </c>
      <c r="J39">
        <f t="shared" si="7"/>
        <v>0</v>
      </c>
      <c r="K39">
        <f t="shared" si="7"/>
        <v>0</v>
      </c>
      <c r="L39">
        <f t="shared" si="7"/>
        <v>0</v>
      </c>
      <c r="M39">
        <f t="shared" si="7"/>
        <v>0</v>
      </c>
      <c r="N39">
        <f t="shared" si="7"/>
        <v>0</v>
      </c>
      <c r="O39">
        <f t="shared" si="7"/>
        <v>0</v>
      </c>
      <c r="P39">
        <f t="shared" si="7"/>
        <v>0</v>
      </c>
      <c r="Q39">
        <f t="shared" si="7"/>
        <v>0</v>
      </c>
      <c r="R39">
        <f t="shared" si="7"/>
        <v>0</v>
      </c>
      <c r="S39">
        <f t="shared" si="7"/>
        <v>0</v>
      </c>
      <c r="T39">
        <f>SUM(H39:S39)</f>
        <v>0</v>
      </c>
    </row>
    <row r="40" spans="2:20" ht="15">
      <c r="B40" t="s">
        <v>85</v>
      </c>
      <c r="H40">
        <f>ROUND(+H38*1,0)</f>
        <v>5580</v>
      </c>
      <c r="I40">
        <f aca="true" t="shared" si="8" ref="I40:S40">ROUND(+I38*1,0)</f>
        <v>5569</v>
      </c>
      <c r="J40">
        <f t="shared" si="8"/>
        <v>5558</v>
      </c>
      <c r="K40">
        <f t="shared" si="8"/>
        <v>5546</v>
      </c>
      <c r="L40">
        <f t="shared" si="8"/>
        <v>5535</v>
      </c>
      <c r="M40">
        <f t="shared" si="8"/>
        <v>5524</v>
      </c>
      <c r="N40">
        <f t="shared" si="8"/>
        <v>5513</v>
      </c>
      <c r="O40">
        <f t="shared" si="8"/>
        <v>5501</v>
      </c>
      <c r="P40">
        <f t="shared" si="8"/>
        <v>5490</v>
      </c>
      <c r="Q40">
        <f t="shared" si="8"/>
        <v>5479</v>
      </c>
      <c r="R40">
        <f t="shared" si="8"/>
        <v>5467</v>
      </c>
      <c r="S40">
        <f t="shared" si="8"/>
        <v>5456</v>
      </c>
      <c r="T40">
        <f>SUM(H40:S40)</f>
        <v>66218</v>
      </c>
    </row>
    <row r="42" spans="1:20" ht="15">
      <c r="A42" s="31" t="s">
        <v>86</v>
      </c>
      <c r="B42" s="1" t="s">
        <v>87</v>
      </c>
      <c r="C42" s="1"/>
      <c r="D42" s="1"/>
      <c r="E42" s="1"/>
      <c r="F42" s="1"/>
      <c r="G42" s="24"/>
      <c r="H42" s="24">
        <f>'Form 42 5A'!H53</f>
        <v>0</v>
      </c>
      <c r="I42" s="24">
        <f>'Form 42 5A'!I53</f>
        <v>0</v>
      </c>
      <c r="J42" s="24">
        <f>'Form 42 5A'!J53</f>
        <v>0</v>
      </c>
      <c r="K42" s="24">
        <f>'Form 42 5A'!K53</f>
        <v>0</v>
      </c>
      <c r="L42" s="24">
        <f>'Form 42 5A'!L53</f>
        <v>0</v>
      </c>
      <c r="M42" s="24">
        <f>'Form 42 5A'!M53</f>
        <v>0</v>
      </c>
      <c r="N42" s="24">
        <f>'Form 42 5A'!N53</f>
        <v>0</v>
      </c>
      <c r="O42" s="24">
        <f>'Form 42 5A'!O53</f>
        <v>0</v>
      </c>
      <c r="P42" s="24">
        <f>'Form 42 5A'!P53</f>
        <v>0</v>
      </c>
      <c r="Q42" s="24">
        <f>'Form 42 5A'!Q53</f>
        <v>0</v>
      </c>
      <c r="R42" s="24">
        <f>'Form 42 5A'!R53</f>
        <v>0</v>
      </c>
      <c r="S42" s="24">
        <f>'Form 42 5A'!S53</f>
        <v>0</v>
      </c>
      <c r="T42" s="24"/>
    </row>
    <row r="43" spans="1:20" ht="15">
      <c r="A43" s="31" t="s">
        <v>88</v>
      </c>
      <c r="B43" s="1" t="s">
        <v>89</v>
      </c>
      <c r="C43" s="1"/>
      <c r="D43" s="1"/>
      <c r="E43" s="1"/>
      <c r="F43" s="1"/>
      <c r="G43" s="24"/>
      <c r="H43" s="24">
        <f>+'Form 42 5A'!H54</f>
        <v>0</v>
      </c>
      <c r="I43" s="24">
        <f>+'Form 42 5A'!I54</f>
        <v>0</v>
      </c>
      <c r="J43" s="24">
        <f>+'Form 42 5A'!J54</f>
        <v>0</v>
      </c>
      <c r="K43" s="24">
        <f>+'Form 42 5A'!K54</f>
        <v>0</v>
      </c>
      <c r="L43" s="24">
        <f>+'Form 42 5A'!L54</f>
        <v>0</v>
      </c>
      <c r="M43" s="24">
        <f>+'Form 42 5A'!M54</f>
        <v>0</v>
      </c>
      <c r="N43" s="24">
        <f>+'Form 42 5A'!N54</f>
        <v>0</v>
      </c>
      <c r="O43" s="24">
        <f>+'Form 42 5A'!O54</f>
        <v>0</v>
      </c>
      <c r="P43" s="24">
        <f>+'Form 42 5A'!P54</f>
        <v>0</v>
      </c>
      <c r="Q43" s="24">
        <f>+'Form 42 5A'!Q54</f>
        <v>0</v>
      </c>
      <c r="R43" s="24">
        <f>+'Form 42 5A'!R54</f>
        <v>0</v>
      </c>
      <c r="S43" s="24">
        <f>+'Form 42 5A'!S54</f>
        <v>0</v>
      </c>
      <c r="T43" s="24"/>
    </row>
    <row r="45" spans="1:20" ht="15">
      <c r="A45" s="30" t="s">
        <v>90</v>
      </c>
      <c r="B45" t="s">
        <v>91</v>
      </c>
      <c r="H45">
        <f aca="true" t="shared" si="9" ref="H45:S46">ROUND((+H39*H42),0)</f>
        <v>0</v>
      </c>
      <c r="I45">
        <f t="shared" si="9"/>
        <v>0</v>
      </c>
      <c r="J45">
        <f t="shared" si="9"/>
        <v>0</v>
      </c>
      <c r="K45">
        <f t="shared" si="9"/>
        <v>0</v>
      </c>
      <c r="L45">
        <f t="shared" si="9"/>
        <v>0</v>
      </c>
      <c r="M45">
        <f t="shared" si="9"/>
        <v>0</v>
      </c>
      <c r="N45">
        <f t="shared" si="9"/>
        <v>0</v>
      </c>
      <c r="O45">
        <f t="shared" si="9"/>
        <v>0</v>
      </c>
      <c r="P45">
        <f t="shared" si="9"/>
        <v>0</v>
      </c>
      <c r="Q45">
        <f t="shared" si="9"/>
        <v>0</v>
      </c>
      <c r="R45">
        <f t="shared" si="9"/>
        <v>0</v>
      </c>
      <c r="S45">
        <f t="shared" si="9"/>
        <v>0</v>
      </c>
      <c r="T45">
        <f>SUM(H45:S45)</f>
        <v>0</v>
      </c>
    </row>
    <row r="46" spans="1:20" ht="15">
      <c r="A46" s="31" t="s">
        <v>92</v>
      </c>
      <c r="B46" s="1" t="s">
        <v>93</v>
      </c>
      <c r="C46" s="1"/>
      <c r="D46" s="1"/>
      <c r="E46" s="1"/>
      <c r="F46" s="1"/>
      <c r="G46" s="1"/>
      <c r="H46" s="6">
        <f t="shared" si="9"/>
        <v>0</v>
      </c>
      <c r="I46" s="6">
        <f t="shared" si="9"/>
        <v>0</v>
      </c>
      <c r="J46" s="6">
        <f t="shared" si="9"/>
        <v>0</v>
      </c>
      <c r="K46" s="6">
        <f t="shared" si="9"/>
        <v>0</v>
      </c>
      <c r="L46" s="6">
        <f t="shared" si="9"/>
        <v>0</v>
      </c>
      <c r="M46" s="6">
        <f t="shared" si="9"/>
        <v>0</v>
      </c>
      <c r="N46" s="6">
        <f t="shared" si="9"/>
        <v>0</v>
      </c>
      <c r="O46" s="6">
        <f t="shared" si="9"/>
        <v>0</v>
      </c>
      <c r="P46" s="6">
        <f t="shared" si="9"/>
        <v>0</v>
      </c>
      <c r="Q46" s="6">
        <f t="shared" si="9"/>
        <v>0</v>
      </c>
      <c r="R46" s="6">
        <f t="shared" si="9"/>
        <v>0</v>
      </c>
      <c r="S46" s="6">
        <f t="shared" si="9"/>
        <v>0</v>
      </c>
      <c r="T46" s="6">
        <f>SUM(H46:S46)</f>
        <v>0</v>
      </c>
    </row>
    <row r="47" spans="1:20" ht="15.75" thickBot="1">
      <c r="A47" s="31" t="s">
        <v>94</v>
      </c>
      <c r="B47" s="1" t="s">
        <v>95</v>
      </c>
      <c r="C47" s="1"/>
      <c r="D47" s="1"/>
      <c r="E47" s="1"/>
      <c r="F47" s="1"/>
      <c r="G47" s="1"/>
      <c r="H47" s="7">
        <f aca="true" t="shared" si="10" ref="H47:S47">H45+H46</f>
        <v>0</v>
      </c>
      <c r="I47" s="7">
        <f t="shared" si="10"/>
        <v>0</v>
      </c>
      <c r="J47" s="7">
        <f t="shared" si="10"/>
        <v>0</v>
      </c>
      <c r="K47" s="7">
        <f t="shared" si="10"/>
        <v>0</v>
      </c>
      <c r="L47" s="7">
        <f t="shared" si="10"/>
        <v>0</v>
      </c>
      <c r="M47" s="7">
        <f t="shared" si="10"/>
        <v>0</v>
      </c>
      <c r="N47" s="7">
        <f t="shared" si="10"/>
        <v>0</v>
      </c>
      <c r="O47" s="7">
        <f t="shared" si="10"/>
        <v>0</v>
      </c>
      <c r="P47" s="7">
        <f t="shared" si="10"/>
        <v>0</v>
      </c>
      <c r="Q47" s="7">
        <f t="shared" si="10"/>
        <v>0</v>
      </c>
      <c r="R47" s="7">
        <f t="shared" si="10"/>
        <v>0</v>
      </c>
      <c r="S47" s="7">
        <f t="shared" si="10"/>
        <v>0</v>
      </c>
      <c r="T47" s="7">
        <f>SUM(T45:T46)</f>
        <v>0</v>
      </c>
    </row>
    <row r="49" ht="15">
      <c r="A49" s="30" t="s">
        <v>31</v>
      </c>
    </row>
    <row r="50" spans="1:2" ht="15">
      <c r="A50" s="30" t="s">
        <v>96</v>
      </c>
      <c r="B50" t="s">
        <v>97</v>
      </c>
    </row>
    <row r="51" spans="1:2" ht="15">
      <c r="A51" s="30" t="s">
        <v>98</v>
      </c>
      <c r="B51" t="s">
        <v>99</v>
      </c>
    </row>
    <row r="52" spans="1:2" ht="15">
      <c r="A52" s="30" t="s">
        <v>100</v>
      </c>
      <c r="B52" t="s">
        <v>101</v>
      </c>
    </row>
  </sheetData>
  <printOptions/>
  <pageMargins left="0" right="0" top="1" bottom="1" header="0.5" footer="0.5"/>
  <pageSetup horizontalDpi="300" verticalDpi="300" orientation="landscape" scale="43" r:id="rId1"/>
</worksheet>
</file>

<file path=xl/worksheets/sheet21.xml><?xml version="1.0" encoding="utf-8"?>
<worksheet xmlns="http://schemas.openxmlformats.org/spreadsheetml/2006/main" xmlns:r="http://schemas.openxmlformats.org/officeDocument/2006/relationships">
  <sheetPr codeName="Sheet20"/>
  <dimension ref="A1:T52"/>
  <sheetViews>
    <sheetView zoomScale="75" zoomScaleNormal="75" workbookViewId="0" topLeftCell="A1">
      <selection activeCell="A7" sqref="A7"/>
    </sheetView>
  </sheetViews>
  <sheetFormatPr defaultColWidth="9.77734375" defaultRowHeight="15"/>
  <cols>
    <col min="7" max="12" width="12.77734375" style="0" customWidth="1"/>
    <col min="13" max="16" width="14.3359375" style="0" customWidth="1"/>
    <col min="17" max="21" width="12.77734375" style="0" customWidth="1"/>
  </cols>
  <sheetData>
    <row r="1" spans="1:20" ht="15.75">
      <c r="A1" s="8" t="s">
        <v>438</v>
      </c>
      <c r="B1" s="2"/>
      <c r="C1" s="2"/>
      <c r="D1" s="2"/>
      <c r="E1" s="2"/>
      <c r="F1" s="2"/>
      <c r="G1" s="2"/>
      <c r="H1" s="2"/>
      <c r="I1" s="2"/>
      <c r="J1" s="2"/>
      <c r="K1" s="2"/>
      <c r="L1" s="2"/>
      <c r="T1" s="30" t="s">
        <v>442</v>
      </c>
    </row>
    <row r="2" spans="1:20" ht="15">
      <c r="A2" s="2" t="s">
        <v>0</v>
      </c>
      <c r="B2" s="2"/>
      <c r="C2" s="2"/>
      <c r="D2" s="2"/>
      <c r="E2" s="2"/>
      <c r="F2" s="2"/>
      <c r="G2" s="2"/>
      <c r="H2" s="2"/>
      <c r="I2" s="2"/>
      <c r="J2" s="2"/>
      <c r="K2" s="2"/>
      <c r="L2" s="2"/>
      <c r="T2" s="30" t="s">
        <v>403</v>
      </c>
    </row>
    <row r="3" spans="1:12" ht="15">
      <c r="A3" s="2" t="s">
        <v>494</v>
      </c>
      <c r="B3" s="9"/>
      <c r="C3" s="9"/>
      <c r="D3" s="9"/>
      <c r="E3" s="9"/>
      <c r="F3" s="9"/>
      <c r="G3" s="9"/>
      <c r="H3" s="9"/>
      <c r="I3" s="2"/>
      <c r="J3" s="2"/>
      <c r="K3" s="2"/>
      <c r="L3" s="2"/>
    </row>
    <row r="4" spans="1:12" ht="15.75">
      <c r="A4" s="11" t="str">
        <f>'Form 42 2A'!A4</f>
        <v>January 2003 through December 2003</v>
      </c>
      <c r="B4" s="2"/>
      <c r="C4" s="2"/>
      <c r="D4" s="2"/>
      <c r="E4" s="2"/>
      <c r="F4" s="2"/>
      <c r="G4" s="2"/>
      <c r="H4" s="2"/>
      <c r="I4" s="2"/>
      <c r="J4" s="2"/>
      <c r="K4" s="2"/>
      <c r="L4" s="2"/>
    </row>
    <row r="5" spans="1:12" ht="15.75">
      <c r="A5" s="3" t="s">
        <v>1</v>
      </c>
      <c r="B5" s="2"/>
      <c r="C5" s="2"/>
      <c r="D5" s="2"/>
      <c r="E5" s="2"/>
      <c r="F5" s="2"/>
      <c r="G5" s="2"/>
      <c r="H5" s="2"/>
      <c r="I5" s="2"/>
      <c r="J5" s="2"/>
      <c r="K5" s="2"/>
      <c r="L5" s="2"/>
    </row>
    <row r="6" spans="1:12" ht="15">
      <c r="A6" s="2" t="s">
        <v>59</v>
      </c>
      <c r="B6" s="2"/>
      <c r="C6" s="2"/>
      <c r="D6" s="2"/>
      <c r="E6" s="2"/>
      <c r="F6" s="2"/>
      <c r="G6" s="2"/>
      <c r="H6" s="2"/>
      <c r="I6" s="2"/>
      <c r="J6" s="2"/>
      <c r="K6" s="2"/>
      <c r="L6" s="2"/>
    </row>
    <row r="7" spans="1:12" ht="15">
      <c r="A7" s="57" t="s">
        <v>489</v>
      </c>
      <c r="B7" s="2"/>
      <c r="C7" s="2"/>
      <c r="D7" s="2"/>
      <c r="E7" s="2"/>
      <c r="F7" s="2"/>
      <c r="G7" s="2"/>
      <c r="H7" s="2"/>
      <c r="I7" s="2"/>
      <c r="J7" s="2"/>
      <c r="K7" s="2"/>
      <c r="L7" s="2"/>
    </row>
    <row r="8" spans="1:12" ht="15">
      <c r="A8" s="2" t="s">
        <v>5</v>
      </c>
      <c r="B8" s="2"/>
      <c r="C8" s="2"/>
      <c r="D8" s="2"/>
      <c r="E8" s="2"/>
      <c r="F8" s="2"/>
      <c r="G8" s="2"/>
      <c r="H8" s="2"/>
      <c r="I8" s="2"/>
      <c r="J8" s="2"/>
      <c r="K8" s="2"/>
      <c r="L8" s="2"/>
    </row>
    <row r="9" ht="15">
      <c r="A9" s="47" t="s">
        <v>277</v>
      </c>
    </row>
    <row r="10" spans="1:20" ht="15">
      <c r="A10" s="2"/>
      <c r="T10" s="29" t="s">
        <v>60</v>
      </c>
    </row>
    <row r="11" spans="7:20" ht="15">
      <c r="G11" s="29" t="s">
        <v>61</v>
      </c>
      <c r="Q11" s="29"/>
      <c r="T11" s="29" t="s">
        <v>2</v>
      </c>
    </row>
    <row r="12" spans="1:20" ht="15.75" thickBot="1">
      <c r="A12" s="25" t="s">
        <v>3</v>
      </c>
      <c r="B12" s="2"/>
      <c r="C12" s="25" t="s">
        <v>62</v>
      </c>
      <c r="E12" s="2"/>
      <c r="F12" s="2"/>
      <c r="G12" s="19" t="s">
        <v>63</v>
      </c>
      <c r="H12" s="68" t="str">
        <f>'Form 42 2A'!H10</f>
        <v>January 03</v>
      </c>
      <c r="I12" s="68" t="str">
        <f>'Form 42 2A'!I10</f>
        <v>February 03</v>
      </c>
      <c r="J12" s="68" t="str">
        <f>'Form 42 2A'!J10</f>
        <v>March 03</v>
      </c>
      <c r="K12" s="68" t="str">
        <f>'Form 42 2A'!K10</f>
        <v>April 03</v>
      </c>
      <c r="L12" s="68" t="str">
        <f>'Form 42 2A'!L10</f>
        <v>May 03</v>
      </c>
      <c r="M12" s="68" t="str">
        <f>'Form 42 2A'!M10</f>
        <v>June 03</v>
      </c>
      <c r="N12" s="68" t="str">
        <f>'Form 42 2A'!N10</f>
        <v>July 03</v>
      </c>
      <c r="O12" s="68" t="str">
        <f>'Form 42 2A'!O10</f>
        <v>August 03</v>
      </c>
      <c r="P12" s="68" t="str">
        <f>'Form 42 2A'!P10</f>
        <v>September 03</v>
      </c>
      <c r="Q12" s="68" t="str">
        <f>'Form 42 2A'!Q10</f>
        <v>October 03</v>
      </c>
      <c r="R12" s="68" t="str">
        <f>'Form 42 2A'!R10</f>
        <v>November 03</v>
      </c>
      <c r="S12" s="68" t="str">
        <f>'Form 42 2A'!S10</f>
        <v>December 03</v>
      </c>
      <c r="T12" s="19" t="s">
        <v>8</v>
      </c>
    </row>
    <row r="14" spans="1:9" ht="15">
      <c r="A14" s="30" t="s">
        <v>35</v>
      </c>
      <c r="B14" t="s">
        <v>64</v>
      </c>
      <c r="I14" s="39"/>
    </row>
    <row r="15" spans="1:19" ht="15">
      <c r="A15" s="1"/>
      <c r="B15" s="1" t="s">
        <v>65</v>
      </c>
      <c r="C15" s="1"/>
      <c r="D15" s="1"/>
      <c r="E15" s="1"/>
      <c r="F15" s="1"/>
      <c r="G15" s="1"/>
      <c r="H15" s="49">
        <v>0</v>
      </c>
      <c r="I15" s="49">
        <v>0</v>
      </c>
      <c r="J15" s="49">
        <v>0</v>
      </c>
      <c r="K15" s="49">
        <v>0</v>
      </c>
      <c r="L15" s="49">
        <v>0</v>
      </c>
      <c r="M15" s="49">
        <v>0</v>
      </c>
      <c r="N15" s="49">
        <v>0</v>
      </c>
      <c r="O15" s="49">
        <v>0</v>
      </c>
      <c r="P15" s="49">
        <v>0</v>
      </c>
      <c r="Q15" s="5">
        <v>0</v>
      </c>
      <c r="R15" s="5">
        <v>0</v>
      </c>
      <c r="S15" s="5">
        <v>0</v>
      </c>
    </row>
    <row r="16" spans="2:19" ht="15">
      <c r="B16" t="s">
        <v>66</v>
      </c>
      <c r="H16">
        <v>0</v>
      </c>
      <c r="I16">
        <v>0</v>
      </c>
      <c r="J16">
        <v>0</v>
      </c>
      <c r="K16">
        <v>0</v>
      </c>
      <c r="L16">
        <v>0</v>
      </c>
      <c r="M16">
        <v>0</v>
      </c>
      <c r="N16">
        <v>0</v>
      </c>
      <c r="O16">
        <v>0</v>
      </c>
      <c r="P16">
        <v>0</v>
      </c>
      <c r="Q16">
        <v>0</v>
      </c>
      <c r="R16">
        <v>0</v>
      </c>
      <c r="S16">
        <v>0</v>
      </c>
    </row>
    <row r="17" spans="2:19" ht="15">
      <c r="B17" t="s">
        <v>67</v>
      </c>
      <c r="H17">
        <v>0</v>
      </c>
      <c r="I17">
        <v>0</v>
      </c>
      <c r="J17">
        <v>0</v>
      </c>
      <c r="K17">
        <v>0</v>
      </c>
      <c r="L17">
        <v>0</v>
      </c>
      <c r="M17">
        <v>0</v>
      </c>
      <c r="N17">
        <v>0</v>
      </c>
      <c r="O17">
        <v>0</v>
      </c>
      <c r="P17">
        <v>0</v>
      </c>
      <c r="Q17">
        <v>0</v>
      </c>
      <c r="R17">
        <v>0</v>
      </c>
      <c r="S17">
        <v>0</v>
      </c>
    </row>
    <row r="18" spans="2:19" ht="15">
      <c r="B18" t="s">
        <v>68</v>
      </c>
      <c r="H18">
        <v>0</v>
      </c>
      <c r="I18">
        <v>0</v>
      </c>
      <c r="J18">
        <v>0</v>
      </c>
      <c r="K18">
        <v>0</v>
      </c>
      <c r="L18">
        <v>0</v>
      </c>
      <c r="M18">
        <v>0</v>
      </c>
      <c r="N18">
        <v>0</v>
      </c>
      <c r="O18">
        <v>0</v>
      </c>
      <c r="P18">
        <v>0</v>
      </c>
      <c r="Q18">
        <v>0</v>
      </c>
      <c r="R18">
        <v>0</v>
      </c>
      <c r="S18">
        <v>0</v>
      </c>
    </row>
    <row r="20" spans="1:19" ht="15">
      <c r="A20" s="31" t="s">
        <v>36</v>
      </c>
      <c r="B20" s="1" t="s">
        <v>69</v>
      </c>
      <c r="C20" s="1"/>
      <c r="D20" s="1"/>
      <c r="E20" s="1"/>
      <c r="F20" s="1"/>
      <c r="G20" s="5">
        <f>+depreciation!B697</f>
        <v>818401</v>
      </c>
      <c r="H20">
        <f>+G20+H15</f>
        <v>818401</v>
      </c>
      <c r="I20">
        <f aca="true" t="shared" si="0" ref="I20:S20">+H20+I15</f>
        <v>818401</v>
      </c>
      <c r="J20">
        <f t="shared" si="0"/>
        <v>818401</v>
      </c>
      <c r="K20">
        <f t="shared" si="0"/>
        <v>818401</v>
      </c>
      <c r="L20">
        <f t="shared" si="0"/>
        <v>818401</v>
      </c>
      <c r="M20">
        <f t="shared" si="0"/>
        <v>818401</v>
      </c>
      <c r="N20">
        <f t="shared" si="0"/>
        <v>818401</v>
      </c>
      <c r="O20">
        <f t="shared" si="0"/>
        <v>818401</v>
      </c>
      <c r="P20">
        <f t="shared" si="0"/>
        <v>818401</v>
      </c>
      <c r="Q20">
        <f t="shared" si="0"/>
        <v>818401</v>
      </c>
      <c r="R20">
        <f t="shared" si="0"/>
        <v>818401</v>
      </c>
      <c r="S20">
        <f t="shared" si="0"/>
        <v>818401</v>
      </c>
    </row>
    <row r="21" spans="1:19" ht="15">
      <c r="A21" s="30" t="s">
        <v>38</v>
      </c>
      <c r="B21" t="s">
        <v>70</v>
      </c>
      <c r="G21">
        <f>-depreciation!E697</f>
        <v>-68404</v>
      </c>
      <c r="H21">
        <f>-H32+G21</f>
        <v>-70314</v>
      </c>
      <c r="I21">
        <f aca="true" t="shared" si="1" ref="I21:S21">-I32+H21</f>
        <v>-72224</v>
      </c>
      <c r="J21">
        <f t="shared" si="1"/>
        <v>-74134</v>
      </c>
      <c r="K21">
        <f t="shared" si="1"/>
        <v>-76044</v>
      </c>
      <c r="L21">
        <f t="shared" si="1"/>
        <v>-77954</v>
      </c>
      <c r="M21">
        <f t="shared" si="1"/>
        <v>-79864</v>
      </c>
      <c r="N21">
        <f t="shared" si="1"/>
        <v>-81774</v>
      </c>
      <c r="O21">
        <f t="shared" si="1"/>
        <v>-83684</v>
      </c>
      <c r="P21">
        <f t="shared" si="1"/>
        <v>-85594</v>
      </c>
      <c r="Q21">
        <f t="shared" si="1"/>
        <v>-87504</v>
      </c>
      <c r="R21">
        <f t="shared" si="1"/>
        <v>-89414</v>
      </c>
      <c r="S21">
        <f t="shared" si="1"/>
        <v>-91324</v>
      </c>
    </row>
    <row r="22" spans="1:19" ht="15">
      <c r="A22" s="31" t="s">
        <v>39</v>
      </c>
      <c r="B22" s="1" t="s">
        <v>71</v>
      </c>
      <c r="C22" s="1"/>
      <c r="D22" s="1"/>
      <c r="E22" s="1"/>
      <c r="F22" s="1"/>
      <c r="G22" s="6">
        <v>0</v>
      </c>
      <c r="H22" s="6">
        <v>0</v>
      </c>
      <c r="I22" s="6">
        <v>0</v>
      </c>
      <c r="J22" s="6">
        <v>0</v>
      </c>
      <c r="K22" s="6">
        <v>0</v>
      </c>
      <c r="L22" s="6">
        <v>0</v>
      </c>
      <c r="M22" s="6">
        <v>0</v>
      </c>
      <c r="N22" s="6">
        <v>0</v>
      </c>
      <c r="O22" s="6">
        <v>0</v>
      </c>
      <c r="P22" s="6">
        <v>0</v>
      </c>
      <c r="Q22" s="6">
        <v>0</v>
      </c>
      <c r="R22" s="6">
        <f>+R15+Q22</f>
        <v>0</v>
      </c>
      <c r="S22" s="6">
        <v>0</v>
      </c>
    </row>
    <row r="23" spans="1:19" ht="15">
      <c r="A23" s="31" t="s">
        <v>40</v>
      </c>
      <c r="B23" s="1" t="s">
        <v>72</v>
      </c>
      <c r="C23" s="1"/>
      <c r="D23" s="1"/>
      <c r="E23" s="1"/>
      <c r="F23" s="1"/>
      <c r="G23" s="26">
        <f aca="true" t="shared" si="2" ref="G23:S23">G20+G21+G22</f>
        <v>749997</v>
      </c>
      <c r="H23" s="17">
        <f t="shared" si="2"/>
        <v>748087</v>
      </c>
      <c r="I23" s="17">
        <f t="shared" si="2"/>
        <v>746177</v>
      </c>
      <c r="J23" s="17">
        <f t="shared" si="2"/>
        <v>744267</v>
      </c>
      <c r="K23" s="17">
        <f t="shared" si="2"/>
        <v>742357</v>
      </c>
      <c r="L23" s="17">
        <f t="shared" si="2"/>
        <v>740447</v>
      </c>
      <c r="M23" s="17">
        <f t="shared" si="2"/>
        <v>738537</v>
      </c>
      <c r="N23" s="17">
        <f t="shared" si="2"/>
        <v>736627</v>
      </c>
      <c r="O23" s="17">
        <f t="shared" si="2"/>
        <v>734717</v>
      </c>
      <c r="P23" s="17">
        <f t="shared" si="2"/>
        <v>732807</v>
      </c>
      <c r="Q23" s="17">
        <f t="shared" si="2"/>
        <v>730897</v>
      </c>
      <c r="R23" s="17">
        <f t="shared" si="2"/>
        <v>728987</v>
      </c>
      <c r="S23" s="17">
        <f t="shared" si="2"/>
        <v>727077</v>
      </c>
    </row>
    <row r="25" spans="1:19" ht="15">
      <c r="A25" s="30" t="s">
        <v>42</v>
      </c>
      <c r="B25" t="s">
        <v>73</v>
      </c>
      <c r="H25">
        <f aca="true" t="shared" si="3" ref="H25:S25">ROUND((+G23+H23)/2,0)</f>
        <v>749042</v>
      </c>
      <c r="I25">
        <f t="shared" si="3"/>
        <v>747132</v>
      </c>
      <c r="J25">
        <f t="shared" si="3"/>
        <v>745222</v>
      </c>
      <c r="K25">
        <f t="shared" si="3"/>
        <v>743312</v>
      </c>
      <c r="L25">
        <f t="shared" si="3"/>
        <v>741402</v>
      </c>
      <c r="M25">
        <f t="shared" si="3"/>
        <v>739492</v>
      </c>
      <c r="N25">
        <f t="shared" si="3"/>
        <v>737582</v>
      </c>
      <c r="O25">
        <f t="shared" si="3"/>
        <v>735672</v>
      </c>
      <c r="P25">
        <f t="shared" si="3"/>
        <v>733762</v>
      </c>
      <c r="Q25">
        <f t="shared" si="3"/>
        <v>731852</v>
      </c>
      <c r="R25">
        <f t="shared" si="3"/>
        <v>729942</v>
      </c>
      <c r="S25">
        <f t="shared" si="3"/>
        <v>728032</v>
      </c>
    </row>
    <row r="27" spans="1:2" ht="15">
      <c r="A27" s="30" t="s">
        <v>43</v>
      </c>
      <c r="B27" t="s">
        <v>74</v>
      </c>
    </row>
    <row r="28" spans="1:20" ht="15">
      <c r="A28" s="1"/>
      <c r="B28" s="1" t="s">
        <v>75</v>
      </c>
      <c r="C28" s="1"/>
      <c r="D28" s="1"/>
      <c r="E28" s="1"/>
      <c r="F28" s="1"/>
      <c r="G28" s="1"/>
      <c r="H28" s="1">
        <f aca="true" t="shared" si="4" ref="H28:S28">ROUND(+H25*(0.088238)/12,0)</f>
        <v>5508</v>
      </c>
      <c r="I28" s="1">
        <f t="shared" si="4"/>
        <v>5494</v>
      </c>
      <c r="J28" s="1">
        <f t="shared" si="4"/>
        <v>5480</v>
      </c>
      <c r="K28" s="1">
        <f t="shared" si="4"/>
        <v>5466</v>
      </c>
      <c r="L28" s="1">
        <f t="shared" si="4"/>
        <v>5452</v>
      </c>
      <c r="M28" s="1">
        <f t="shared" si="4"/>
        <v>5438</v>
      </c>
      <c r="N28" s="1">
        <f t="shared" si="4"/>
        <v>5424</v>
      </c>
      <c r="O28" s="1">
        <f t="shared" si="4"/>
        <v>5410</v>
      </c>
      <c r="P28" s="1">
        <f t="shared" si="4"/>
        <v>5395</v>
      </c>
      <c r="Q28" s="1">
        <f t="shared" si="4"/>
        <v>5381</v>
      </c>
      <c r="R28" s="1">
        <f t="shared" si="4"/>
        <v>5367</v>
      </c>
      <c r="S28" s="1">
        <f t="shared" si="4"/>
        <v>5353</v>
      </c>
      <c r="T28" s="5">
        <f>SUM(H28:S28)</f>
        <v>65168</v>
      </c>
    </row>
    <row r="29" spans="2:20" ht="15">
      <c r="B29" t="s">
        <v>76</v>
      </c>
      <c r="H29">
        <f aca="true" t="shared" si="5" ref="H29:S29">ROUND(+H25*(0.0282)/12,0)</f>
        <v>1760</v>
      </c>
      <c r="I29">
        <f t="shared" si="5"/>
        <v>1756</v>
      </c>
      <c r="J29">
        <f t="shared" si="5"/>
        <v>1751</v>
      </c>
      <c r="K29">
        <f t="shared" si="5"/>
        <v>1747</v>
      </c>
      <c r="L29">
        <f t="shared" si="5"/>
        <v>1742</v>
      </c>
      <c r="M29">
        <f t="shared" si="5"/>
        <v>1738</v>
      </c>
      <c r="N29">
        <f t="shared" si="5"/>
        <v>1733</v>
      </c>
      <c r="O29">
        <f t="shared" si="5"/>
        <v>1729</v>
      </c>
      <c r="P29">
        <f t="shared" si="5"/>
        <v>1724</v>
      </c>
      <c r="Q29">
        <f t="shared" si="5"/>
        <v>1720</v>
      </c>
      <c r="R29">
        <f t="shared" si="5"/>
        <v>1715</v>
      </c>
      <c r="S29">
        <f t="shared" si="5"/>
        <v>1711</v>
      </c>
      <c r="T29">
        <f>SUM(H29:S29)</f>
        <v>20826</v>
      </c>
    </row>
    <row r="31" spans="1:2" ht="15">
      <c r="A31" s="30" t="s">
        <v>44</v>
      </c>
      <c r="B31" t="s">
        <v>77</v>
      </c>
    </row>
    <row r="32" spans="2:20" ht="15">
      <c r="B32" t="s">
        <v>78</v>
      </c>
      <c r="H32">
        <f>depreciation!$D699</f>
        <v>1910</v>
      </c>
      <c r="I32">
        <f>depreciation!$D700</f>
        <v>1910</v>
      </c>
      <c r="J32">
        <f>depreciation!$D701</f>
        <v>1910</v>
      </c>
      <c r="K32">
        <f>depreciation!$D702</f>
        <v>1910</v>
      </c>
      <c r="L32">
        <f>depreciation!$D703</f>
        <v>1910</v>
      </c>
      <c r="M32">
        <f>depreciation!$D704</f>
        <v>1910</v>
      </c>
      <c r="N32">
        <f>depreciation!$D705</f>
        <v>1910</v>
      </c>
      <c r="O32">
        <f>depreciation!$D706</f>
        <v>1910</v>
      </c>
      <c r="P32">
        <f>depreciation!$D707</f>
        <v>1910</v>
      </c>
      <c r="Q32">
        <f>depreciation!$D708</f>
        <v>1910</v>
      </c>
      <c r="R32">
        <f>depreciation!$D709</f>
        <v>1910</v>
      </c>
      <c r="S32">
        <f>depreciation!$D710</f>
        <v>1910</v>
      </c>
      <c r="T32">
        <f>SUM(H32:S32)</f>
        <v>22920</v>
      </c>
    </row>
    <row r="33" spans="2:20" ht="15">
      <c r="B33" t="s">
        <v>79</v>
      </c>
      <c r="H33">
        <v>0</v>
      </c>
      <c r="I33">
        <v>0</v>
      </c>
      <c r="J33">
        <v>0</v>
      </c>
      <c r="K33">
        <v>0</v>
      </c>
      <c r="L33">
        <v>0</v>
      </c>
      <c r="M33">
        <v>0</v>
      </c>
      <c r="N33">
        <v>0</v>
      </c>
      <c r="O33">
        <v>0</v>
      </c>
      <c r="P33">
        <v>0</v>
      </c>
      <c r="Q33">
        <v>0</v>
      </c>
      <c r="R33">
        <v>0</v>
      </c>
      <c r="S33">
        <v>0</v>
      </c>
      <c r="T33">
        <f>SUM(H33:S33)</f>
        <v>0</v>
      </c>
    </row>
    <row r="34" spans="2:20" ht="15">
      <c r="B34" t="s">
        <v>80</v>
      </c>
      <c r="H34">
        <v>0</v>
      </c>
      <c r="I34">
        <v>0</v>
      </c>
      <c r="J34">
        <v>0</v>
      </c>
      <c r="K34">
        <v>0</v>
      </c>
      <c r="L34">
        <v>0</v>
      </c>
      <c r="M34">
        <v>0</v>
      </c>
      <c r="N34">
        <v>0</v>
      </c>
      <c r="O34">
        <v>0</v>
      </c>
      <c r="P34">
        <v>0</v>
      </c>
      <c r="Q34">
        <v>0</v>
      </c>
      <c r="R34">
        <v>0</v>
      </c>
      <c r="S34">
        <v>0</v>
      </c>
      <c r="T34">
        <f>SUM(H34:S34)</f>
        <v>0</v>
      </c>
    </row>
    <row r="35" spans="2:20" ht="15">
      <c r="B35" t="s">
        <v>81</v>
      </c>
      <c r="H35">
        <v>0</v>
      </c>
      <c r="I35">
        <v>0</v>
      </c>
      <c r="J35">
        <v>0</v>
      </c>
      <c r="K35">
        <v>0</v>
      </c>
      <c r="L35">
        <v>0</v>
      </c>
      <c r="M35">
        <v>0</v>
      </c>
      <c r="N35">
        <v>0</v>
      </c>
      <c r="O35">
        <v>0</v>
      </c>
      <c r="P35">
        <v>0</v>
      </c>
      <c r="Q35">
        <v>0</v>
      </c>
      <c r="R35">
        <v>0</v>
      </c>
      <c r="S35">
        <v>0</v>
      </c>
      <c r="T35">
        <f>SUM(H35:S35)</f>
        <v>0</v>
      </c>
    </row>
    <row r="36" spans="1:20" ht="15">
      <c r="A36" s="1"/>
      <c r="B36" s="1" t="s">
        <v>82</v>
      </c>
      <c r="C36" s="1"/>
      <c r="D36" s="1"/>
      <c r="E36" s="1"/>
      <c r="F36" s="1"/>
      <c r="G36" s="1"/>
      <c r="H36" s="6">
        <v>0</v>
      </c>
      <c r="I36" s="6">
        <v>0</v>
      </c>
      <c r="J36" s="6">
        <v>0</v>
      </c>
      <c r="K36" s="6">
        <v>0</v>
      </c>
      <c r="L36" s="6">
        <v>0</v>
      </c>
      <c r="M36" s="6">
        <v>0</v>
      </c>
      <c r="N36" s="6">
        <v>0</v>
      </c>
      <c r="O36" s="6">
        <v>0</v>
      </c>
      <c r="P36" s="6">
        <v>0</v>
      </c>
      <c r="Q36" s="6">
        <v>0</v>
      </c>
      <c r="R36" s="6">
        <v>0</v>
      </c>
      <c r="S36" s="6">
        <v>0</v>
      </c>
      <c r="T36" s="6">
        <f>SUM(H36:S36)</f>
        <v>0</v>
      </c>
    </row>
    <row r="38" spans="1:20" ht="15">
      <c r="A38" s="30" t="s">
        <v>45</v>
      </c>
      <c r="B38" t="s">
        <v>83</v>
      </c>
      <c r="H38">
        <f aca="true" t="shared" si="6" ref="H38:S38">ROUND(+H28+H29+H32+H33+H34+H35+H36,0)</f>
        <v>9178</v>
      </c>
      <c r="I38">
        <f t="shared" si="6"/>
        <v>9160</v>
      </c>
      <c r="J38">
        <f t="shared" si="6"/>
        <v>9141</v>
      </c>
      <c r="K38">
        <f t="shared" si="6"/>
        <v>9123</v>
      </c>
      <c r="L38">
        <f t="shared" si="6"/>
        <v>9104</v>
      </c>
      <c r="M38">
        <f t="shared" si="6"/>
        <v>9086</v>
      </c>
      <c r="N38">
        <f t="shared" si="6"/>
        <v>9067</v>
      </c>
      <c r="O38">
        <f t="shared" si="6"/>
        <v>9049</v>
      </c>
      <c r="P38">
        <f t="shared" si="6"/>
        <v>9029</v>
      </c>
      <c r="Q38">
        <f t="shared" si="6"/>
        <v>9011</v>
      </c>
      <c r="R38">
        <f t="shared" si="6"/>
        <v>8992</v>
      </c>
      <c r="S38">
        <f t="shared" si="6"/>
        <v>8974</v>
      </c>
      <c r="T38">
        <f>SUM(H38:S38)</f>
        <v>108914</v>
      </c>
    </row>
    <row r="39" spans="2:20" ht="15">
      <c r="B39" t="s">
        <v>84</v>
      </c>
      <c r="H39">
        <f>ROUND(+H38*0,0)</f>
        <v>0</v>
      </c>
      <c r="I39">
        <f aca="true" t="shared" si="7" ref="I39:S39">ROUND(+I38*0,0)</f>
        <v>0</v>
      </c>
      <c r="J39">
        <f t="shared" si="7"/>
        <v>0</v>
      </c>
      <c r="K39">
        <f t="shared" si="7"/>
        <v>0</v>
      </c>
      <c r="L39">
        <f t="shared" si="7"/>
        <v>0</v>
      </c>
      <c r="M39">
        <f t="shared" si="7"/>
        <v>0</v>
      </c>
      <c r="N39">
        <f t="shared" si="7"/>
        <v>0</v>
      </c>
      <c r="O39">
        <f t="shared" si="7"/>
        <v>0</v>
      </c>
      <c r="P39">
        <f t="shared" si="7"/>
        <v>0</v>
      </c>
      <c r="Q39">
        <f t="shared" si="7"/>
        <v>0</v>
      </c>
      <c r="R39">
        <f t="shared" si="7"/>
        <v>0</v>
      </c>
      <c r="S39">
        <f t="shared" si="7"/>
        <v>0</v>
      </c>
      <c r="T39">
        <f>SUM(H39:S39)</f>
        <v>0</v>
      </c>
    </row>
    <row r="40" spans="2:20" ht="15">
      <c r="B40" t="s">
        <v>85</v>
      </c>
      <c r="H40">
        <f>ROUND(+H38*1,0)</f>
        <v>9178</v>
      </c>
      <c r="I40">
        <f aca="true" t="shared" si="8" ref="I40:S40">ROUND(+I38*1,0)</f>
        <v>9160</v>
      </c>
      <c r="J40">
        <f t="shared" si="8"/>
        <v>9141</v>
      </c>
      <c r="K40">
        <f t="shared" si="8"/>
        <v>9123</v>
      </c>
      <c r="L40">
        <f t="shared" si="8"/>
        <v>9104</v>
      </c>
      <c r="M40">
        <f t="shared" si="8"/>
        <v>9086</v>
      </c>
      <c r="N40">
        <f t="shared" si="8"/>
        <v>9067</v>
      </c>
      <c r="O40">
        <f t="shared" si="8"/>
        <v>9049</v>
      </c>
      <c r="P40">
        <f t="shared" si="8"/>
        <v>9029</v>
      </c>
      <c r="Q40">
        <f t="shared" si="8"/>
        <v>9011</v>
      </c>
      <c r="R40">
        <f t="shared" si="8"/>
        <v>8992</v>
      </c>
      <c r="S40">
        <f t="shared" si="8"/>
        <v>8974</v>
      </c>
      <c r="T40">
        <f>SUM(H40:S40)</f>
        <v>108914</v>
      </c>
    </row>
    <row r="42" spans="1:20" ht="15">
      <c r="A42" s="31" t="s">
        <v>86</v>
      </c>
      <c r="B42" s="1" t="s">
        <v>87</v>
      </c>
      <c r="C42" s="1"/>
      <c r="D42" s="1"/>
      <c r="E42" s="1"/>
      <c r="F42" s="1"/>
      <c r="G42" s="24"/>
      <c r="H42" s="24">
        <f>'Form 42 5A'!H53</f>
        <v>0</v>
      </c>
      <c r="I42" s="24">
        <f>'Form 42 5A'!I53</f>
        <v>0</v>
      </c>
      <c r="J42" s="24">
        <f>'Form 42 5A'!J53</f>
        <v>0</v>
      </c>
      <c r="K42" s="24">
        <f>'Form 42 5A'!K53</f>
        <v>0</v>
      </c>
      <c r="L42" s="24">
        <f>'Form 42 5A'!L53</f>
        <v>0</v>
      </c>
      <c r="M42" s="24">
        <f>'Form 42 5A'!M53</f>
        <v>0</v>
      </c>
      <c r="N42" s="24">
        <f>'Form 42 5A'!N53</f>
        <v>0</v>
      </c>
      <c r="O42" s="24">
        <f>'Form 42 5A'!O53</f>
        <v>0</v>
      </c>
      <c r="P42" s="24">
        <f>'Form 42 5A'!P53</f>
        <v>0</v>
      </c>
      <c r="Q42" s="24">
        <f>'Form 42 5A'!Q53</f>
        <v>0</v>
      </c>
      <c r="R42" s="24">
        <f>'Form 42 5A'!R53</f>
        <v>0</v>
      </c>
      <c r="S42" s="24">
        <f>'Form 42 5A'!S53</f>
        <v>0</v>
      </c>
      <c r="T42" s="24"/>
    </row>
    <row r="43" spans="1:20" ht="15">
      <c r="A43" s="31" t="s">
        <v>88</v>
      </c>
      <c r="B43" s="1" t="s">
        <v>89</v>
      </c>
      <c r="C43" s="1"/>
      <c r="D43" s="1"/>
      <c r="E43" s="1"/>
      <c r="F43" s="1"/>
      <c r="G43" s="24"/>
      <c r="H43" s="24">
        <f>+'Form 42 5A'!H54</f>
        <v>0</v>
      </c>
      <c r="I43" s="24">
        <f>+'Form 42 5A'!I54</f>
        <v>0</v>
      </c>
      <c r="J43" s="24">
        <f>+'Form 42 5A'!J54</f>
        <v>0</v>
      </c>
      <c r="K43" s="24">
        <f>+'Form 42 5A'!K54</f>
        <v>0</v>
      </c>
      <c r="L43" s="24">
        <f>+'Form 42 5A'!L54</f>
        <v>0</v>
      </c>
      <c r="M43" s="24">
        <f>+'Form 42 5A'!M54</f>
        <v>0</v>
      </c>
      <c r="N43" s="24">
        <f>+'Form 42 5A'!N54</f>
        <v>0</v>
      </c>
      <c r="O43" s="24">
        <f>+'Form 42 5A'!O54</f>
        <v>0</v>
      </c>
      <c r="P43" s="24">
        <f>+'Form 42 5A'!P54</f>
        <v>0</v>
      </c>
      <c r="Q43" s="24">
        <f>+'Form 42 5A'!Q54</f>
        <v>0</v>
      </c>
      <c r="R43" s="24">
        <f>+'Form 42 5A'!R54</f>
        <v>0</v>
      </c>
      <c r="S43" s="24">
        <f>+'Form 42 5A'!S54</f>
        <v>0</v>
      </c>
      <c r="T43" s="24"/>
    </row>
    <row r="45" spans="1:20" ht="15">
      <c r="A45" s="30" t="s">
        <v>90</v>
      </c>
      <c r="B45" t="s">
        <v>91</v>
      </c>
      <c r="H45">
        <f aca="true" t="shared" si="9" ref="H45:S46">ROUND((+H39*H42),0)</f>
        <v>0</v>
      </c>
      <c r="I45">
        <f t="shared" si="9"/>
        <v>0</v>
      </c>
      <c r="J45">
        <f t="shared" si="9"/>
        <v>0</v>
      </c>
      <c r="K45">
        <f t="shared" si="9"/>
        <v>0</v>
      </c>
      <c r="L45">
        <f t="shared" si="9"/>
        <v>0</v>
      </c>
      <c r="M45">
        <f t="shared" si="9"/>
        <v>0</v>
      </c>
      <c r="N45">
        <f t="shared" si="9"/>
        <v>0</v>
      </c>
      <c r="O45">
        <f t="shared" si="9"/>
        <v>0</v>
      </c>
      <c r="P45">
        <f t="shared" si="9"/>
        <v>0</v>
      </c>
      <c r="Q45">
        <f t="shared" si="9"/>
        <v>0</v>
      </c>
      <c r="R45">
        <f t="shared" si="9"/>
        <v>0</v>
      </c>
      <c r="S45">
        <f t="shared" si="9"/>
        <v>0</v>
      </c>
      <c r="T45">
        <f>SUM(H45:S45)</f>
        <v>0</v>
      </c>
    </row>
    <row r="46" spans="1:20" ht="15">
      <c r="A46" s="31" t="s">
        <v>92</v>
      </c>
      <c r="B46" s="1" t="s">
        <v>93</v>
      </c>
      <c r="C46" s="1"/>
      <c r="D46" s="1"/>
      <c r="E46" s="1"/>
      <c r="F46" s="1"/>
      <c r="G46" s="1"/>
      <c r="H46" s="6">
        <f t="shared" si="9"/>
        <v>0</v>
      </c>
      <c r="I46" s="6">
        <f t="shared" si="9"/>
        <v>0</v>
      </c>
      <c r="J46" s="6">
        <f t="shared" si="9"/>
        <v>0</v>
      </c>
      <c r="K46" s="6">
        <f t="shared" si="9"/>
        <v>0</v>
      </c>
      <c r="L46" s="6">
        <f t="shared" si="9"/>
        <v>0</v>
      </c>
      <c r="M46" s="6">
        <f t="shared" si="9"/>
        <v>0</v>
      </c>
      <c r="N46" s="6">
        <f t="shared" si="9"/>
        <v>0</v>
      </c>
      <c r="O46" s="6">
        <f t="shared" si="9"/>
        <v>0</v>
      </c>
      <c r="P46" s="6">
        <f t="shared" si="9"/>
        <v>0</v>
      </c>
      <c r="Q46" s="6">
        <f t="shared" si="9"/>
        <v>0</v>
      </c>
      <c r="R46" s="6">
        <f t="shared" si="9"/>
        <v>0</v>
      </c>
      <c r="S46" s="6">
        <f t="shared" si="9"/>
        <v>0</v>
      </c>
      <c r="T46" s="6">
        <f>SUM(H46:S46)</f>
        <v>0</v>
      </c>
    </row>
    <row r="47" spans="1:20" ht="15.75" thickBot="1">
      <c r="A47" s="31" t="s">
        <v>94</v>
      </c>
      <c r="B47" s="1" t="s">
        <v>95</v>
      </c>
      <c r="C47" s="1"/>
      <c r="D47" s="1"/>
      <c r="E47" s="1"/>
      <c r="F47" s="1"/>
      <c r="G47" s="1"/>
      <c r="H47" s="7">
        <f aca="true" t="shared" si="10" ref="H47:S47">H45+H46</f>
        <v>0</v>
      </c>
      <c r="I47" s="7">
        <f t="shared" si="10"/>
        <v>0</v>
      </c>
      <c r="J47" s="7">
        <f t="shared" si="10"/>
        <v>0</v>
      </c>
      <c r="K47" s="7">
        <f t="shared" si="10"/>
        <v>0</v>
      </c>
      <c r="L47" s="7">
        <f t="shared" si="10"/>
        <v>0</v>
      </c>
      <c r="M47" s="7">
        <f t="shared" si="10"/>
        <v>0</v>
      </c>
      <c r="N47" s="7">
        <f t="shared" si="10"/>
        <v>0</v>
      </c>
      <c r="O47" s="7">
        <f t="shared" si="10"/>
        <v>0</v>
      </c>
      <c r="P47" s="7">
        <f t="shared" si="10"/>
        <v>0</v>
      </c>
      <c r="Q47" s="7">
        <f t="shared" si="10"/>
        <v>0</v>
      </c>
      <c r="R47" s="7">
        <f t="shared" si="10"/>
        <v>0</v>
      </c>
      <c r="S47" s="7">
        <f t="shared" si="10"/>
        <v>0</v>
      </c>
      <c r="T47" s="7">
        <f>SUM(T45:T46)</f>
        <v>0</v>
      </c>
    </row>
    <row r="49" ht="15">
      <c r="A49" s="30" t="s">
        <v>31</v>
      </c>
    </row>
    <row r="50" spans="1:2" ht="15">
      <c r="A50" s="30" t="s">
        <v>96</v>
      </c>
      <c r="B50" t="s">
        <v>97</v>
      </c>
    </row>
    <row r="51" spans="1:2" ht="15">
      <c r="A51" s="30" t="s">
        <v>98</v>
      </c>
      <c r="B51" t="s">
        <v>99</v>
      </c>
    </row>
    <row r="52" spans="1:2" ht="15">
      <c r="A52" s="30" t="s">
        <v>100</v>
      </c>
      <c r="B52" t="s">
        <v>101</v>
      </c>
    </row>
  </sheetData>
  <printOptions/>
  <pageMargins left="0" right="0" top="1" bottom="1" header="0.5" footer="0.5"/>
  <pageSetup horizontalDpi="300" verticalDpi="300" orientation="landscape" scale="43" r:id="rId1"/>
</worksheet>
</file>

<file path=xl/worksheets/sheet22.xml><?xml version="1.0" encoding="utf-8"?>
<worksheet xmlns="http://schemas.openxmlformats.org/spreadsheetml/2006/main" xmlns:r="http://schemas.openxmlformats.org/officeDocument/2006/relationships">
  <sheetPr codeName="Sheet21"/>
  <dimension ref="A1:T52"/>
  <sheetViews>
    <sheetView zoomScale="75" zoomScaleNormal="75" workbookViewId="0" topLeftCell="A1">
      <selection activeCell="A7" sqref="A7"/>
    </sheetView>
  </sheetViews>
  <sheetFormatPr defaultColWidth="9.77734375" defaultRowHeight="15"/>
  <cols>
    <col min="7" max="12" width="12.77734375" style="0" customWidth="1"/>
    <col min="13" max="16" width="14.3359375" style="0" customWidth="1"/>
    <col min="17" max="21" width="12.77734375" style="0" customWidth="1"/>
  </cols>
  <sheetData>
    <row r="1" spans="1:20" ht="15.75">
      <c r="A1" s="8" t="s">
        <v>438</v>
      </c>
      <c r="B1" s="2"/>
      <c r="C1" s="2"/>
      <c r="D1" s="2"/>
      <c r="E1" s="2"/>
      <c r="F1" s="2"/>
      <c r="G1" s="2"/>
      <c r="H1" s="2"/>
      <c r="I1" s="2"/>
      <c r="J1" s="2"/>
      <c r="K1" s="2"/>
      <c r="L1" s="2"/>
      <c r="T1" s="30" t="s">
        <v>442</v>
      </c>
    </row>
    <row r="2" spans="1:20" ht="15">
      <c r="A2" s="2" t="s">
        <v>0</v>
      </c>
      <c r="B2" s="2"/>
      <c r="C2" s="2"/>
      <c r="D2" s="2"/>
      <c r="E2" s="2"/>
      <c r="F2" s="2"/>
      <c r="G2" s="2"/>
      <c r="H2" s="2"/>
      <c r="I2" s="2"/>
      <c r="J2" s="2"/>
      <c r="K2" s="2"/>
      <c r="L2" s="2"/>
      <c r="T2" s="30" t="s">
        <v>404</v>
      </c>
    </row>
    <row r="3" spans="1:12" ht="15">
      <c r="A3" s="2" t="s">
        <v>494</v>
      </c>
      <c r="B3" s="9"/>
      <c r="C3" s="9"/>
      <c r="D3" s="9"/>
      <c r="E3" s="9"/>
      <c r="F3" s="9"/>
      <c r="G3" s="9"/>
      <c r="H3" s="9"/>
      <c r="I3" s="2"/>
      <c r="J3" s="2"/>
      <c r="K3" s="2"/>
      <c r="L3" s="2"/>
    </row>
    <row r="4" spans="1:12" ht="15.75">
      <c r="A4" s="11" t="str">
        <f>'Form 42 2A'!A4</f>
        <v>January 2003 through December 2003</v>
      </c>
      <c r="B4" s="2"/>
      <c r="C4" s="2"/>
      <c r="D4" s="2"/>
      <c r="E4" s="2"/>
      <c r="F4" s="2"/>
      <c r="G4" s="2"/>
      <c r="H4" s="2"/>
      <c r="I4" s="2"/>
      <c r="J4" s="2"/>
      <c r="K4" s="2"/>
      <c r="L4" s="2"/>
    </row>
    <row r="5" spans="1:12" ht="15.75">
      <c r="A5" s="3" t="s">
        <v>1</v>
      </c>
      <c r="B5" s="2"/>
      <c r="C5" s="2"/>
      <c r="D5" s="2"/>
      <c r="E5" s="2"/>
      <c r="F5" s="2"/>
      <c r="G5" s="2"/>
      <c r="H5" s="2"/>
      <c r="I5" s="2"/>
      <c r="J5" s="2"/>
      <c r="K5" s="2"/>
      <c r="L5" s="2"/>
    </row>
    <row r="6" spans="1:12" ht="15">
      <c r="A6" s="2" t="s">
        <v>59</v>
      </c>
      <c r="B6" s="2"/>
      <c r="C6" s="2"/>
      <c r="D6" s="2"/>
      <c r="E6" s="2"/>
      <c r="F6" s="2"/>
      <c r="G6" s="2"/>
      <c r="H6" s="2"/>
      <c r="I6" s="2"/>
      <c r="J6" s="2"/>
      <c r="K6" s="2"/>
      <c r="L6" s="2"/>
    </row>
    <row r="7" spans="1:12" ht="15">
      <c r="A7" s="57" t="s">
        <v>489</v>
      </c>
      <c r="B7" s="2"/>
      <c r="C7" s="2"/>
      <c r="D7" s="2"/>
      <c r="E7" s="2"/>
      <c r="F7" s="2"/>
      <c r="G7" s="2"/>
      <c r="H7" s="2"/>
      <c r="I7" s="2"/>
      <c r="J7" s="2"/>
      <c r="K7" s="2"/>
      <c r="L7" s="2"/>
    </row>
    <row r="8" spans="1:12" ht="15">
      <c r="A8" s="2" t="s">
        <v>5</v>
      </c>
      <c r="B8" s="2"/>
      <c r="C8" s="2"/>
      <c r="D8" s="2"/>
      <c r="E8" s="2"/>
      <c r="F8" s="2"/>
      <c r="G8" s="2"/>
      <c r="H8" s="2"/>
      <c r="I8" s="2"/>
      <c r="J8" s="2"/>
      <c r="K8" s="2"/>
      <c r="L8" s="2"/>
    </row>
    <row r="9" ht="15">
      <c r="A9" s="47" t="s">
        <v>278</v>
      </c>
    </row>
    <row r="10" spans="1:20" ht="15">
      <c r="A10" s="2"/>
      <c r="T10" s="29" t="s">
        <v>60</v>
      </c>
    </row>
    <row r="11" spans="7:20" ht="15">
      <c r="G11" s="29" t="s">
        <v>61</v>
      </c>
      <c r="T11" s="29" t="s">
        <v>2</v>
      </c>
    </row>
    <row r="12" spans="1:20" ht="15.75" thickBot="1">
      <c r="A12" s="25" t="s">
        <v>3</v>
      </c>
      <c r="B12" s="2"/>
      <c r="C12" s="25" t="s">
        <v>62</v>
      </c>
      <c r="E12" s="2"/>
      <c r="F12" s="2"/>
      <c r="G12" s="19" t="s">
        <v>63</v>
      </c>
      <c r="H12" s="68" t="str">
        <f>'Form 42 2A'!H10</f>
        <v>January 03</v>
      </c>
      <c r="I12" s="68" t="str">
        <f>'Form 42 2A'!I10</f>
        <v>February 03</v>
      </c>
      <c r="J12" s="68" t="str">
        <f>'Form 42 2A'!J10</f>
        <v>March 03</v>
      </c>
      <c r="K12" s="68" t="str">
        <f>'Form 42 2A'!K10</f>
        <v>April 03</v>
      </c>
      <c r="L12" s="68" t="str">
        <f>'Form 42 2A'!L10</f>
        <v>May 03</v>
      </c>
      <c r="M12" s="68" t="str">
        <f>'Form 42 2A'!M10</f>
        <v>June 03</v>
      </c>
      <c r="N12" s="68" t="str">
        <f>'Form 42 2A'!N10</f>
        <v>July 03</v>
      </c>
      <c r="O12" s="68" t="str">
        <f>'Form 42 2A'!O10</f>
        <v>August 03</v>
      </c>
      <c r="P12" s="68" t="str">
        <f>'Form 42 2A'!P10</f>
        <v>September 03</v>
      </c>
      <c r="Q12" s="68" t="str">
        <f>'Form 42 2A'!Q10</f>
        <v>October 03</v>
      </c>
      <c r="R12" s="68" t="str">
        <f>'Form 42 2A'!R10</f>
        <v>November 03</v>
      </c>
      <c r="S12" s="68" t="str">
        <f>'Form 42 2A'!S10</f>
        <v>December 03</v>
      </c>
      <c r="T12" s="19" t="s">
        <v>8</v>
      </c>
    </row>
    <row r="14" spans="1:9" ht="15">
      <c r="A14" s="30" t="s">
        <v>35</v>
      </c>
      <c r="B14" t="s">
        <v>64</v>
      </c>
      <c r="I14" s="39"/>
    </row>
    <row r="15" spans="1:19" ht="15">
      <c r="A15" s="1"/>
      <c r="B15" s="1" t="s">
        <v>65</v>
      </c>
      <c r="C15" s="1"/>
      <c r="D15" s="1"/>
      <c r="E15" s="1"/>
      <c r="F15" s="1"/>
      <c r="G15" s="1"/>
      <c r="H15" s="5">
        <v>0</v>
      </c>
      <c r="I15" s="5">
        <v>0</v>
      </c>
      <c r="J15" s="5">
        <v>0</v>
      </c>
      <c r="K15" s="5">
        <v>0</v>
      </c>
      <c r="L15" s="5">
        <v>0</v>
      </c>
      <c r="M15" s="5">
        <v>0</v>
      </c>
      <c r="N15" s="5">
        <v>0</v>
      </c>
      <c r="O15" s="5">
        <v>0</v>
      </c>
      <c r="P15" s="5">
        <v>0</v>
      </c>
      <c r="Q15" s="5">
        <v>0</v>
      </c>
      <c r="R15" s="5">
        <v>0</v>
      </c>
      <c r="S15" s="5">
        <v>0</v>
      </c>
    </row>
    <row r="16" spans="2:19" ht="15">
      <c r="B16" t="s">
        <v>66</v>
      </c>
      <c r="H16">
        <v>0</v>
      </c>
      <c r="I16">
        <v>0</v>
      </c>
      <c r="J16">
        <v>0</v>
      </c>
      <c r="K16">
        <v>0</v>
      </c>
      <c r="L16">
        <v>0</v>
      </c>
      <c r="M16">
        <v>0</v>
      </c>
      <c r="N16">
        <v>0</v>
      </c>
      <c r="O16">
        <v>0</v>
      </c>
      <c r="P16">
        <v>0</v>
      </c>
      <c r="Q16">
        <v>0</v>
      </c>
      <c r="R16">
        <v>0</v>
      </c>
      <c r="S16">
        <v>0</v>
      </c>
    </row>
    <row r="17" spans="2:19" ht="15">
      <c r="B17" t="s">
        <v>67</v>
      </c>
      <c r="H17">
        <v>0</v>
      </c>
      <c r="I17">
        <v>0</v>
      </c>
      <c r="J17">
        <v>0</v>
      </c>
      <c r="K17">
        <v>0</v>
      </c>
      <c r="L17">
        <v>0</v>
      </c>
      <c r="M17">
        <v>0</v>
      </c>
      <c r="N17">
        <v>0</v>
      </c>
      <c r="O17">
        <v>0</v>
      </c>
      <c r="P17">
        <v>0</v>
      </c>
      <c r="Q17">
        <v>0</v>
      </c>
      <c r="R17">
        <v>0</v>
      </c>
      <c r="S17">
        <v>0</v>
      </c>
    </row>
    <row r="18" spans="2:19" ht="15">
      <c r="B18" t="s">
        <v>68</v>
      </c>
      <c r="H18">
        <v>0</v>
      </c>
      <c r="I18">
        <v>0</v>
      </c>
      <c r="J18">
        <v>0</v>
      </c>
      <c r="K18">
        <v>0</v>
      </c>
      <c r="L18">
        <v>0</v>
      </c>
      <c r="M18">
        <v>0</v>
      </c>
      <c r="N18">
        <v>0</v>
      </c>
      <c r="O18">
        <v>0</v>
      </c>
      <c r="P18">
        <v>0</v>
      </c>
      <c r="Q18">
        <v>0</v>
      </c>
      <c r="R18">
        <v>0</v>
      </c>
      <c r="S18">
        <v>0</v>
      </c>
    </row>
    <row r="20" spans="1:19" ht="15">
      <c r="A20" s="31" t="s">
        <v>36</v>
      </c>
      <c r="B20" s="1" t="s">
        <v>69</v>
      </c>
      <c r="C20" s="1"/>
      <c r="D20" s="1"/>
      <c r="E20" s="1"/>
      <c r="F20" s="1"/>
      <c r="G20" s="5">
        <f>+depreciation!B758</f>
        <v>57277</v>
      </c>
      <c r="H20">
        <f>+G20+H15</f>
        <v>57277</v>
      </c>
      <c r="I20">
        <f aca="true" t="shared" si="0" ref="I20:S20">+H20+I15</f>
        <v>57277</v>
      </c>
      <c r="J20">
        <f t="shared" si="0"/>
        <v>57277</v>
      </c>
      <c r="K20">
        <f t="shared" si="0"/>
        <v>57277</v>
      </c>
      <c r="L20">
        <f t="shared" si="0"/>
        <v>57277</v>
      </c>
      <c r="M20">
        <f t="shared" si="0"/>
        <v>57277</v>
      </c>
      <c r="N20">
        <f t="shared" si="0"/>
        <v>57277</v>
      </c>
      <c r="O20">
        <f t="shared" si="0"/>
        <v>57277</v>
      </c>
      <c r="P20">
        <f t="shared" si="0"/>
        <v>57277</v>
      </c>
      <c r="Q20">
        <f t="shared" si="0"/>
        <v>57277</v>
      </c>
      <c r="R20">
        <f t="shared" si="0"/>
        <v>57277</v>
      </c>
      <c r="S20">
        <f t="shared" si="0"/>
        <v>57277</v>
      </c>
    </row>
    <row r="21" spans="1:19" ht="15">
      <c r="A21" s="30" t="s">
        <v>38</v>
      </c>
      <c r="B21" t="s">
        <v>70</v>
      </c>
      <c r="G21">
        <f>-depreciation!E758</f>
        <v>-7128</v>
      </c>
      <c r="H21">
        <f>-H32+G21</f>
        <v>-7328</v>
      </c>
      <c r="I21">
        <f aca="true" t="shared" si="1" ref="I21:S21">-I32+H21</f>
        <v>-7528</v>
      </c>
      <c r="J21">
        <f t="shared" si="1"/>
        <v>-7728</v>
      </c>
      <c r="K21">
        <f t="shared" si="1"/>
        <v>-7928</v>
      </c>
      <c r="L21">
        <f t="shared" si="1"/>
        <v>-8128</v>
      </c>
      <c r="M21">
        <f t="shared" si="1"/>
        <v>-8328</v>
      </c>
      <c r="N21">
        <f t="shared" si="1"/>
        <v>-8528</v>
      </c>
      <c r="O21">
        <f t="shared" si="1"/>
        <v>-8728</v>
      </c>
      <c r="P21">
        <f t="shared" si="1"/>
        <v>-8928</v>
      </c>
      <c r="Q21">
        <f t="shared" si="1"/>
        <v>-9128</v>
      </c>
      <c r="R21">
        <f t="shared" si="1"/>
        <v>-9328</v>
      </c>
      <c r="S21">
        <f t="shared" si="1"/>
        <v>-9528</v>
      </c>
    </row>
    <row r="22" spans="1:19" ht="15">
      <c r="A22" s="31" t="s">
        <v>39</v>
      </c>
      <c r="B22" s="1" t="s">
        <v>71</v>
      </c>
      <c r="C22" s="1"/>
      <c r="D22" s="1"/>
      <c r="E22" s="1"/>
      <c r="F22" s="1"/>
      <c r="G22" s="6">
        <v>0</v>
      </c>
      <c r="H22" s="6">
        <v>0</v>
      </c>
      <c r="I22" s="6">
        <v>0</v>
      </c>
      <c r="J22" s="6">
        <v>0</v>
      </c>
      <c r="K22" s="6">
        <v>0</v>
      </c>
      <c r="L22" s="6">
        <v>0</v>
      </c>
      <c r="M22" s="6">
        <v>0</v>
      </c>
      <c r="N22" s="6">
        <v>0</v>
      </c>
      <c r="O22" s="6">
        <v>0</v>
      </c>
      <c r="P22" s="6">
        <v>0</v>
      </c>
      <c r="Q22" s="6">
        <v>0</v>
      </c>
      <c r="R22" s="6">
        <f>+R15+Q22</f>
        <v>0</v>
      </c>
      <c r="S22" s="6">
        <v>0</v>
      </c>
    </row>
    <row r="23" spans="1:19" ht="15">
      <c r="A23" s="31" t="s">
        <v>40</v>
      </c>
      <c r="B23" s="1" t="s">
        <v>72</v>
      </c>
      <c r="C23" s="1"/>
      <c r="D23" s="1"/>
      <c r="E23" s="1"/>
      <c r="F23" s="1"/>
      <c r="G23" s="26">
        <f aca="true" t="shared" si="2" ref="G23:S23">G20+G21+G22</f>
        <v>50149</v>
      </c>
      <c r="H23" s="17">
        <f t="shared" si="2"/>
        <v>49949</v>
      </c>
      <c r="I23" s="17">
        <f t="shared" si="2"/>
        <v>49749</v>
      </c>
      <c r="J23" s="17">
        <f t="shared" si="2"/>
        <v>49549</v>
      </c>
      <c r="K23" s="17">
        <f t="shared" si="2"/>
        <v>49349</v>
      </c>
      <c r="L23" s="17">
        <f t="shared" si="2"/>
        <v>49149</v>
      </c>
      <c r="M23" s="17">
        <f t="shared" si="2"/>
        <v>48949</v>
      </c>
      <c r="N23" s="17">
        <f t="shared" si="2"/>
        <v>48749</v>
      </c>
      <c r="O23" s="17">
        <f t="shared" si="2"/>
        <v>48549</v>
      </c>
      <c r="P23" s="17">
        <f t="shared" si="2"/>
        <v>48349</v>
      </c>
      <c r="Q23" s="17">
        <f t="shared" si="2"/>
        <v>48149</v>
      </c>
      <c r="R23" s="17">
        <f t="shared" si="2"/>
        <v>47949</v>
      </c>
      <c r="S23" s="17">
        <f t="shared" si="2"/>
        <v>47749</v>
      </c>
    </row>
    <row r="25" spans="1:19" ht="15">
      <c r="A25" s="30" t="s">
        <v>42</v>
      </c>
      <c r="B25" t="s">
        <v>73</v>
      </c>
      <c r="H25">
        <f aca="true" t="shared" si="3" ref="H25:S25">ROUND((+G23+H23)/2,0)</f>
        <v>50049</v>
      </c>
      <c r="I25">
        <f t="shared" si="3"/>
        <v>49849</v>
      </c>
      <c r="J25">
        <f t="shared" si="3"/>
        <v>49649</v>
      </c>
      <c r="K25">
        <f t="shared" si="3"/>
        <v>49449</v>
      </c>
      <c r="L25">
        <f t="shared" si="3"/>
        <v>49249</v>
      </c>
      <c r="M25">
        <f t="shared" si="3"/>
        <v>49049</v>
      </c>
      <c r="N25">
        <f t="shared" si="3"/>
        <v>48849</v>
      </c>
      <c r="O25">
        <f t="shared" si="3"/>
        <v>48649</v>
      </c>
      <c r="P25">
        <f t="shared" si="3"/>
        <v>48449</v>
      </c>
      <c r="Q25">
        <f t="shared" si="3"/>
        <v>48249</v>
      </c>
      <c r="R25">
        <f t="shared" si="3"/>
        <v>48049</v>
      </c>
      <c r="S25">
        <f t="shared" si="3"/>
        <v>47849</v>
      </c>
    </row>
    <row r="27" spans="1:2" ht="15">
      <c r="A27" s="30" t="s">
        <v>43</v>
      </c>
      <c r="B27" t="s">
        <v>74</v>
      </c>
    </row>
    <row r="28" spans="1:20" ht="15">
      <c r="A28" s="1"/>
      <c r="B28" s="1" t="s">
        <v>75</v>
      </c>
      <c r="C28" s="1"/>
      <c r="D28" s="1"/>
      <c r="E28" s="1"/>
      <c r="F28" s="1"/>
      <c r="G28" s="1"/>
      <c r="H28" s="1">
        <f aca="true" t="shared" si="4" ref="H28:S28">ROUND(+H25*(0.088238)/12,0)</f>
        <v>368</v>
      </c>
      <c r="I28" s="1">
        <f t="shared" si="4"/>
        <v>367</v>
      </c>
      <c r="J28" s="1">
        <f t="shared" si="4"/>
        <v>365</v>
      </c>
      <c r="K28" s="1">
        <f t="shared" si="4"/>
        <v>364</v>
      </c>
      <c r="L28" s="1">
        <f t="shared" si="4"/>
        <v>362</v>
      </c>
      <c r="M28" s="1">
        <f t="shared" si="4"/>
        <v>361</v>
      </c>
      <c r="N28" s="1">
        <f t="shared" si="4"/>
        <v>359</v>
      </c>
      <c r="O28" s="1">
        <f t="shared" si="4"/>
        <v>358</v>
      </c>
      <c r="P28" s="1">
        <f t="shared" si="4"/>
        <v>356</v>
      </c>
      <c r="Q28" s="1">
        <f t="shared" si="4"/>
        <v>355</v>
      </c>
      <c r="R28" s="1">
        <f t="shared" si="4"/>
        <v>353</v>
      </c>
      <c r="S28" s="1">
        <f t="shared" si="4"/>
        <v>352</v>
      </c>
      <c r="T28" s="5">
        <f>SUM(H28:S28)</f>
        <v>4320</v>
      </c>
    </row>
    <row r="29" spans="2:20" ht="15">
      <c r="B29" t="s">
        <v>76</v>
      </c>
      <c r="H29">
        <f aca="true" t="shared" si="5" ref="H29:S29">ROUND(+H25*(0.0282)/12,0)</f>
        <v>118</v>
      </c>
      <c r="I29">
        <f t="shared" si="5"/>
        <v>117</v>
      </c>
      <c r="J29">
        <f t="shared" si="5"/>
        <v>117</v>
      </c>
      <c r="K29">
        <f t="shared" si="5"/>
        <v>116</v>
      </c>
      <c r="L29">
        <f t="shared" si="5"/>
        <v>116</v>
      </c>
      <c r="M29">
        <f t="shared" si="5"/>
        <v>115</v>
      </c>
      <c r="N29">
        <f t="shared" si="5"/>
        <v>115</v>
      </c>
      <c r="O29">
        <f t="shared" si="5"/>
        <v>114</v>
      </c>
      <c r="P29">
        <f t="shared" si="5"/>
        <v>114</v>
      </c>
      <c r="Q29">
        <f t="shared" si="5"/>
        <v>113</v>
      </c>
      <c r="R29">
        <f t="shared" si="5"/>
        <v>113</v>
      </c>
      <c r="S29">
        <f t="shared" si="5"/>
        <v>112</v>
      </c>
      <c r="T29">
        <f>SUM(H29:S29)</f>
        <v>1380</v>
      </c>
    </row>
    <row r="31" spans="1:2" ht="15">
      <c r="A31" s="30" t="s">
        <v>44</v>
      </c>
      <c r="B31" t="s">
        <v>77</v>
      </c>
    </row>
    <row r="32" spans="2:20" ht="15">
      <c r="B32" t="s">
        <v>78</v>
      </c>
      <c r="H32">
        <f>depreciation!$D760</f>
        <v>200</v>
      </c>
      <c r="I32">
        <f>depreciation!$D761</f>
        <v>200</v>
      </c>
      <c r="J32">
        <f>depreciation!$D762</f>
        <v>200</v>
      </c>
      <c r="K32">
        <f>depreciation!$D763</f>
        <v>200</v>
      </c>
      <c r="L32">
        <f>depreciation!$D764</f>
        <v>200</v>
      </c>
      <c r="M32">
        <f>depreciation!$D765</f>
        <v>200</v>
      </c>
      <c r="N32">
        <f>depreciation!$D766</f>
        <v>200</v>
      </c>
      <c r="O32">
        <f>depreciation!$D767</f>
        <v>200</v>
      </c>
      <c r="P32">
        <f>depreciation!$D768</f>
        <v>200</v>
      </c>
      <c r="Q32">
        <f>depreciation!$D769</f>
        <v>200</v>
      </c>
      <c r="R32">
        <f>depreciation!$D770</f>
        <v>200</v>
      </c>
      <c r="S32">
        <f>depreciation!$D771</f>
        <v>200</v>
      </c>
      <c r="T32">
        <f>SUM(H32:S32)</f>
        <v>2400</v>
      </c>
    </row>
    <row r="33" spans="2:20" ht="15">
      <c r="B33" t="s">
        <v>79</v>
      </c>
      <c r="H33">
        <v>0</v>
      </c>
      <c r="I33">
        <v>0</v>
      </c>
      <c r="J33">
        <v>0</v>
      </c>
      <c r="K33">
        <v>0</v>
      </c>
      <c r="L33">
        <v>0</v>
      </c>
      <c r="M33">
        <v>0</v>
      </c>
      <c r="N33">
        <v>0</v>
      </c>
      <c r="O33">
        <v>0</v>
      </c>
      <c r="P33">
        <v>0</v>
      </c>
      <c r="Q33">
        <v>0</v>
      </c>
      <c r="R33">
        <v>0</v>
      </c>
      <c r="S33">
        <v>0</v>
      </c>
      <c r="T33">
        <f>SUM(H33:S33)</f>
        <v>0</v>
      </c>
    </row>
    <row r="34" spans="2:20" ht="15">
      <c r="B34" t="s">
        <v>80</v>
      </c>
      <c r="H34">
        <v>0</v>
      </c>
      <c r="I34">
        <v>0</v>
      </c>
      <c r="J34">
        <v>0</v>
      </c>
      <c r="K34">
        <v>0</v>
      </c>
      <c r="L34">
        <v>0</v>
      </c>
      <c r="M34">
        <v>0</v>
      </c>
      <c r="N34">
        <v>0</v>
      </c>
      <c r="O34">
        <v>0</v>
      </c>
      <c r="P34">
        <v>0</v>
      </c>
      <c r="Q34">
        <v>0</v>
      </c>
      <c r="R34">
        <v>0</v>
      </c>
      <c r="S34">
        <v>0</v>
      </c>
      <c r="T34">
        <f>SUM(H34:S34)</f>
        <v>0</v>
      </c>
    </row>
    <row r="35" spans="2:20" ht="15">
      <c r="B35" t="s">
        <v>81</v>
      </c>
      <c r="H35">
        <v>0</v>
      </c>
      <c r="I35">
        <v>0</v>
      </c>
      <c r="J35">
        <v>0</v>
      </c>
      <c r="K35">
        <v>0</v>
      </c>
      <c r="L35">
        <v>0</v>
      </c>
      <c r="M35">
        <v>0</v>
      </c>
      <c r="N35">
        <v>0</v>
      </c>
      <c r="O35">
        <v>0</v>
      </c>
      <c r="P35">
        <v>0</v>
      </c>
      <c r="Q35">
        <v>0</v>
      </c>
      <c r="R35">
        <v>0</v>
      </c>
      <c r="S35">
        <v>0</v>
      </c>
      <c r="T35">
        <f>SUM(H35:S35)</f>
        <v>0</v>
      </c>
    </row>
    <row r="36" spans="1:20" ht="15">
      <c r="A36" s="1"/>
      <c r="B36" s="1" t="s">
        <v>82</v>
      </c>
      <c r="C36" s="1"/>
      <c r="D36" s="1"/>
      <c r="E36" s="1"/>
      <c r="F36" s="1"/>
      <c r="G36" s="1"/>
      <c r="H36" s="6">
        <v>0</v>
      </c>
      <c r="I36" s="6">
        <v>0</v>
      </c>
      <c r="J36" s="6">
        <v>0</v>
      </c>
      <c r="K36" s="6">
        <v>0</v>
      </c>
      <c r="L36" s="6">
        <v>0</v>
      </c>
      <c r="M36" s="6">
        <v>0</v>
      </c>
      <c r="N36" s="6">
        <v>0</v>
      </c>
      <c r="O36" s="6">
        <v>0</v>
      </c>
      <c r="P36" s="6">
        <v>0</v>
      </c>
      <c r="Q36" s="6">
        <v>0</v>
      </c>
      <c r="R36" s="6">
        <v>0</v>
      </c>
      <c r="S36" s="6">
        <v>0</v>
      </c>
      <c r="T36" s="6">
        <f>SUM(H36:S36)</f>
        <v>0</v>
      </c>
    </row>
    <row r="38" spans="1:20" ht="15">
      <c r="A38" s="30" t="s">
        <v>45</v>
      </c>
      <c r="B38" t="s">
        <v>83</v>
      </c>
      <c r="H38">
        <f aca="true" t="shared" si="6" ref="H38:S38">ROUND(+H28+H29+H32+H33+H34+H35+H36,0)</f>
        <v>686</v>
      </c>
      <c r="I38">
        <f t="shared" si="6"/>
        <v>684</v>
      </c>
      <c r="J38">
        <f t="shared" si="6"/>
        <v>682</v>
      </c>
      <c r="K38">
        <f t="shared" si="6"/>
        <v>680</v>
      </c>
      <c r="L38">
        <f t="shared" si="6"/>
        <v>678</v>
      </c>
      <c r="M38">
        <f t="shared" si="6"/>
        <v>676</v>
      </c>
      <c r="N38">
        <f t="shared" si="6"/>
        <v>674</v>
      </c>
      <c r="O38">
        <f t="shared" si="6"/>
        <v>672</v>
      </c>
      <c r="P38">
        <f t="shared" si="6"/>
        <v>670</v>
      </c>
      <c r="Q38">
        <f t="shared" si="6"/>
        <v>668</v>
      </c>
      <c r="R38">
        <f t="shared" si="6"/>
        <v>666</v>
      </c>
      <c r="S38">
        <f t="shared" si="6"/>
        <v>664</v>
      </c>
      <c r="T38">
        <f>SUM(H38:S38)</f>
        <v>8100</v>
      </c>
    </row>
    <row r="39" spans="2:20" ht="15">
      <c r="B39" t="s">
        <v>84</v>
      </c>
      <c r="H39">
        <f>ROUND(+H38*0,0)</f>
        <v>0</v>
      </c>
      <c r="I39">
        <f aca="true" t="shared" si="7" ref="I39:S39">ROUND(+I38*0,0)</f>
        <v>0</v>
      </c>
      <c r="J39">
        <f t="shared" si="7"/>
        <v>0</v>
      </c>
      <c r="K39">
        <f t="shared" si="7"/>
        <v>0</v>
      </c>
      <c r="L39">
        <f t="shared" si="7"/>
        <v>0</v>
      </c>
      <c r="M39">
        <f t="shared" si="7"/>
        <v>0</v>
      </c>
      <c r="N39">
        <f t="shared" si="7"/>
        <v>0</v>
      </c>
      <c r="O39">
        <f t="shared" si="7"/>
        <v>0</v>
      </c>
      <c r="P39">
        <f t="shared" si="7"/>
        <v>0</v>
      </c>
      <c r="Q39">
        <f t="shared" si="7"/>
        <v>0</v>
      </c>
      <c r="R39">
        <f t="shared" si="7"/>
        <v>0</v>
      </c>
      <c r="S39">
        <f t="shared" si="7"/>
        <v>0</v>
      </c>
      <c r="T39">
        <f>SUM(H39:S39)</f>
        <v>0</v>
      </c>
    </row>
    <row r="40" spans="2:20" ht="15">
      <c r="B40" t="s">
        <v>85</v>
      </c>
      <c r="H40">
        <f>ROUND(+H38*1,0)</f>
        <v>686</v>
      </c>
      <c r="I40">
        <f aca="true" t="shared" si="8" ref="I40:S40">ROUND(+I38*1,0)</f>
        <v>684</v>
      </c>
      <c r="J40">
        <f t="shared" si="8"/>
        <v>682</v>
      </c>
      <c r="K40">
        <f t="shared" si="8"/>
        <v>680</v>
      </c>
      <c r="L40">
        <f t="shared" si="8"/>
        <v>678</v>
      </c>
      <c r="M40">
        <f t="shared" si="8"/>
        <v>676</v>
      </c>
      <c r="N40">
        <f t="shared" si="8"/>
        <v>674</v>
      </c>
      <c r="O40">
        <f t="shared" si="8"/>
        <v>672</v>
      </c>
      <c r="P40">
        <f t="shared" si="8"/>
        <v>670</v>
      </c>
      <c r="Q40">
        <f t="shared" si="8"/>
        <v>668</v>
      </c>
      <c r="R40">
        <f t="shared" si="8"/>
        <v>666</v>
      </c>
      <c r="S40">
        <f t="shared" si="8"/>
        <v>664</v>
      </c>
      <c r="T40">
        <f>SUM(H40:S40)</f>
        <v>8100</v>
      </c>
    </row>
    <row r="42" spans="1:20" ht="15">
      <c r="A42" s="31" t="s">
        <v>86</v>
      </c>
      <c r="B42" s="1" t="s">
        <v>87</v>
      </c>
      <c r="C42" s="1"/>
      <c r="D42" s="1"/>
      <c r="E42" s="1"/>
      <c r="F42" s="1"/>
      <c r="G42" s="24"/>
      <c r="H42" s="24">
        <f>'Form 42 5A'!H53</f>
        <v>0</v>
      </c>
      <c r="I42" s="24">
        <f>'Form 42 5A'!I53</f>
        <v>0</v>
      </c>
      <c r="J42" s="24">
        <f>'Form 42 5A'!J53</f>
        <v>0</v>
      </c>
      <c r="K42" s="24">
        <f>'Form 42 5A'!K53</f>
        <v>0</v>
      </c>
      <c r="L42" s="24">
        <f>'Form 42 5A'!L53</f>
        <v>0</v>
      </c>
      <c r="M42" s="24">
        <f>'Form 42 5A'!M53</f>
        <v>0</v>
      </c>
      <c r="N42" s="24">
        <f>'Form 42 5A'!N53</f>
        <v>0</v>
      </c>
      <c r="O42" s="24">
        <f>'Form 42 5A'!O53</f>
        <v>0</v>
      </c>
      <c r="P42" s="24">
        <f>'Form 42 5A'!P53</f>
        <v>0</v>
      </c>
      <c r="Q42" s="24">
        <f>'Form 42 5A'!Q53</f>
        <v>0</v>
      </c>
      <c r="R42" s="24">
        <f>'Form 42 5A'!R53</f>
        <v>0</v>
      </c>
      <c r="S42" s="24">
        <f>'Form 42 5A'!S53</f>
        <v>0</v>
      </c>
      <c r="T42" s="24"/>
    </row>
    <row r="43" spans="1:20" ht="15">
      <c r="A43" s="31" t="s">
        <v>88</v>
      </c>
      <c r="B43" s="1" t="s">
        <v>89</v>
      </c>
      <c r="C43" s="1"/>
      <c r="D43" s="1"/>
      <c r="E43" s="1"/>
      <c r="F43" s="1"/>
      <c r="G43" s="24"/>
      <c r="H43" s="24">
        <f>+'Form 42 5A'!H54</f>
        <v>0</v>
      </c>
      <c r="I43" s="24">
        <f>+'Form 42 5A'!I54</f>
        <v>0</v>
      </c>
      <c r="J43" s="24">
        <f>+'Form 42 5A'!J54</f>
        <v>0</v>
      </c>
      <c r="K43" s="24">
        <f>+'Form 42 5A'!K54</f>
        <v>0</v>
      </c>
      <c r="L43" s="24">
        <f>+'Form 42 5A'!L54</f>
        <v>0</v>
      </c>
      <c r="M43" s="24">
        <f>+'Form 42 5A'!M54</f>
        <v>0</v>
      </c>
      <c r="N43" s="24">
        <f>+'Form 42 5A'!N54</f>
        <v>0</v>
      </c>
      <c r="O43" s="24">
        <f>+'Form 42 5A'!O54</f>
        <v>0</v>
      </c>
      <c r="P43" s="24">
        <f>+'Form 42 5A'!P54</f>
        <v>0</v>
      </c>
      <c r="Q43" s="24">
        <f>+'Form 42 5A'!Q54</f>
        <v>0</v>
      </c>
      <c r="R43" s="24">
        <f>+'Form 42 5A'!R54</f>
        <v>0</v>
      </c>
      <c r="S43" s="24">
        <f>+'Form 42 5A'!S54</f>
        <v>0</v>
      </c>
      <c r="T43" s="24"/>
    </row>
    <row r="45" spans="1:20" ht="15">
      <c r="A45" s="30" t="s">
        <v>90</v>
      </c>
      <c r="B45" t="s">
        <v>91</v>
      </c>
      <c r="H45">
        <f aca="true" t="shared" si="9" ref="H45:S46">ROUND((+H39*H42),0)</f>
        <v>0</v>
      </c>
      <c r="I45">
        <f t="shared" si="9"/>
        <v>0</v>
      </c>
      <c r="J45">
        <f t="shared" si="9"/>
        <v>0</v>
      </c>
      <c r="K45">
        <f t="shared" si="9"/>
        <v>0</v>
      </c>
      <c r="L45">
        <f t="shared" si="9"/>
        <v>0</v>
      </c>
      <c r="M45">
        <f t="shared" si="9"/>
        <v>0</v>
      </c>
      <c r="N45">
        <f t="shared" si="9"/>
        <v>0</v>
      </c>
      <c r="O45">
        <f t="shared" si="9"/>
        <v>0</v>
      </c>
      <c r="P45">
        <f t="shared" si="9"/>
        <v>0</v>
      </c>
      <c r="Q45">
        <f t="shared" si="9"/>
        <v>0</v>
      </c>
      <c r="R45">
        <f t="shared" si="9"/>
        <v>0</v>
      </c>
      <c r="S45">
        <f t="shared" si="9"/>
        <v>0</v>
      </c>
      <c r="T45">
        <f>SUM(H45:S45)</f>
        <v>0</v>
      </c>
    </row>
    <row r="46" spans="1:20" ht="15">
      <c r="A46" s="31" t="s">
        <v>92</v>
      </c>
      <c r="B46" s="1" t="s">
        <v>93</v>
      </c>
      <c r="C46" s="1"/>
      <c r="D46" s="1"/>
      <c r="E46" s="1"/>
      <c r="F46" s="1"/>
      <c r="G46" s="1"/>
      <c r="H46" s="6">
        <f t="shared" si="9"/>
        <v>0</v>
      </c>
      <c r="I46" s="6">
        <f t="shared" si="9"/>
        <v>0</v>
      </c>
      <c r="J46" s="6">
        <f t="shared" si="9"/>
        <v>0</v>
      </c>
      <c r="K46" s="6">
        <f t="shared" si="9"/>
        <v>0</v>
      </c>
      <c r="L46" s="6">
        <f t="shared" si="9"/>
        <v>0</v>
      </c>
      <c r="M46" s="6">
        <f t="shared" si="9"/>
        <v>0</v>
      </c>
      <c r="N46" s="6">
        <f t="shared" si="9"/>
        <v>0</v>
      </c>
      <c r="O46" s="6">
        <f t="shared" si="9"/>
        <v>0</v>
      </c>
      <c r="P46" s="6">
        <f t="shared" si="9"/>
        <v>0</v>
      </c>
      <c r="Q46" s="6">
        <f t="shared" si="9"/>
        <v>0</v>
      </c>
      <c r="R46" s="6">
        <f t="shared" si="9"/>
        <v>0</v>
      </c>
      <c r="S46" s="6">
        <f t="shared" si="9"/>
        <v>0</v>
      </c>
      <c r="T46" s="6">
        <f>SUM(H46:S46)</f>
        <v>0</v>
      </c>
    </row>
    <row r="47" spans="1:20" ht="15.75" thickBot="1">
      <c r="A47" s="31" t="s">
        <v>94</v>
      </c>
      <c r="B47" s="1" t="s">
        <v>95</v>
      </c>
      <c r="C47" s="1"/>
      <c r="D47" s="1"/>
      <c r="E47" s="1"/>
      <c r="F47" s="1"/>
      <c r="G47" s="1"/>
      <c r="H47" s="7">
        <f aca="true" t="shared" si="10" ref="H47:S47">H45+H46</f>
        <v>0</v>
      </c>
      <c r="I47" s="7">
        <f t="shared" si="10"/>
        <v>0</v>
      </c>
      <c r="J47" s="7">
        <f t="shared" si="10"/>
        <v>0</v>
      </c>
      <c r="K47" s="7">
        <f t="shared" si="10"/>
        <v>0</v>
      </c>
      <c r="L47" s="7">
        <f t="shared" si="10"/>
        <v>0</v>
      </c>
      <c r="M47" s="7">
        <f t="shared" si="10"/>
        <v>0</v>
      </c>
      <c r="N47" s="7">
        <f t="shared" si="10"/>
        <v>0</v>
      </c>
      <c r="O47" s="7">
        <f t="shared" si="10"/>
        <v>0</v>
      </c>
      <c r="P47" s="7">
        <f t="shared" si="10"/>
        <v>0</v>
      </c>
      <c r="Q47" s="7">
        <f t="shared" si="10"/>
        <v>0</v>
      </c>
      <c r="R47" s="7">
        <f t="shared" si="10"/>
        <v>0</v>
      </c>
      <c r="S47" s="7">
        <f t="shared" si="10"/>
        <v>0</v>
      </c>
      <c r="T47" s="7">
        <f>SUM(T45:T46)</f>
        <v>0</v>
      </c>
    </row>
    <row r="49" ht="15">
      <c r="A49" s="30" t="s">
        <v>31</v>
      </c>
    </row>
    <row r="50" spans="1:2" ht="15">
      <c r="A50" s="30" t="s">
        <v>96</v>
      </c>
      <c r="B50" t="s">
        <v>97</v>
      </c>
    </row>
    <row r="51" spans="1:2" ht="15">
      <c r="A51" s="30" t="s">
        <v>98</v>
      </c>
      <c r="B51" t="s">
        <v>99</v>
      </c>
    </row>
    <row r="52" spans="1:2" ht="15">
      <c r="A52" s="30" t="s">
        <v>100</v>
      </c>
      <c r="B52" t="s">
        <v>101</v>
      </c>
    </row>
  </sheetData>
  <printOptions/>
  <pageMargins left="0" right="0" top="1" bottom="1" header="0.5" footer="0.5"/>
  <pageSetup horizontalDpi="300" verticalDpi="300" orientation="landscape" scale="43" r:id="rId1"/>
</worksheet>
</file>

<file path=xl/worksheets/sheet23.xml><?xml version="1.0" encoding="utf-8"?>
<worksheet xmlns="http://schemas.openxmlformats.org/spreadsheetml/2006/main" xmlns:r="http://schemas.openxmlformats.org/officeDocument/2006/relationships">
  <sheetPr codeName="Sheet22"/>
  <dimension ref="A1:T52"/>
  <sheetViews>
    <sheetView zoomScale="75" zoomScaleNormal="75" workbookViewId="0" topLeftCell="A1">
      <selection activeCell="A7" sqref="A7"/>
    </sheetView>
  </sheetViews>
  <sheetFormatPr defaultColWidth="9.77734375" defaultRowHeight="15"/>
  <cols>
    <col min="7" max="12" width="12.77734375" style="0" customWidth="1"/>
    <col min="13" max="16" width="14.3359375" style="0" customWidth="1"/>
    <col min="17" max="21" width="12.77734375" style="0" customWidth="1"/>
  </cols>
  <sheetData>
    <row r="1" spans="1:20" ht="15.75">
      <c r="A1" s="8" t="s">
        <v>438</v>
      </c>
      <c r="B1" s="2"/>
      <c r="C1" s="2"/>
      <c r="D1" s="2"/>
      <c r="E1" s="2"/>
      <c r="F1" s="2"/>
      <c r="G1" s="2"/>
      <c r="H1" s="2"/>
      <c r="I1" s="2"/>
      <c r="J1" s="2"/>
      <c r="K1" s="2"/>
      <c r="L1" s="2"/>
      <c r="T1" s="30" t="s">
        <v>442</v>
      </c>
    </row>
    <row r="2" spans="1:20" ht="15">
      <c r="A2" s="2" t="s">
        <v>0</v>
      </c>
      <c r="B2" s="2"/>
      <c r="C2" s="2"/>
      <c r="D2" s="2"/>
      <c r="E2" s="2"/>
      <c r="F2" s="2"/>
      <c r="G2" s="2"/>
      <c r="H2" s="2"/>
      <c r="I2" s="2"/>
      <c r="J2" s="2"/>
      <c r="K2" s="2"/>
      <c r="L2" s="2"/>
      <c r="T2" s="30" t="s">
        <v>405</v>
      </c>
    </row>
    <row r="3" spans="1:12" ht="15">
      <c r="A3" s="2" t="s">
        <v>494</v>
      </c>
      <c r="B3" s="9"/>
      <c r="C3" s="9"/>
      <c r="D3" s="9"/>
      <c r="E3" s="9"/>
      <c r="F3" s="9"/>
      <c r="G3" s="9"/>
      <c r="H3" s="9"/>
      <c r="I3" s="2"/>
      <c r="J3" s="2"/>
      <c r="K3" s="2"/>
      <c r="L3" s="2"/>
    </row>
    <row r="4" spans="1:12" ht="15.75">
      <c r="A4" s="11" t="str">
        <f>'Form 42 2A'!A4</f>
        <v>January 2003 through December 2003</v>
      </c>
      <c r="B4" s="2"/>
      <c r="C4" s="2"/>
      <c r="D4" s="2"/>
      <c r="E4" s="2"/>
      <c r="F4" s="2"/>
      <c r="G4" s="2"/>
      <c r="H4" s="2"/>
      <c r="I4" s="2"/>
      <c r="J4" s="2"/>
      <c r="K4" s="2"/>
      <c r="L4" s="2"/>
    </row>
    <row r="5" spans="1:12" ht="15.75">
      <c r="A5" s="3" t="s">
        <v>1</v>
      </c>
      <c r="B5" s="2"/>
      <c r="C5" s="2"/>
      <c r="D5" s="2"/>
      <c r="E5" s="2"/>
      <c r="F5" s="2"/>
      <c r="G5" s="2"/>
      <c r="H5" s="2"/>
      <c r="I5" s="2"/>
      <c r="J5" s="2"/>
      <c r="K5" s="2"/>
      <c r="L5" s="2"/>
    </row>
    <row r="6" spans="1:12" ht="15">
      <c r="A6" s="2" t="s">
        <v>59</v>
      </c>
      <c r="B6" s="2"/>
      <c r="C6" s="2"/>
      <c r="D6" s="2"/>
      <c r="E6" s="2"/>
      <c r="F6" s="2"/>
      <c r="G6" s="2"/>
      <c r="H6" s="2"/>
      <c r="I6" s="2"/>
      <c r="J6" s="2"/>
      <c r="K6" s="2"/>
      <c r="L6" s="2"/>
    </row>
    <row r="7" spans="1:12" ht="15">
      <c r="A7" s="57" t="s">
        <v>489</v>
      </c>
      <c r="B7" s="2"/>
      <c r="C7" s="2"/>
      <c r="D7" s="2"/>
      <c r="E7" s="2"/>
      <c r="F7" s="2"/>
      <c r="G7" s="2"/>
      <c r="H7" s="2"/>
      <c r="I7" s="2"/>
      <c r="J7" s="2"/>
      <c r="K7" s="2"/>
      <c r="L7" s="2"/>
    </row>
    <row r="8" spans="1:12" ht="15">
      <c r="A8" s="2" t="s">
        <v>5</v>
      </c>
      <c r="B8" s="2"/>
      <c r="C8" s="2"/>
      <c r="D8" s="2"/>
      <c r="E8" s="2"/>
      <c r="F8" s="2"/>
      <c r="G8" s="2"/>
      <c r="H8" s="2"/>
      <c r="I8" s="2"/>
      <c r="J8" s="2"/>
      <c r="K8" s="2"/>
      <c r="L8" s="2"/>
    </row>
    <row r="9" ht="15">
      <c r="A9" s="47" t="s">
        <v>283</v>
      </c>
    </row>
    <row r="10" spans="1:20" ht="15">
      <c r="A10" s="2"/>
      <c r="T10" s="29" t="s">
        <v>60</v>
      </c>
    </row>
    <row r="11" spans="7:20" ht="15">
      <c r="G11" s="29" t="s">
        <v>61</v>
      </c>
      <c r="T11" s="29" t="s">
        <v>2</v>
      </c>
    </row>
    <row r="12" spans="1:20" ht="15.75" thickBot="1">
      <c r="A12" s="25" t="s">
        <v>3</v>
      </c>
      <c r="B12" s="2"/>
      <c r="C12" s="25" t="s">
        <v>62</v>
      </c>
      <c r="E12" s="2"/>
      <c r="F12" s="2"/>
      <c r="G12" s="19" t="s">
        <v>63</v>
      </c>
      <c r="H12" s="68" t="str">
        <f>'Form 42 2A'!H10</f>
        <v>January 03</v>
      </c>
      <c r="I12" s="68" t="str">
        <f>'Form 42 2A'!I10</f>
        <v>February 03</v>
      </c>
      <c r="J12" s="68" t="str">
        <f>'Form 42 2A'!J10</f>
        <v>March 03</v>
      </c>
      <c r="K12" s="68" t="str">
        <f>'Form 42 2A'!K10</f>
        <v>April 03</v>
      </c>
      <c r="L12" s="68" t="str">
        <f>'Form 42 2A'!L10</f>
        <v>May 03</v>
      </c>
      <c r="M12" s="68" t="str">
        <f>'Form 42 2A'!M10</f>
        <v>June 03</v>
      </c>
      <c r="N12" s="68" t="str">
        <f>'Form 42 2A'!N10</f>
        <v>July 03</v>
      </c>
      <c r="O12" s="68" t="str">
        <f>'Form 42 2A'!O10</f>
        <v>August 03</v>
      </c>
      <c r="P12" s="68" t="str">
        <f>'Form 42 2A'!P10</f>
        <v>September 03</v>
      </c>
      <c r="Q12" s="68" t="str">
        <f>'Form 42 2A'!Q10</f>
        <v>October 03</v>
      </c>
      <c r="R12" s="68" t="str">
        <f>'Form 42 2A'!R10</f>
        <v>November 03</v>
      </c>
      <c r="S12" s="68" t="str">
        <f>'Form 42 2A'!S10</f>
        <v>December 03</v>
      </c>
      <c r="T12" s="19" t="s">
        <v>8</v>
      </c>
    </row>
    <row r="14" spans="1:9" ht="15">
      <c r="A14" s="30" t="s">
        <v>35</v>
      </c>
      <c r="B14" t="s">
        <v>64</v>
      </c>
      <c r="I14" s="39"/>
    </row>
    <row r="15" spans="1:19" ht="15">
      <c r="A15" s="1"/>
      <c r="B15" s="1" t="s">
        <v>65</v>
      </c>
      <c r="C15" s="1"/>
      <c r="D15" s="1"/>
      <c r="E15" s="1"/>
      <c r="F15" s="1"/>
      <c r="G15" s="1"/>
      <c r="H15" s="5">
        <v>0</v>
      </c>
      <c r="I15" s="5">
        <v>0</v>
      </c>
      <c r="J15" s="5">
        <v>0</v>
      </c>
      <c r="K15" s="5">
        <v>0</v>
      </c>
      <c r="L15" s="5">
        <v>0</v>
      </c>
      <c r="M15" s="5">
        <v>0</v>
      </c>
      <c r="N15" s="5">
        <v>0</v>
      </c>
      <c r="O15" s="5">
        <v>0</v>
      </c>
      <c r="P15" s="5">
        <v>0</v>
      </c>
      <c r="Q15" s="5">
        <v>0</v>
      </c>
      <c r="R15" s="5">
        <v>0</v>
      </c>
      <c r="S15" s="5">
        <v>0</v>
      </c>
    </row>
    <row r="16" spans="2:19" ht="15">
      <c r="B16" t="s">
        <v>66</v>
      </c>
      <c r="H16">
        <v>0</v>
      </c>
      <c r="I16">
        <v>0</v>
      </c>
      <c r="J16">
        <v>0</v>
      </c>
      <c r="K16">
        <v>0</v>
      </c>
      <c r="L16">
        <v>0</v>
      </c>
      <c r="M16">
        <v>0</v>
      </c>
      <c r="N16">
        <v>0</v>
      </c>
      <c r="O16">
        <v>0</v>
      </c>
      <c r="P16">
        <v>0</v>
      </c>
      <c r="Q16">
        <v>0</v>
      </c>
      <c r="R16">
        <v>0</v>
      </c>
      <c r="S16">
        <v>0</v>
      </c>
    </row>
    <row r="17" spans="2:19" ht="15">
      <c r="B17" t="s">
        <v>67</v>
      </c>
      <c r="H17">
        <v>0</v>
      </c>
      <c r="I17">
        <v>0</v>
      </c>
      <c r="J17">
        <v>0</v>
      </c>
      <c r="K17">
        <v>0</v>
      </c>
      <c r="L17">
        <v>0</v>
      </c>
      <c r="M17">
        <v>0</v>
      </c>
      <c r="N17">
        <v>0</v>
      </c>
      <c r="O17">
        <v>0</v>
      </c>
      <c r="P17">
        <v>0</v>
      </c>
      <c r="Q17">
        <v>0</v>
      </c>
      <c r="R17">
        <v>0</v>
      </c>
      <c r="S17">
        <v>0</v>
      </c>
    </row>
    <row r="18" spans="2:19" ht="15">
      <c r="B18" t="s">
        <v>68</v>
      </c>
      <c r="H18">
        <v>0</v>
      </c>
      <c r="I18">
        <v>0</v>
      </c>
      <c r="J18">
        <v>0</v>
      </c>
      <c r="K18">
        <v>0</v>
      </c>
      <c r="L18">
        <v>0</v>
      </c>
      <c r="M18">
        <v>0</v>
      </c>
      <c r="N18">
        <v>0</v>
      </c>
      <c r="O18">
        <v>0</v>
      </c>
      <c r="P18">
        <v>0</v>
      </c>
      <c r="Q18">
        <v>0</v>
      </c>
      <c r="R18">
        <v>0</v>
      </c>
      <c r="S18">
        <v>0</v>
      </c>
    </row>
    <row r="20" spans="1:19" ht="15">
      <c r="A20" s="31" t="s">
        <v>36</v>
      </c>
      <c r="B20" s="1" t="s">
        <v>69</v>
      </c>
      <c r="C20" s="1"/>
      <c r="D20" s="1"/>
      <c r="E20" s="1"/>
      <c r="F20" s="1"/>
      <c r="G20" s="5">
        <f>+depreciation!B819</f>
        <v>90472</v>
      </c>
      <c r="H20">
        <f>+G20+H15</f>
        <v>90472</v>
      </c>
      <c r="I20">
        <f aca="true" t="shared" si="0" ref="I20:S20">+H20+I15</f>
        <v>90472</v>
      </c>
      <c r="J20">
        <f t="shared" si="0"/>
        <v>90472</v>
      </c>
      <c r="K20">
        <f t="shared" si="0"/>
        <v>90472</v>
      </c>
      <c r="L20">
        <f t="shared" si="0"/>
        <v>90472</v>
      </c>
      <c r="M20">
        <f t="shared" si="0"/>
        <v>90472</v>
      </c>
      <c r="N20">
        <f t="shared" si="0"/>
        <v>90472</v>
      </c>
      <c r="O20">
        <f t="shared" si="0"/>
        <v>90472</v>
      </c>
      <c r="P20">
        <f t="shared" si="0"/>
        <v>90472</v>
      </c>
      <c r="Q20">
        <f t="shared" si="0"/>
        <v>90472</v>
      </c>
      <c r="R20">
        <f t="shared" si="0"/>
        <v>90472</v>
      </c>
      <c r="S20">
        <f t="shared" si="0"/>
        <v>90472</v>
      </c>
    </row>
    <row r="21" spans="1:19" ht="15">
      <c r="A21" s="30" t="s">
        <v>38</v>
      </c>
      <c r="B21" t="s">
        <v>70</v>
      </c>
      <c r="G21">
        <f>-depreciation!E819</f>
        <v>-11675</v>
      </c>
      <c r="H21">
        <f>-H32+G21</f>
        <v>-11992</v>
      </c>
      <c r="I21">
        <f aca="true" t="shared" si="1" ref="I21:S21">-I32+H21</f>
        <v>-12309</v>
      </c>
      <c r="J21">
        <f t="shared" si="1"/>
        <v>-12626</v>
      </c>
      <c r="K21">
        <f t="shared" si="1"/>
        <v>-12943</v>
      </c>
      <c r="L21">
        <f t="shared" si="1"/>
        <v>-13260</v>
      </c>
      <c r="M21">
        <f t="shared" si="1"/>
        <v>-13577</v>
      </c>
      <c r="N21">
        <f t="shared" si="1"/>
        <v>-13894</v>
      </c>
      <c r="O21">
        <f t="shared" si="1"/>
        <v>-14211</v>
      </c>
      <c r="P21">
        <f t="shared" si="1"/>
        <v>-14528</v>
      </c>
      <c r="Q21">
        <f t="shared" si="1"/>
        <v>-14845</v>
      </c>
      <c r="R21">
        <f t="shared" si="1"/>
        <v>-15162</v>
      </c>
      <c r="S21">
        <f t="shared" si="1"/>
        <v>-15479</v>
      </c>
    </row>
    <row r="22" spans="1:19" ht="15">
      <c r="A22" s="31" t="s">
        <v>39</v>
      </c>
      <c r="B22" s="1" t="s">
        <v>71</v>
      </c>
      <c r="C22" s="1"/>
      <c r="D22" s="1"/>
      <c r="E22" s="1"/>
      <c r="F22" s="1"/>
      <c r="G22" s="6">
        <v>0</v>
      </c>
      <c r="H22" s="6">
        <v>0</v>
      </c>
      <c r="I22" s="6">
        <v>0</v>
      </c>
      <c r="J22" s="6">
        <v>0</v>
      </c>
      <c r="K22" s="6">
        <v>0</v>
      </c>
      <c r="L22" s="6">
        <v>0</v>
      </c>
      <c r="M22" s="6">
        <v>0</v>
      </c>
      <c r="N22" s="6">
        <v>0</v>
      </c>
      <c r="O22" s="6">
        <v>0</v>
      </c>
      <c r="P22" s="6">
        <v>0</v>
      </c>
      <c r="Q22" s="6">
        <v>0</v>
      </c>
      <c r="R22" s="6">
        <v>0</v>
      </c>
      <c r="S22" s="6">
        <v>0</v>
      </c>
    </row>
    <row r="23" spans="1:19" ht="15">
      <c r="A23" s="31" t="s">
        <v>40</v>
      </c>
      <c r="B23" s="1" t="s">
        <v>72</v>
      </c>
      <c r="C23" s="1"/>
      <c r="D23" s="1"/>
      <c r="E23" s="1"/>
      <c r="F23" s="1"/>
      <c r="G23" s="26">
        <f aca="true" t="shared" si="2" ref="G23:S23">G20+G21+G22</f>
        <v>78797</v>
      </c>
      <c r="H23" s="17">
        <f t="shared" si="2"/>
        <v>78480</v>
      </c>
      <c r="I23" s="17">
        <f t="shared" si="2"/>
        <v>78163</v>
      </c>
      <c r="J23" s="17">
        <f t="shared" si="2"/>
        <v>77846</v>
      </c>
      <c r="K23" s="17">
        <f t="shared" si="2"/>
        <v>77529</v>
      </c>
      <c r="L23" s="17">
        <f t="shared" si="2"/>
        <v>77212</v>
      </c>
      <c r="M23" s="17">
        <f t="shared" si="2"/>
        <v>76895</v>
      </c>
      <c r="N23" s="17">
        <f t="shared" si="2"/>
        <v>76578</v>
      </c>
      <c r="O23" s="17">
        <f t="shared" si="2"/>
        <v>76261</v>
      </c>
      <c r="P23" s="17">
        <f t="shared" si="2"/>
        <v>75944</v>
      </c>
      <c r="Q23" s="17">
        <f t="shared" si="2"/>
        <v>75627</v>
      </c>
      <c r="R23" s="17">
        <f t="shared" si="2"/>
        <v>75310</v>
      </c>
      <c r="S23" s="17">
        <f t="shared" si="2"/>
        <v>74993</v>
      </c>
    </row>
    <row r="25" spans="1:19" ht="15">
      <c r="A25" s="30" t="s">
        <v>42</v>
      </c>
      <c r="B25" t="s">
        <v>73</v>
      </c>
      <c r="H25">
        <f aca="true" t="shared" si="3" ref="H25:S25">ROUND((+G23+H23)/2,0)</f>
        <v>78639</v>
      </c>
      <c r="I25">
        <f t="shared" si="3"/>
        <v>78322</v>
      </c>
      <c r="J25">
        <f t="shared" si="3"/>
        <v>78005</v>
      </c>
      <c r="K25">
        <f t="shared" si="3"/>
        <v>77688</v>
      </c>
      <c r="L25">
        <f t="shared" si="3"/>
        <v>77371</v>
      </c>
      <c r="M25">
        <f t="shared" si="3"/>
        <v>77054</v>
      </c>
      <c r="N25">
        <f t="shared" si="3"/>
        <v>76737</v>
      </c>
      <c r="O25">
        <f t="shared" si="3"/>
        <v>76420</v>
      </c>
      <c r="P25">
        <f t="shared" si="3"/>
        <v>76103</v>
      </c>
      <c r="Q25">
        <f t="shared" si="3"/>
        <v>75786</v>
      </c>
      <c r="R25">
        <f t="shared" si="3"/>
        <v>75469</v>
      </c>
      <c r="S25">
        <f t="shared" si="3"/>
        <v>75152</v>
      </c>
    </row>
    <row r="27" spans="1:2" ht="15">
      <c r="A27" s="30" t="s">
        <v>43</v>
      </c>
      <c r="B27" t="s">
        <v>74</v>
      </c>
    </row>
    <row r="28" spans="1:20" ht="15">
      <c r="A28" s="1"/>
      <c r="B28" s="1" t="s">
        <v>75</v>
      </c>
      <c r="C28" s="1"/>
      <c r="D28" s="1"/>
      <c r="E28" s="1"/>
      <c r="F28" s="1"/>
      <c r="G28" s="1"/>
      <c r="H28" s="1">
        <f aca="true" t="shared" si="4" ref="H28:S28">ROUND(+H25*(0.088238)/12,0)</f>
        <v>578</v>
      </c>
      <c r="I28" s="1">
        <f t="shared" si="4"/>
        <v>576</v>
      </c>
      <c r="J28" s="1">
        <f t="shared" si="4"/>
        <v>574</v>
      </c>
      <c r="K28" s="1">
        <f t="shared" si="4"/>
        <v>571</v>
      </c>
      <c r="L28" s="1">
        <f t="shared" si="4"/>
        <v>569</v>
      </c>
      <c r="M28" s="1">
        <f t="shared" si="4"/>
        <v>567</v>
      </c>
      <c r="N28" s="1">
        <f t="shared" si="4"/>
        <v>564</v>
      </c>
      <c r="O28" s="1">
        <f t="shared" si="4"/>
        <v>562</v>
      </c>
      <c r="P28" s="1">
        <f t="shared" si="4"/>
        <v>560</v>
      </c>
      <c r="Q28" s="1">
        <f t="shared" si="4"/>
        <v>557</v>
      </c>
      <c r="R28" s="1">
        <f t="shared" si="4"/>
        <v>555</v>
      </c>
      <c r="S28" s="1">
        <f t="shared" si="4"/>
        <v>553</v>
      </c>
      <c r="T28" s="5">
        <f>SUM(H28:S28)</f>
        <v>6786</v>
      </c>
    </row>
    <row r="29" spans="2:20" ht="15">
      <c r="B29" t="s">
        <v>76</v>
      </c>
      <c r="H29">
        <f aca="true" t="shared" si="5" ref="H29:S29">ROUND(+H25*(0.0282)/12,0)</f>
        <v>185</v>
      </c>
      <c r="I29">
        <f t="shared" si="5"/>
        <v>184</v>
      </c>
      <c r="J29">
        <f t="shared" si="5"/>
        <v>183</v>
      </c>
      <c r="K29">
        <f t="shared" si="5"/>
        <v>183</v>
      </c>
      <c r="L29">
        <f t="shared" si="5"/>
        <v>182</v>
      </c>
      <c r="M29">
        <f t="shared" si="5"/>
        <v>181</v>
      </c>
      <c r="N29">
        <f t="shared" si="5"/>
        <v>180</v>
      </c>
      <c r="O29">
        <f t="shared" si="5"/>
        <v>180</v>
      </c>
      <c r="P29">
        <f t="shared" si="5"/>
        <v>179</v>
      </c>
      <c r="Q29">
        <f t="shared" si="5"/>
        <v>178</v>
      </c>
      <c r="R29">
        <f t="shared" si="5"/>
        <v>177</v>
      </c>
      <c r="S29">
        <f t="shared" si="5"/>
        <v>177</v>
      </c>
      <c r="T29">
        <f>SUM(H29:S29)</f>
        <v>2169</v>
      </c>
    </row>
    <row r="31" spans="1:2" ht="15">
      <c r="A31" s="30" t="s">
        <v>44</v>
      </c>
      <c r="B31" t="s">
        <v>77</v>
      </c>
    </row>
    <row r="32" spans="2:20" ht="15">
      <c r="B32" t="s">
        <v>78</v>
      </c>
      <c r="H32">
        <f>depreciation!$D821</f>
        <v>317</v>
      </c>
      <c r="I32">
        <f>depreciation!$D822</f>
        <v>317</v>
      </c>
      <c r="J32">
        <f>depreciation!$D823</f>
        <v>317</v>
      </c>
      <c r="K32">
        <f>depreciation!$D824</f>
        <v>317</v>
      </c>
      <c r="L32">
        <f>depreciation!$D825</f>
        <v>317</v>
      </c>
      <c r="M32">
        <f>depreciation!$D826</f>
        <v>317</v>
      </c>
      <c r="N32">
        <f>depreciation!$D827</f>
        <v>317</v>
      </c>
      <c r="O32">
        <f>depreciation!$D828</f>
        <v>317</v>
      </c>
      <c r="P32">
        <f>depreciation!$D829</f>
        <v>317</v>
      </c>
      <c r="Q32">
        <f>depreciation!$D830</f>
        <v>317</v>
      </c>
      <c r="R32">
        <f>depreciation!$D831</f>
        <v>317</v>
      </c>
      <c r="S32">
        <f>depreciation!$D832</f>
        <v>317</v>
      </c>
      <c r="T32">
        <f>SUM(H32:S32)</f>
        <v>3804</v>
      </c>
    </row>
    <row r="33" spans="2:20" ht="15">
      <c r="B33" t="s">
        <v>79</v>
      </c>
      <c r="H33">
        <v>0</v>
      </c>
      <c r="I33">
        <v>0</v>
      </c>
      <c r="J33">
        <v>0</v>
      </c>
      <c r="K33">
        <v>0</v>
      </c>
      <c r="L33">
        <v>0</v>
      </c>
      <c r="M33">
        <v>0</v>
      </c>
      <c r="N33">
        <v>0</v>
      </c>
      <c r="O33">
        <v>0</v>
      </c>
      <c r="P33">
        <v>0</v>
      </c>
      <c r="Q33">
        <v>0</v>
      </c>
      <c r="R33">
        <v>0</v>
      </c>
      <c r="S33">
        <v>0</v>
      </c>
      <c r="T33">
        <f>SUM(H33:S33)</f>
        <v>0</v>
      </c>
    </row>
    <row r="34" spans="2:20" ht="15">
      <c r="B34" t="s">
        <v>80</v>
      </c>
      <c r="H34">
        <v>0</v>
      </c>
      <c r="I34">
        <v>0</v>
      </c>
      <c r="J34">
        <v>0</v>
      </c>
      <c r="K34">
        <v>0</v>
      </c>
      <c r="L34">
        <v>0</v>
      </c>
      <c r="M34">
        <v>0</v>
      </c>
      <c r="N34">
        <v>0</v>
      </c>
      <c r="O34">
        <v>0</v>
      </c>
      <c r="P34">
        <v>0</v>
      </c>
      <c r="Q34">
        <v>0</v>
      </c>
      <c r="R34">
        <v>0</v>
      </c>
      <c r="S34">
        <v>0</v>
      </c>
      <c r="T34">
        <f>SUM(H34:S34)</f>
        <v>0</v>
      </c>
    </row>
    <row r="35" spans="2:20" ht="15">
      <c r="B35" t="s">
        <v>81</v>
      </c>
      <c r="H35">
        <v>0</v>
      </c>
      <c r="I35">
        <v>0</v>
      </c>
      <c r="J35">
        <v>0</v>
      </c>
      <c r="K35">
        <v>0</v>
      </c>
      <c r="L35">
        <v>0</v>
      </c>
      <c r="M35">
        <v>0</v>
      </c>
      <c r="N35">
        <v>0</v>
      </c>
      <c r="O35">
        <v>0</v>
      </c>
      <c r="P35">
        <v>0</v>
      </c>
      <c r="Q35">
        <v>0</v>
      </c>
      <c r="R35">
        <v>0</v>
      </c>
      <c r="S35">
        <v>0</v>
      </c>
      <c r="T35">
        <f>SUM(H35:S35)</f>
        <v>0</v>
      </c>
    </row>
    <row r="36" spans="1:20" ht="15">
      <c r="A36" s="1"/>
      <c r="B36" s="1" t="s">
        <v>82</v>
      </c>
      <c r="C36" s="1"/>
      <c r="D36" s="1"/>
      <c r="E36" s="1"/>
      <c r="F36" s="1"/>
      <c r="G36" s="1"/>
      <c r="H36" s="6">
        <v>0</v>
      </c>
      <c r="I36" s="6">
        <v>0</v>
      </c>
      <c r="J36" s="6">
        <v>0</v>
      </c>
      <c r="K36" s="6">
        <v>0</v>
      </c>
      <c r="L36" s="6">
        <v>0</v>
      </c>
      <c r="M36" s="6">
        <v>0</v>
      </c>
      <c r="N36" s="6">
        <v>0</v>
      </c>
      <c r="O36" s="6">
        <v>0</v>
      </c>
      <c r="P36" s="6">
        <v>0</v>
      </c>
      <c r="Q36" s="6">
        <v>0</v>
      </c>
      <c r="R36" s="6">
        <v>0</v>
      </c>
      <c r="S36" s="6">
        <v>0</v>
      </c>
      <c r="T36" s="6">
        <f>SUM(H36:S36)</f>
        <v>0</v>
      </c>
    </row>
    <row r="38" spans="1:20" ht="15">
      <c r="A38" s="30" t="s">
        <v>45</v>
      </c>
      <c r="B38" t="s">
        <v>83</v>
      </c>
      <c r="H38">
        <f aca="true" t="shared" si="6" ref="H38:S38">ROUND(+H28+H29+H32+H33+H34+H35+H36,0)</f>
        <v>1080</v>
      </c>
      <c r="I38">
        <f t="shared" si="6"/>
        <v>1077</v>
      </c>
      <c r="J38">
        <f t="shared" si="6"/>
        <v>1074</v>
      </c>
      <c r="K38">
        <f t="shared" si="6"/>
        <v>1071</v>
      </c>
      <c r="L38">
        <f t="shared" si="6"/>
        <v>1068</v>
      </c>
      <c r="M38">
        <f t="shared" si="6"/>
        <v>1065</v>
      </c>
      <c r="N38">
        <f t="shared" si="6"/>
        <v>1061</v>
      </c>
      <c r="O38">
        <f t="shared" si="6"/>
        <v>1059</v>
      </c>
      <c r="P38">
        <f t="shared" si="6"/>
        <v>1056</v>
      </c>
      <c r="Q38">
        <f t="shared" si="6"/>
        <v>1052</v>
      </c>
      <c r="R38">
        <f t="shared" si="6"/>
        <v>1049</v>
      </c>
      <c r="S38">
        <f t="shared" si="6"/>
        <v>1047</v>
      </c>
      <c r="T38">
        <f>SUM(H38:S38)</f>
        <v>12759</v>
      </c>
    </row>
    <row r="39" spans="2:20" ht="15">
      <c r="B39" t="s">
        <v>84</v>
      </c>
      <c r="H39">
        <f>ROUND(+H38*0,0)</f>
        <v>0</v>
      </c>
      <c r="I39">
        <f aca="true" t="shared" si="7" ref="I39:S39">ROUND(+I38*0,0)</f>
        <v>0</v>
      </c>
      <c r="J39">
        <f t="shared" si="7"/>
        <v>0</v>
      </c>
      <c r="K39">
        <f t="shared" si="7"/>
        <v>0</v>
      </c>
      <c r="L39">
        <f t="shared" si="7"/>
        <v>0</v>
      </c>
      <c r="M39">
        <f t="shared" si="7"/>
        <v>0</v>
      </c>
      <c r="N39">
        <f t="shared" si="7"/>
        <v>0</v>
      </c>
      <c r="O39">
        <f t="shared" si="7"/>
        <v>0</v>
      </c>
      <c r="P39">
        <f t="shared" si="7"/>
        <v>0</v>
      </c>
      <c r="Q39">
        <f t="shared" si="7"/>
        <v>0</v>
      </c>
      <c r="R39">
        <f t="shared" si="7"/>
        <v>0</v>
      </c>
      <c r="S39">
        <f t="shared" si="7"/>
        <v>0</v>
      </c>
      <c r="T39">
        <f>SUM(H39:S39)</f>
        <v>0</v>
      </c>
    </row>
    <row r="40" spans="2:20" ht="15">
      <c r="B40" t="s">
        <v>85</v>
      </c>
      <c r="H40">
        <f>ROUND(+H38*1,0)</f>
        <v>1080</v>
      </c>
      <c r="I40">
        <f aca="true" t="shared" si="8" ref="I40:S40">ROUND(+I38*1,0)</f>
        <v>1077</v>
      </c>
      <c r="J40">
        <f t="shared" si="8"/>
        <v>1074</v>
      </c>
      <c r="K40">
        <f t="shared" si="8"/>
        <v>1071</v>
      </c>
      <c r="L40">
        <f t="shared" si="8"/>
        <v>1068</v>
      </c>
      <c r="M40">
        <f t="shared" si="8"/>
        <v>1065</v>
      </c>
      <c r="N40">
        <f t="shared" si="8"/>
        <v>1061</v>
      </c>
      <c r="O40">
        <f t="shared" si="8"/>
        <v>1059</v>
      </c>
      <c r="P40">
        <f t="shared" si="8"/>
        <v>1056</v>
      </c>
      <c r="Q40">
        <f t="shared" si="8"/>
        <v>1052</v>
      </c>
      <c r="R40">
        <f t="shared" si="8"/>
        <v>1049</v>
      </c>
      <c r="S40">
        <f t="shared" si="8"/>
        <v>1047</v>
      </c>
      <c r="T40">
        <f>SUM(H40:S40)</f>
        <v>12759</v>
      </c>
    </row>
    <row r="42" spans="1:20" ht="15">
      <c r="A42" s="31" t="s">
        <v>86</v>
      </c>
      <c r="B42" s="1" t="s">
        <v>87</v>
      </c>
      <c r="C42" s="1"/>
      <c r="D42" s="1"/>
      <c r="E42" s="1"/>
      <c r="F42" s="1"/>
      <c r="G42" s="24"/>
      <c r="H42" s="24">
        <f>'Form 42 5A'!H53</f>
        <v>0</v>
      </c>
      <c r="I42" s="24">
        <f>'Form 42 5A'!I53</f>
        <v>0</v>
      </c>
      <c r="J42" s="24">
        <f>'Form 42 5A'!J53</f>
        <v>0</v>
      </c>
      <c r="K42" s="24">
        <f>'Form 42 5A'!K53</f>
        <v>0</v>
      </c>
      <c r="L42" s="24">
        <f>'Form 42 5A'!L53</f>
        <v>0</v>
      </c>
      <c r="M42" s="24">
        <f>'Form 42 5A'!M53</f>
        <v>0</v>
      </c>
      <c r="N42" s="24">
        <f>'Form 42 5A'!N53</f>
        <v>0</v>
      </c>
      <c r="O42" s="24">
        <f>'Form 42 5A'!O53</f>
        <v>0</v>
      </c>
      <c r="P42" s="24">
        <f>'Form 42 5A'!P53</f>
        <v>0</v>
      </c>
      <c r="Q42" s="24">
        <f>'Form 42 5A'!Q53</f>
        <v>0</v>
      </c>
      <c r="R42" s="24">
        <f>'Form 42 5A'!R53</f>
        <v>0</v>
      </c>
      <c r="S42" s="24">
        <f>'Form 42 5A'!S53</f>
        <v>0</v>
      </c>
      <c r="T42" s="24"/>
    </row>
    <row r="43" spans="1:20" ht="15">
      <c r="A43" s="31" t="s">
        <v>88</v>
      </c>
      <c r="B43" s="1" t="s">
        <v>89</v>
      </c>
      <c r="C43" s="1"/>
      <c r="D43" s="1"/>
      <c r="E43" s="1"/>
      <c r="F43" s="1"/>
      <c r="G43" s="24"/>
      <c r="H43" s="24">
        <f>+'Form 42 5A'!H54</f>
        <v>0</v>
      </c>
      <c r="I43" s="24">
        <f>+'Form 42 5A'!I54</f>
        <v>0</v>
      </c>
      <c r="J43" s="24">
        <f>+'Form 42 5A'!J54</f>
        <v>0</v>
      </c>
      <c r="K43" s="24">
        <f>+'Form 42 5A'!K54</f>
        <v>0</v>
      </c>
      <c r="L43" s="24">
        <f>+'Form 42 5A'!L54</f>
        <v>0</v>
      </c>
      <c r="M43" s="24">
        <f>+'Form 42 5A'!M54</f>
        <v>0</v>
      </c>
      <c r="N43" s="24">
        <f>+'Form 42 5A'!N54</f>
        <v>0</v>
      </c>
      <c r="O43" s="24">
        <f>+'Form 42 5A'!O54</f>
        <v>0</v>
      </c>
      <c r="P43" s="24">
        <f>+'Form 42 5A'!P54</f>
        <v>0</v>
      </c>
      <c r="Q43" s="24">
        <f>+'Form 42 5A'!Q54</f>
        <v>0</v>
      </c>
      <c r="R43" s="24">
        <f>+'Form 42 5A'!R54</f>
        <v>0</v>
      </c>
      <c r="S43" s="24">
        <f>+'Form 42 5A'!S54</f>
        <v>0</v>
      </c>
      <c r="T43" s="24"/>
    </row>
    <row r="45" spans="1:20" ht="15">
      <c r="A45" s="30" t="s">
        <v>90</v>
      </c>
      <c r="B45" t="s">
        <v>91</v>
      </c>
      <c r="H45">
        <f aca="true" t="shared" si="9" ref="H45:S46">ROUND((+H39*H42),0)</f>
        <v>0</v>
      </c>
      <c r="I45">
        <f t="shared" si="9"/>
        <v>0</v>
      </c>
      <c r="J45">
        <f t="shared" si="9"/>
        <v>0</v>
      </c>
      <c r="K45">
        <f t="shared" si="9"/>
        <v>0</v>
      </c>
      <c r="L45">
        <f t="shared" si="9"/>
        <v>0</v>
      </c>
      <c r="M45">
        <f t="shared" si="9"/>
        <v>0</v>
      </c>
      <c r="N45">
        <f t="shared" si="9"/>
        <v>0</v>
      </c>
      <c r="O45">
        <f t="shared" si="9"/>
        <v>0</v>
      </c>
      <c r="P45">
        <f t="shared" si="9"/>
        <v>0</v>
      </c>
      <c r="Q45">
        <f t="shared" si="9"/>
        <v>0</v>
      </c>
      <c r="R45">
        <f t="shared" si="9"/>
        <v>0</v>
      </c>
      <c r="S45">
        <f t="shared" si="9"/>
        <v>0</v>
      </c>
      <c r="T45">
        <f>SUM(H45:S45)</f>
        <v>0</v>
      </c>
    </row>
    <row r="46" spans="1:20" ht="15">
      <c r="A46" s="31" t="s">
        <v>92</v>
      </c>
      <c r="B46" s="1" t="s">
        <v>93</v>
      </c>
      <c r="C46" s="1"/>
      <c r="D46" s="1"/>
      <c r="E46" s="1"/>
      <c r="F46" s="1"/>
      <c r="G46" s="1"/>
      <c r="H46" s="6">
        <f t="shared" si="9"/>
        <v>0</v>
      </c>
      <c r="I46" s="6">
        <f t="shared" si="9"/>
        <v>0</v>
      </c>
      <c r="J46" s="6">
        <f t="shared" si="9"/>
        <v>0</v>
      </c>
      <c r="K46" s="6">
        <f t="shared" si="9"/>
        <v>0</v>
      </c>
      <c r="L46" s="6">
        <f t="shared" si="9"/>
        <v>0</v>
      </c>
      <c r="M46" s="6">
        <f t="shared" si="9"/>
        <v>0</v>
      </c>
      <c r="N46" s="6">
        <f t="shared" si="9"/>
        <v>0</v>
      </c>
      <c r="O46" s="6">
        <f t="shared" si="9"/>
        <v>0</v>
      </c>
      <c r="P46" s="6">
        <f t="shared" si="9"/>
        <v>0</v>
      </c>
      <c r="Q46" s="6">
        <f t="shared" si="9"/>
        <v>0</v>
      </c>
      <c r="R46" s="6">
        <f t="shared" si="9"/>
        <v>0</v>
      </c>
      <c r="S46" s="6">
        <f t="shared" si="9"/>
        <v>0</v>
      </c>
      <c r="T46" s="6">
        <f>SUM(H46:S46)</f>
        <v>0</v>
      </c>
    </row>
    <row r="47" spans="1:20" ht="15.75" thickBot="1">
      <c r="A47" s="31" t="s">
        <v>94</v>
      </c>
      <c r="B47" s="1" t="s">
        <v>95</v>
      </c>
      <c r="C47" s="1"/>
      <c r="D47" s="1"/>
      <c r="E47" s="1"/>
      <c r="F47" s="1"/>
      <c r="G47" s="1"/>
      <c r="H47" s="7">
        <f aca="true" t="shared" si="10" ref="H47:S47">H45+H46</f>
        <v>0</v>
      </c>
      <c r="I47" s="7">
        <f t="shared" si="10"/>
        <v>0</v>
      </c>
      <c r="J47" s="7">
        <f t="shared" si="10"/>
        <v>0</v>
      </c>
      <c r="K47" s="7">
        <f t="shared" si="10"/>
        <v>0</v>
      </c>
      <c r="L47" s="7">
        <f t="shared" si="10"/>
        <v>0</v>
      </c>
      <c r="M47" s="7">
        <f t="shared" si="10"/>
        <v>0</v>
      </c>
      <c r="N47" s="7">
        <f t="shared" si="10"/>
        <v>0</v>
      </c>
      <c r="O47" s="7">
        <f t="shared" si="10"/>
        <v>0</v>
      </c>
      <c r="P47" s="7">
        <f t="shared" si="10"/>
        <v>0</v>
      </c>
      <c r="Q47" s="7">
        <f t="shared" si="10"/>
        <v>0</v>
      </c>
      <c r="R47" s="7">
        <f t="shared" si="10"/>
        <v>0</v>
      </c>
      <c r="S47" s="7">
        <f t="shared" si="10"/>
        <v>0</v>
      </c>
      <c r="T47" s="7">
        <f>SUM(T45:T46)</f>
        <v>0</v>
      </c>
    </row>
    <row r="49" ht="15">
      <c r="A49" s="30" t="s">
        <v>31</v>
      </c>
    </row>
    <row r="50" spans="1:2" ht="15">
      <c r="A50" s="30" t="s">
        <v>96</v>
      </c>
      <c r="B50" t="s">
        <v>97</v>
      </c>
    </row>
    <row r="51" spans="1:2" ht="15">
      <c r="A51" s="30" t="s">
        <v>98</v>
      </c>
      <c r="B51" t="s">
        <v>99</v>
      </c>
    </row>
    <row r="52" spans="1:2" ht="15">
      <c r="A52" s="30" t="s">
        <v>100</v>
      </c>
      <c r="B52" t="s">
        <v>101</v>
      </c>
    </row>
  </sheetData>
  <printOptions/>
  <pageMargins left="0" right="0" top="1" bottom="1" header="0.5" footer="0.5"/>
  <pageSetup horizontalDpi="300" verticalDpi="300" orientation="landscape" scale="43" r:id="rId1"/>
</worksheet>
</file>

<file path=xl/worksheets/sheet24.xml><?xml version="1.0" encoding="utf-8"?>
<worksheet xmlns="http://schemas.openxmlformats.org/spreadsheetml/2006/main" xmlns:r="http://schemas.openxmlformats.org/officeDocument/2006/relationships">
  <sheetPr codeName="Sheet23">
    <pageSetUpPr fitToPage="1"/>
  </sheetPr>
  <dimension ref="A1:T52"/>
  <sheetViews>
    <sheetView zoomScale="75" zoomScaleNormal="75" workbookViewId="0" topLeftCell="A1">
      <selection activeCell="A7" sqref="A7"/>
    </sheetView>
  </sheetViews>
  <sheetFormatPr defaultColWidth="9.77734375" defaultRowHeight="15"/>
  <cols>
    <col min="7" max="12" width="12.77734375" style="0" customWidth="1"/>
    <col min="13" max="16" width="14.3359375" style="0" customWidth="1"/>
    <col min="17" max="21" width="12.77734375" style="0" customWidth="1"/>
  </cols>
  <sheetData>
    <row r="1" spans="1:20" ht="15.75">
      <c r="A1" s="8" t="s">
        <v>438</v>
      </c>
      <c r="B1" s="2"/>
      <c r="C1" s="2"/>
      <c r="D1" s="2"/>
      <c r="E1" s="2"/>
      <c r="F1" s="2"/>
      <c r="G1" s="2"/>
      <c r="H1" s="2"/>
      <c r="I1" s="2"/>
      <c r="J1" s="2"/>
      <c r="K1" s="2"/>
      <c r="L1" s="2"/>
      <c r="T1" s="30" t="s">
        <v>442</v>
      </c>
    </row>
    <row r="2" spans="1:20" ht="15">
      <c r="A2" s="2" t="s">
        <v>0</v>
      </c>
      <c r="B2" s="2"/>
      <c r="C2" s="2"/>
      <c r="D2" s="2"/>
      <c r="E2" s="2"/>
      <c r="F2" s="2"/>
      <c r="G2" s="2"/>
      <c r="H2" s="2"/>
      <c r="I2" s="2"/>
      <c r="J2" s="2"/>
      <c r="K2" s="2"/>
      <c r="L2" s="2"/>
      <c r="T2" s="30" t="s">
        <v>406</v>
      </c>
    </row>
    <row r="3" spans="1:12" ht="15">
      <c r="A3" s="2" t="s">
        <v>494</v>
      </c>
      <c r="B3" s="9"/>
      <c r="C3" s="9"/>
      <c r="D3" s="9"/>
      <c r="E3" s="9"/>
      <c r="F3" s="9"/>
      <c r="G3" s="9"/>
      <c r="H3" s="9"/>
      <c r="I3" s="2"/>
      <c r="J3" s="2"/>
      <c r="K3" s="2"/>
      <c r="L3" s="2"/>
    </row>
    <row r="4" spans="1:12" ht="15.75">
      <c r="A4" s="11" t="str">
        <f>'Form 42 2A'!A4</f>
        <v>January 2003 through December 2003</v>
      </c>
      <c r="B4" s="2"/>
      <c r="C4" s="2"/>
      <c r="D4" s="2"/>
      <c r="E4" s="2"/>
      <c r="F4" s="2"/>
      <c r="G4" s="2"/>
      <c r="H4" s="2"/>
      <c r="I4" s="2"/>
      <c r="J4" s="2"/>
      <c r="K4" s="2"/>
      <c r="L4" s="2"/>
    </row>
    <row r="5" spans="1:12" ht="15">
      <c r="A5" s="67" t="s">
        <v>339</v>
      </c>
      <c r="B5" s="2"/>
      <c r="C5" s="2"/>
      <c r="D5" s="2"/>
      <c r="E5" s="2"/>
      <c r="F5" s="2"/>
      <c r="G5" s="2"/>
      <c r="H5" s="2"/>
      <c r="I5" s="2"/>
      <c r="J5" s="2"/>
      <c r="K5" s="2"/>
      <c r="L5" s="2"/>
    </row>
    <row r="6" spans="1:12" ht="15">
      <c r="A6" s="2" t="s">
        <v>59</v>
      </c>
      <c r="B6" s="2"/>
      <c r="C6" s="2"/>
      <c r="D6" s="2"/>
      <c r="E6" s="2"/>
      <c r="F6" s="2"/>
      <c r="G6" s="2"/>
      <c r="H6" s="2"/>
      <c r="I6" s="2"/>
      <c r="J6" s="2"/>
      <c r="K6" s="2"/>
      <c r="L6" s="2"/>
    </row>
    <row r="7" spans="1:12" ht="15">
      <c r="A7" s="57" t="s">
        <v>489</v>
      </c>
      <c r="B7" s="2"/>
      <c r="C7" s="2"/>
      <c r="D7" s="2"/>
      <c r="E7" s="2"/>
      <c r="F7" s="2"/>
      <c r="G7" s="2"/>
      <c r="H7" s="2"/>
      <c r="I7" s="2"/>
      <c r="J7" s="2"/>
      <c r="K7" s="2"/>
      <c r="L7" s="2"/>
    </row>
    <row r="8" spans="1:12" ht="15">
      <c r="A8" s="2" t="s">
        <v>5</v>
      </c>
      <c r="B8" s="2"/>
      <c r="C8" s="2"/>
      <c r="D8" s="2"/>
      <c r="E8" s="2"/>
      <c r="F8" s="2"/>
      <c r="G8" s="2"/>
      <c r="H8" s="2"/>
      <c r="I8" s="2"/>
      <c r="J8" s="2"/>
      <c r="K8" s="2"/>
      <c r="L8" s="2"/>
    </row>
    <row r="10" spans="1:20" ht="15">
      <c r="A10" s="2"/>
      <c r="T10" s="29" t="s">
        <v>60</v>
      </c>
    </row>
    <row r="11" spans="7:20" ht="15">
      <c r="G11" s="29" t="s">
        <v>61</v>
      </c>
      <c r="T11" s="29" t="s">
        <v>2</v>
      </c>
    </row>
    <row r="12" spans="1:20" ht="15.75" thickBot="1">
      <c r="A12" s="25" t="s">
        <v>3</v>
      </c>
      <c r="B12" s="2"/>
      <c r="C12" s="25" t="s">
        <v>62</v>
      </c>
      <c r="E12" s="2"/>
      <c r="F12" s="2"/>
      <c r="G12" s="19" t="s">
        <v>63</v>
      </c>
      <c r="H12" s="68" t="str">
        <f>'Form 42 2A'!H10</f>
        <v>January 03</v>
      </c>
      <c r="I12" s="68" t="str">
        <f>'Form 42 2A'!I10</f>
        <v>February 03</v>
      </c>
      <c r="J12" s="68" t="str">
        <f>'Form 42 2A'!J10</f>
        <v>March 03</v>
      </c>
      <c r="K12" s="68" t="str">
        <f>'Form 42 2A'!K10</f>
        <v>April 03</v>
      </c>
      <c r="L12" s="68" t="str">
        <f>'Form 42 2A'!L10</f>
        <v>May 03</v>
      </c>
      <c r="M12" s="68" t="str">
        <f>'Form 42 2A'!M10</f>
        <v>June 03</v>
      </c>
      <c r="N12" s="68" t="str">
        <f>'Form 42 2A'!N10</f>
        <v>July 03</v>
      </c>
      <c r="O12" s="68" t="str">
        <f>'Form 42 2A'!O10</f>
        <v>August 03</v>
      </c>
      <c r="P12" s="68" t="str">
        <f>'Form 42 2A'!P10</f>
        <v>September 03</v>
      </c>
      <c r="Q12" s="68" t="str">
        <f>'Form 42 2A'!Q10</f>
        <v>October 03</v>
      </c>
      <c r="R12" s="68" t="str">
        <f>'Form 42 2A'!R10</f>
        <v>November 03</v>
      </c>
      <c r="S12" s="68" t="str">
        <f>'Form 42 2A'!S10</f>
        <v>December 03</v>
      </c>
      <c r="T12" s="19" t="s">
        <v>8</v>
      </c>
    </row>
    <row r="13" spans="1:4" ht="15">
      <c r="A13" s="1"/>
      <c r="B13" s="1"/>
      <c r="C13" s="1"/>
      <c r="D13" s="27"/>
    </row>
    <row r="14" spans="1:2" ht="15">
      <c r="A14" s="30" t="s">
        <v>35</v>
      </c>
      <c r="B14" t="s">
        <v>64</v>
      </c>
    </row>
    <row r="15" spans="1:20" ht="15">
      <c r="A15" s="1"/>
      <c r="B15" s="1" t="s">
        <v>65</v>
      </c>
      <c r="C15" s="1"/>
      <c r="D15" s="1"/>
      <c r="E15" s="1"/>
      <c r="F15" s="1"/>
      <c r="G15" s="1"/>
      <c r="H15" s="49">
        <v>0</v>
      </c>
      <c r="I15" s="49">
        <v>0</v>
      </c>
      <c r="J15" s="49">
        <v>0</v>
      </c>
      <c r="K15" s="49">
        <v>0</v>
      </c>
      <c r="L15" s="49">
        <v>0</v>
      </c>
      <c r="M15" s="5">
        <v>0</v>
      </c>
      <c r="N15" s="5">
        <v>0</v>
      </c>
      <c r="O15" s="5">
        <v>0</v>
      </c>
      <c r="P15" s="5">
        <v>0</v>
      </c>
      <c r="Q15" s="5">
        <v>0</v>
      </c>
      <c r="R15" s="5">
        <v>0</v>
      </c>
      <c r="S15" s="5">
        <v>0</v>
      </c>
      <c r="T15" s="5"/>
    </row>
    <row r="16" spans="2:19" ht="15">
      <c r="B16" t="s">
        <v>66</v>
      </c>
      <c r="H16">
        <v>0</v>
      </c>
      <c r="I16">
        <v>0</v>
      </c>
      <c r="J16">
        <v>0</v>
      </c>
      <c r="K16">
        <v>0</v>
      </c>
      <c r="L16">
        <v>0</v>
      </c>
      <c r="M16">
        <v>0</v>
      </c>
      <c r="N16">
        <v>0</v>
      </c>
      <c r="O16">
        <v>0</v>
      </c>
      <c r="P16">
        <v>0</v>
      </c>
      <c r="Q16">
        <v>0</v>
      </c>
      <c r="R16">
        <v>0</v>
      </c>
      <c r="S16">
        <v>0</v>
      </c>
    </row>
    <row r="17" spans="2:19" ht="15">
      <c r="B17" t="s">
        <v>67</v>
      </c>
      <c r="H17">
        <v>0</v>
      </c>
      <c r="I17">
        <v>0</v>
      </c>
      <c r="J17">
        <v>0</v>
      </c>
      <c r="K17">
        <v>0</v>
      </c>
      <c r="L17">
        <v>0</v>
      </c>
      <c r="M17">
        <v>0</v>
      </c>
      <c r="N17">
        <v>0</v>
      </c>
      <c r="O17">
        <v>0</v>
      </c>
      <c r="P17">
        <v>0</v>
      </c>
      <c r="Q17">
        <v>0</v>
      </c>
      <c r="R17">
        <v>0</v>
      </c>
      <c r="S17">
        <v>0</v>
      </c>
    </row>
    <row r="18" spans="2:19" ht="15">
      <c r="B18" t="s">
        <v>68</v>
      </c>
      <c r="H18">
        <v>0</v>
      </c>
      <c r="I18">
        <v>0</v>
      </c>
      <c r="J18">
        <v>0</v>
      </c>
      <c r="K18">
        <v>0</v>
      </c>
      <c r="L18">
        <v>0</v>
      </c>
      <c r="M18">
        <v>0</v>
      </c>
      <c r="N18">
        <v>0</v>
      </c>
      <c r="O18">
        <v>0</v>
      </c>
      <c r="P18">
        <v>0</v>
      </c>
      <c r="Q18">
        <v>0</v>
      </c>
      <c r="R18">
        <v>0</v>
      </c>
      <c r="S18">
        <v>0</v>
      </c>
    </row>
    <row r="20" spans="1:19" ht="15">
      <c r="A20" s="31" t="s">
        <v>36</v>
      </c>
      <c r="B20" s="1" t="s">
        <v>69</v>
      </c>
      <c r="C20" s="1"/>
      <c r="D20" s="1"/>
      <c r="E20" s="1"/>
      <c r="F20" s="1"/>
      <c r="G20" s="5">
        <f>+depreciation!B995</f>
        <v>120737</v>
      </c>
      <c r="H20">
        <f>+G20+H15</f>
        <v>120737</v>
      </c>
      <c r="I20">
        <f aca="true" t="shared" si="0" ref="I20:S20">+H20+I15</f>
        <v>120737</v>
      </c>
      <c r="J20">
        <f t="shared" si="0"/>
        <v>120737</v>
      </c>
      <c r="K20">
        <f t="shared" si="0"/>
        <v>120737</v>
      </c>
      <c r="L20">
        <f t="shared" si="0"/>
        <v>120737</v>
      </c>
      <c r="M20">
        <f t="shared" si="0"/>
        <v>120737</v>
      </c>
      <c r="N20">
        <f t="shared" si="0"/>
        <v>120737</v>
      </c>
      <c r="O20">
        <f t="shared" si="0"/>
        <v>120737</v>
      </c>
      <c r="P20">
        <f t="shared" si="0"/>
        <v>120737</v>
      </c>
      <c r="Q20">
        <f t="shared" si="0"/>
        <v>120737</v>
      </c>
      <c r="R20">
        <f t="shared" si="0"/>
        <v>120737</v>
      </c>
      <c r="S20">
        <f t="shared" si="0"/>
        <v>120737</v>
      </c>
    </row>
    <row r="21" spans="1:19" ht="15">
      <c r="A21" s="30" t="s">
        <v>38</v>
      </c>
      <c r="B21" t="s">
        <v>70</v>
      </c>
      <c r="G21">
        <f>-depreciation!E995</f>
        <v>-5083</v>
      </c>
      <c r="H21">
        <f aca="true" t="shared" si="1" ref="H21:S21">G21-H32</f>
        <v>-5294</v>
      </c>
      <c r="I21">
        <f t="shared" si="1"/>
        <v>-5505</v>
      </c>
      <c r="J21">
        <f t="shared" si="1"/>
        <v>-5716</v>
      </c>
      <c r="K21">
        <f t="shared" si="1"/>
        <v>-5927</v>
      </c>
      <c r="L21">
        <f t="shared" si="1"/>
        <v>-6138</v>
      </c>
      <c r="M21">
        <f t="shared" si="1"/>
        <v>-6349</v>
      </c>
      <c r="N21">
        <f t="shared" si="1"/>
        <v>-6560</v>
      </c>
      <c r="O21">
        <f t="shared" si="1"/>
        <v>-6771</v>
      </c>
      <c r="P21">
        <f t="shared" si="1"/>
        <v>-6982</v>
      </c>
      <c r="Q21">
        <f t="shared" si="1"/>
        <v>-7193</v>
      </c>
      <c r="R21">
        <f t="shared" si="1"/>
        <v>-7404</v>
      </c>
      <c r="S21">
        <f t="shared" si="1"/>
        <v>-7615</v>
      </c>
    </row>
    <row r="22" spans="1:19" ht="15">
      <c r="A22" s="31" t="s">
        <v>39</v>
      </c>
      <c r="B22" s="1" t="s">
        <v>71</v>
      </c>
      <c r="C22" s="1"/>
      <c r="D22" s="1"/>
      <c r="E22" s="1"/>
      <c r="F22" s="1"/>
      <c r="G22" s="6">
        <v>0</v>
      </c>
      <c r="H22" s="6">
        <v>0</v>
      </c>
      <c r="I22" s="6">
        <v>0</v>
      </c>
      <c r="J22" s="6">
        <v>0</v>
      </c>
      <c r="K22" s="6">
        <v>0</v>
      </c>
      <c r="L22" s="6">
        <v>0</v>
      </c>
      <c r="M22" s="6">
        <v>0</v>
      </c>
      <c r="N22" s="6">
        <v>0</v>
      </c>
      <c r="O22" s="6">
        <f>+O15+N22</f>
        <v>0</v>
      </c>
      <c r="P22" s="6">
        <f>+P15+O22</f>
        <v>0</v>
      </c>
      <c r="Q22" s="6">
        <f>+Q15+P22</f>
        <v>0</v>
      </c>
      <c r="R22" s="6">
        <f>+R15+Q22</f>
        <v>0</v>
      </c>
      <c r="S22" s="6">
        <f>+S15+R22</f>
        <v>0</v>
      </c>
    </row>
    <row r="23" spans="1:20" ht="15">
      <c r="A23" s="31" t="s">
        <v>40</v>
      </c>
      <c r="B23" s="1" t="s">
        <v>72</v>
      </c>
      <c r="C23" s="1"/>
      <c r="D23" s="1"/>
      <c r="E23" s="1"/>
      <c r="F23" s="1"/>
      <c r="G23" s="26">
        <f aca="true" t="shared" si="2" ref="G23:S23">G20+G21+G22</f>
        <v>115654</v>
      </c>
      <c r="H23" s="17">
        <f t="shared" si="2"/>
        <v>115443</v>
      </c>
      <c r="I23" s="17">
        <f t="shared" si="2"/>
        <v>115232</v>
      </c>
      <c r="J23" s="17">
        <f t="shared" si="2"/>
        <v>115021</v>
      </c>
      <c r="K23" s="17">
        <f t="shared" si="2"/>
        <v>114810</v>
      </c>
      <c r="L23" s="17">
        <f t="shared" si="2"/>
        <v>114599</v>
      </c>
      <c r="M23" s="17">
        <f t="shared" si="2"/>
        <v>114388</v>
      </c>
      <c r="N23" s="17">
        <f t="shared" si="2"/>
        <v>114177</v>
      </c>
      <c r="O23" s="17">
        <f t="shared" si="2"/>
        <v>113966</v>
      </c>
      <c r="P23" s="17">
        <f t="shared" si="2"/>
        <v>113755</v>
      </c>
      <c r="Q23" s="17">
        <f t="shared" si="2"/>
        <v>113544</v>
      </c>
      <c r="R23" s="17">
        <f t="shared" si="2"/>
        <v>113333</v>
      </c>
      <c r="S23" s="17">
        <f t="shared" si="2"/>
        <v>113122</v>
      </c>
      <c r="T23" s="16"/>
    </row>
    <row r="25" spans="1:19" ht="15">
      <c r="A25" s="30" t="s">
        <v>42</v>
      </c>
      <c r="B25" t="s">
        <v>73</v>
      </c>
      <c r="H25">
        <f aca="true" t="shared" si="3" ref="H25:N25">ROUND((+G23+H23)/2,0)</f>
        <v>115549</v>
      </c>
      <c r="I25">
        <f t="shared" si="3"/>
        <v>115338</v>
      </c>
      <c r="J25">
        <f t="shared" si="3"/>
        <v>115127</v>
      </c>
      <c r="K25">
        <f t="shared" si="3"/>
        <v>114916</v>
      </c>
      <c r="L25">
        <f t="shared" si="3"/>
        <v>114705</v>
      </c>
      <c r="M25">
        <f t="shared" si="3"/>
        <v>114494</v>
      </c>
      <c r="N25">
        <f t="shared" si="3"/>
        <v>114283</v>
      </c>
      <c r="O25">
        <f>ROUND((+N23+O23)/2,0)</f>
        <v>114072</v>
      </c>
      <c r="P25">
        <f>ROUND((+O23+P23)/2,0)</f>
        <v>113861</v>
      </c>
      <c r="Q25">
        <f>ROUND((+P23+Q23)/2,0)</f>
        <v>113650</v>
      </c>
      <c r="R25">
        <f>ROUND((+Q23+R23)/2,0)</f>
        <v>113439</v>
      </c>
      <c r="S25">
        <f>ROUND((+R23+S23)/2,0)</f>
        <v>113228</v>
      </c>
    </row>
    <row r="27" spans="1:2" ht="15">
      <c r="A27" s="30" t="s">
        <v>43</v>
      </c>
      <c r="B27" t="s">
        <v>74</v>
      </c>
    </row>
    <row r="28" spans="1:20" ht="15">
      <c r="A28" s="1"/>
      <c r="B28" s="1" t="s">
        <v>75</v>
      </c>
      <c r="C28" s="1"/>
      <c r="D28" s="1"/>
      <c r="E28" s="1"/>
      <c r="F28" s="1"/>
      <c r="G28" s="1"/>
      <c r="H28" s="1">
        <f aca="true" t="shared" si="4" ref="H28:S28">ROUND(+H25*(0.088238)/12,0)</f>
        <v>850</v>
      </c>
      <c r="I28" s="1">
        <f t="shared" si="4"/>
        <v>848</v>
      </c>
      <c r="J28" s="1">
        <f t="shared" si="4"/>
        <v>847</v>
      </c>
      <c r="K28" s="1">
        <f t="shared" si="4"/>
        <v>845</v>
      </c>
      <c r="L28" s="1">
        <f t="shared" si="4"/>
        <v>843</v>
      </c>
      <c r="M28" s="1">
        <f t="shared" si="4"/>
        <v>842</v>
      </c>
      <c r="N28" s="1">
        <f t="shared" si="4"/>
        <v>840</v>
      </c>
      <c r="O28" s="1">
        <f t="shared" si="4"/>
        <v>839</v>
      </c>
      <c r="P28" s="1">
        <f t="shared" si="4"/>
        <v>837</v>
      </c>
      <c r="Q28" s="1">
        <f t="shared" si="4"/>
        <v>836</v>
      </c>
      <c r="R28" s="1">
        <f t="shared" si="4"/>
        <v>834</v>
      </c>
      <c r="S28" s="1">
        <f t="shared" si="4"/>
        <v>833</v>
      </c>
      <c r="T28" s="5">
        <f>SUM(H28:S28)</f>
        <v>10094</v>
      </c>
    </row>
    <row r="29" spans="2:20" ht="15">
      <c r="B29" t="s">
        <v>76</v>
      </c>
      <c r="H29">
        <f aca="true" t="shared" si="5" ref="H29:S29">ROUND(+H25*(0.0282)/12,0)</f>
        <v>272</v>
      </c>
      <c r="I29">
        <f t="shared" si="5"/>
        <v>271</v>
      </c>
      <c r="J29">
        <f t="shared" si="5"/>
        <v>271</v>
      </c>
      <c r="K29">
        <f t="shared" si="5"/>
        <v>270</v>
      </c>
      <c r="L29">
        <f t="shared" si="5"/>
        <v>270</v>
      </c>
      <c r="M29">
        <f t="shared" si="5"/>
        <v>269</v>
      </c>
      <c r="N29">
        <f t="shared" si="5"/>
        <v>269</v>
      </c>
      <c r="O29">
        <f t="shared" si="5"/>
        <v>268</v>
      </c>
      <c r="P29">
        <f t="shared" si="5"/>
        <v>268</v>
      </c>
      <c r="Q29">
        <f t="shared" si="5"/>
        <v>267</v>
      </c>
      <c r="R29">
        <f t="shared" si="5"/>
        <v>267</v>
      </c>
      <c r="S29">
        <f t="shared" si="5"/>
        <v>266</v>
      </c>
      <c r="T29">
        <f>SUM(H29:S29)</f>
        <v>3228</v>
      </c>
    </row>
    <row r="31" spans="1:2" ht="15">
      <c r="A31" s="30" t="s">
        <v>44</v>
      </c>
      <c r="B31" t="s">
        <v>77</v>
      </c>
    </row>
    <row r="32" spans="2:20" ht="15">
      <c r="B32" t="s">
        <v>78</v>
      </c>
      <c r="H32">
        <f>+depreciation!D997</f>
        <v>211</v>
      </c>
      <c r="I32">
        <f>+depreciation!D998</f>
        <v>211</v>
      </c>
      <c r="J32">
        <f>+depreciation!D999</f>
        <v>211</v>
      </c>
      <c r="K32">
        <f>+depreciation!D1000</f>
        <v>211</v>
      </c>
      <c r="L32">
        <f>+depreciation!D1001</f>
        <v>211</v>
      </c>
      <c r="M32">
        <f>+depreciation!D1002</f>
        <v>211</v>
      </c>
      <c r="N32">
        <f>+depreciation!D1003</f>
        <v>211</v>
      </c>
      <c r="O32">
        <f>+depreciation!D1004</f>
        <v>211</v>
      </c>
      <c r="P32">
        <f>+depreciation!D1005</f>
        <v>211</v>
      </c>
      <c r="Q32">
        <f>+depreciation!D1006</f>
        <v>211</v>
      </c>
      <c r="R32">
        <f>+depreciation!D1007</f>
        <v>211</v>
      </c>
      <c r="S32">
        <f>+depreciation!D1008</f>
        <v>211</v>
      </c>
      <c r="T32">
        <f>SUM(H32:S32)</f>
        <v>2532</v>
      </c>
    </row>
    <row r="33" spans="2:20" ht="15">
      <c r="B33" t="s">
        <v>79</v>
      </c>
      <c r="H33">
        <v>0</v>
      </c>
      <c r="I33">
        <v>0</v>
      </c>
      <c r="J33">
        <v>0</v>
      </c>
      <c r="K33">
        <v>0</v>
      </c>
      <c r="L33">
        <v>0</v>
      </c>
      <c r="M33">
        <v>0</v>
      </c>
      <c r="N33">
        <v>0</v>
      </c>
      <c r="O33">
        <v>0</v>
      </c>
      <c r="P33">
        <v>0</v>
      </c>
      <c r="Q33">
        <v>0</v>
      </c>
      <c r="R33">
        <v>0</v>
      </c>
      <c r="S33">
        <v>0</v>
      </c>
      <c r="T33">
        <f>SUM(H33:S33)</f>
        <v>0</v>
      </c>
    </row>
    <row r="34" spans="2:20" ht="15">
      <c r="B34" t="s">
        <v>80</v>
      </c>
      <c r="H34">
        <v>0</v>
      </c>
      <c r="I34">
        <v>0</v>
      </c>
      <c r="J34">
        <v>0</v>
      </c>
      <c r="K34">
        <v>0</v>
      </c>
      <c r="L34">
        <v>0</v>
      </c>
      <c r="M34">
        <v>0</v>
      </c>
      <c r="N34">
        <v>0</v>
      </c>
      <c r="O34">
        <v>0</v>
      </c>
      <c r="P34">
        <v>0</v>
      </c>
      <c r="Q34">
        <v>0</v>
      </c>
      <c r="R34">
        <v>0</v>
      </c>
      <c r="S34">
        <v>0</v>
      </c>
      <c r="T34">
        <f>SUM(H34:S34)</f>
        <v>0</v>
      </c>
    </row>
    <row r="35" spans="2:20" ht="15">
      <c r="B35" t="s">
        <v>81</v>
      </c>
      <c r="H35">
        <v>0</v>
      </c>
      <c r="I35">
        <v>0</v>
      </c>
      <c r="J35">
        <v>0</v>
      </c>
      <c r="K35">
        <v>0</v>
      </c>
      <c r="L35">
        <v>0</v>
      </c>
      <c r="M35">
        <v>0</v>
      </c>
      <c r="N35">
        <v>0</v>
      </c>
      <c r="O35">
        <v>0</v>
      </c>
      <c r="P35">
        <v>0</v>
      </c>
      <c r="Q35">
        <v>0</v>
      </c>
      <c r="R35">
        <v>0</v>
      </c>
      <c r="S35">
        <v>0</v>
      </c>
      <c r="T35">
        <f>SUM(H35:S35)</f>
        <v>0</v>
      </c>
    </row>
    <row r="36" spans="1:20" ht="15">
      <c r="A36" s="1"/>
      <c r="B36" s="1" t="s">
        <v>82</v>
      </c>
      <c r="C36" s="1"/>
      <c r="D36" s="1"/>
      <c r="E36" s="1"/>
      <c r="F36" s="1"/>
      <c r="G36" s="1"/>
      <c r="H36" s="6">
        <v>0</v>
      </c>
      <c r="I36" s="6">
        <v>0</v>
      </c>
      <c r="J36" s="6">
        <v>0</v>
      </c>
      <c r="K36" s="6">
        <v>0</v>
      </c>
      <c r="L36" s="6">
        <v>0</v>
      </c>
      <c r="M36" s="6">
        <v>0</v>
      </c>
      <c r="N36" s="6">
        <v>0</v>
      </c>
      <c r="O36" s="6">
        <v>0</v>
      </c>
      <c r="P36" s="6">
        <v>0</v>
      </c>
      <c r="Q36" s="6">
        <v>0</v>
      </c>
      <c r="R36" s="6">
        <v>0</v>
      </c>
      <c r="S36" s="6">
        <v>0</v>
      </c>
      <c r="T36" s="6">
        <f>SUM(H36:S36)</f>
        <v>0</v>
      </c>
    </row>
    <row r="38" spans="1:20" ht="15">
      <c r="A38" s="30" t="s">
        <v>45</v>
      </c>
      <c r="B38" t="s">
        <v>83</v>
      </c>
      <c r="H38">
        <f aca="true" t="shared" si="6" ref="H38:S38">ROUND(+H28+H29+H32+H33+H34+H35+H36,0)</f>
        <v>1333</v>
      </c>
      <c r="I38">
        <f t="shared" si="6"/>
        <v>1330</v>
      </c>
      <c r="J38">
        <f t="shared" si="6"/>
        <v>1329</v>
      </c>
      <c r="K38">
        <f t="shared" si="6"/>
        <v>1326</v>
      </c>
      <c r="L38">
        <f t="shared" si="6"/>
        <v>1324</v>
      </c>
      <c r="M38">
        <f t="shared" si="6"/>
        <v>1322</v>
      </c>
      <c r="N38">
        <f t="shared" si="6"/>
        <v>1320</v>
      </c>
      <c r="O38">
        <f t="shared" si="6"/>
        <v>1318</v>
      </c>
      <c r="P38">
        <f t="shared" si="6"/>
        <v>1316</v>
      </c>
      <c r="Q38">
        <f t="shared" si="6"/>
        <v>1314</v>
      </c>
      <c r="R38">
        <f t="shared" si="6"/>
        <v>1312</v>
      </c>
      <c r="S38">
        <f t="shared" si="6"/>
        <v>1310</v>
      </c>
      <c r="T38">
        <f>SUM(H38:S38)</f>
        <v>15854</v>
      </c>
    </row>
    <row r="39" spans="2:20" ht="15">
      <c r="B39" t="s">
        <v>84</v>
      </c>
      <c r="H39">
        <f aca="true" t="shared" si="7" ref="H39:S39">ROUND(+H38*1,0)</f>
        <v>1333</v>
      </c>
      <c r="I39">
        <f t="shared" si="7"/>
        <v>1330</v>
      </c>
      <c r="J39">
        <f t="shared" si="7"/>
        <v>1329</v>
      </c>
      <c r="K39">
        <f t="shared" si="7"/>
        <v>1326</v>
      </c>
      <c r="L39">
        <f t="shared" si="7"/>
        <v>1324</v>
      </c>
      <c r="M39">
        <f t="shared" si="7"/>
        <v>1322</v>
      </c>
      <c r="N39">
        <f t="shared" si="7"/>
        <v>1320</v>
      </c>
      <c r="O39">
        <f t="shared" si="7"/>
        <v>1318</v>
      </c>
      <c r="P39">
        <f t="shared" si="7"/>
        <v>1316</v>
      </c>
      <c r="Q39">
        <f t="shared" si="7"/>
        <v>1314</v>
      </c>
      <c r="R39">
        <f t="shared" si="7"/>
        <v>1312</v>
      </c>
      <c r="S39">
        <f t="shared" si="7"/>
        <v>1310</v>
      </c>
      <c r="T39">
        <f>SUM(H39:S39)</f>
        <v>15854</v>
      </c>
    </row>
    <row r="40" spans="2:20" ht="15">
      <c r="B40" t="s">
        <v>85</v>
      </c>
      <c r="H40">
        <f aca="true" t="shared" si="8" ref="H40:S40">ROUND(+H38*0,0)</f>
        <v>0</v>
      </c>
      <c r="I40">
        <f t="shared" si="8"/>
        <v>0</v>
      </c>
      <c r="J40">
        <f t="shared" si="8"/>
        <v>0</v>
      </c>
      <c r="K40">
        <f t="shared" si="8"/>
        <v>0</v>
      </c>
      <c r="L40">
        <f t="shared" si="8"/>
        <v>0</v>
      </c>
      <c r="M40">
        <f t="shared" si="8"/>
        <v>0</v>
      </c>
      <c r="N40">
        <f t="shared" si="8"/>
        <v>0</v>
      </c>
      <c r="O40">
        <f t="shared" si="8"/>
        <v>0</v>
      </c>
      <c r="P40">
        <f t="shared" si="8"/>
        <v>0</v>
      </c>
      <c r="Q40">
        <f t="shared" si="8"/>
        <v>0</v>
      </c>
      <c r="R40">
        <f t="shared" si="8"/>
        <v>0</v>
      </c>
      <c r="S40">
        <f t="shared" si="8"/>
        <v>0</v>
      </c>
      <c r="T40">
        <f>SUM(H40:S40)</f>
        <v>0</v>
      </c>
    </row>
    <row r="42" spans="1:20" ht="15">
      <c r="A42" s="31" t="s">
        <v>86</v>
      </c>
      <c r="B42" s="1" t="s">
        <v>87</v>
      </c>
      <c r="C42" s="1"/>
      <c r="D42" s="1"/>
      <c r="E42" s="1"/>
      <c r="F42" s="1"/>
      <c r="G42" s="24"/>
      <c r="H42" s="24">
        <f>'Form 42 5A'!H53</f>
        <v>0</v>
      </c>
      <c r="I42" s="24">
        <f>'Form 42 5A'!I53</f>
        <v>0</v>
      </c>
      <c r="J42" s="24">
        <f>'Form 42 5A'!J53</f>
        <v>0</v>
      </c>
      <c r="K42" s="24">
        <f>'Form 42 5A'!K53</f>
        <v>0</v>
      </c>
      <c r="L42" s="24">
        <f>'Form 42 5A'!L53</f>
        <v>0</v>
      </c>
      <c r="M42" s="24">
        <f>'Form 42 5A'!M53</f>
        <v>0</v>
      </c>
      <c r="N42" s="24">
        <f>'Form 42 5A'!N53</f>
        <v>0</v>
      </c>
      <c r="O42" s="24">
        <f>'Form 42 5A'!O53</f>
        <v>0</v>
      </c>
      <c r="P42" s="24">
        <f>'Form 42 5A'!P53</f>
        <v>0</v>
      </c>
      <c r="Q42" s="24">
        <f>'Form 42 5A'!Q53</f>
        <v>0</v>
      </c>
      <c r="R42" s="24">
        <f>'Form 42 5A'!R53</f>
        <v>0</v>
      </c>
      <c r="S42" s="24">
        <f>'Form 42 5A'!S53</f>
        <v>0</v>
      </c>
      <c r="T42" s="24"/>
    </row>
    <row r="43" spans="1:20" ht="15">
      <c r="A43" s="31" t="s">
        <v>88</v>
      </c>
      <c r="B43" s="1" t="s">
        <v>89</v>
      </c>
      <c r="C43" s="1"/>
      <c r="D43" s="1"/>
      <c r="E43" s="1"/>
      <c r="F43" s="1"/>
      <c r="G43" s="24"/>
      <c r="H43" s="24">
        <f>+'Form 42 5A'!H54</f>
        <v>0</v>
      </c>
      <c r="I43" s="24">
        <f>+'Form 42 5A'!I54</f>
        <v>0</v>
      </c>
      <c r="J43" s="24">
        <f>+'Form 42 5A'!J54</f>
        <v>0</v>
      </c>
      <c r="K43" s="24">
        <f>+'Form 42 5A'!K54</f>
        <v>0</v>
      </c>
      <c r="L43" s="24">
        <f>+'Form 42 5A'!L54</f>
        <v>0</v>
      </c>
      <c r="M43" s="24">
        <f>+'Form 42 5A'!M54</f>
        <v>0</v>
      </c>
      <c r="N43" s="24">
        <f>+'Form 42 5A'!N54</f>
        <v>0</v>
      </c>
      <c r="O43" s="24">
        <f>+'Form 42 5A'!O54</f>
        <v>0</v>
      </c>
      <c r="P43" s="24">
        <f>+'Form 42 5A'!P54</f>
        <v>0</v>
      </c>
      <c r="Q43" s="24">
        <f>+'Form 42 5A'!Q54</f>
        <v>0</v>
      </c>
      <c r="R43" s="24">
        <f>+'Form 42 5A'!R54</f>
        <v>0</v>
      </c>
      <c r="S43" s="24">
        <f>+'Form 42 5A'!S54</f>
        <v>0</v>
      </c>
      <c r="T43" s="24"/>
    </row>
    <row r="45" spans="1:20" ht="15">
      <c r="A45" s="30" t="s">
        <v>90</v>
      </c>
      <c r="B45" t="s">
        <v>91</v>
      </c>
      <c r="H45">
        <f aca="true" t="shared" si="9" ref="H45:S45">ROUND((+H39*H42),0)</f>
        <v>0</v>
      </c>
      <c r="I45">
        <f t="shared" si="9"/>
        <v>0</v>
      </c>
      <c r="J45">
        <f t="shared" si="9"/>
        <v>0</v>
      </c>
      <c r="K45">
        <f t="shared" si="9"/>
        <v>0</v>
      </c>
      <c r="L45">
        <f t="shared" si="9"/>
        <v>0</v>
      </c>
      <c r="M45">
        <f t="shared" si="9"/>
        <v>0</v>
      </c>
      <c r="N45">
        <f t="shared" si="9"/>
        <v>0</v>
      </c>
      <c r="O45">
        <f t="shared" si="9"/>
        <v>0</v>
      </c>
      <c r="P45">
        <f t="shared" si="9"/>
        <v>0</v>
      </c>
      <c r="Q45">
        <f t="shared" si="9"/>
        <v>0</v>
      </c>
      <c r="R45">
        <f t="shared" si="9"/>
        <v>0</v>
      </c>
      <c r="S45">
        <f t="shared" si="9"/>
        <v>0</v>
      </c>
      <c r="T45">
        <f>SUM(H45:S45)</f>
        <v>0</v>
      </c>
    </row>
    <row r="46" spans="1:20" ht="15">
      <c r="A46" s="31" t="s">
        <v>92</v>
      </c>
      <c r="B46" s="1" t="s">
        <v>93</v>
      </c>
      <c r="C46" s="1"/>
      <c r="D46" s="1"/>
      <c r="E46" s="1"/>
      <c r="F46" s="1"/>
      <c r="G46" s="1"/>
      <c r="H46" s="6">
        <f aca="true" t="shared" si="10" ref="H46:S46">(+H40*H43)</f>
        <v>0</v>
      </c>
      <c r="I46" s="6">
        <f t="shared" si="10"/>
        <v>0</v>
      </c>
      <c r="J46" s="6">
        <f t="shared" si="10"/>
        <v>0</v>
      </c>
      <c r="K46" s="6">
        <f t="shared" si="10"/>
        <v>0</v>
      </c>
      <c r="L46" s="6">
        <f t="shared" si="10"/>
        <v>0</v>
      </c>
      <c r="M46" s="6">
        <f t="shared" si="10"/>
        <v>0</v>
      </c>
      <c r="N46" s="6">
        <f t="shared" si="10"/>
        <v>0</v>
      </c>
      <c r="O46" s="6">
        <f t="shared" si="10"/>
        <v>0</v>
      </c>
      <c r="P46" s="6">
        <f t="shared" si="10"/>
        <v>0</v>
      </c>
      <c r="Q46" s="6">
        <f t="shared" si="10"/>
        <v>0</v>
      </c>
      <c r="R46" s="6">
        <f t="shared" si="10"/>
        <v>0</v>
      </c>
      <c r="S46" s="6">
        <f t="shared" si="10"/>
        <v>0</v>
      </c>
      <c r="T46" s="6">
        <f>SUM(H46:S46)</f>
        <v>0</v>
      </c>
    </row>
    <row r="47" spans="1:20" ht="15.75" thickBot="1">
      <c r="A47" s="31" t="s">
        <v>94</v>
      </c>
      <c r="B47" s="1" t="s">
        <v>95</v>
      </c>
      <c r="C47" s="1"/>
      <c r="D47" s="1"/>
      <c r="E47" s="1"/>
      <c r="F47" s="1"/>
      <c r="G47" s="1"/>
      <c r="H47" s="7">
        <f aca="true" t="shared" si="11" ref="H47:S47">H45+H46</f>
        <v>0</v>
      </c>
      <c r="I47" s="7">
        <f t="shared" si="11"/>
        <v>0</v>
      </c>
      <c r="J47" s="7">
        <f t="shared" si="11"/>
        <v>0</v>
      </c>
      <c r="K47" s="7">
        <f t="shared" si="11"/>
        <v>0</v>
      </c>
      <c r="L47" s="7">
        <f t="shared" si="11"/>
        <v>0</v>
      </c>
      <c r="M47" s="7">
        <f t="shared" si="11"/>
        <v>0</v>
      </c>
      <c r="N47" s="7">
        <f t="shared" si="11"/>
        <v>0</v>
      </c>
      <c r="O47" s="7">
        <f t="shared" si="11"/>
        <v>0</v>
      </c>
      <c r="P47" s="7">
        <f t="shared" si="11"/>
        <v>0</v>
      </c>
      <c r="Q47" s="7">
        <f t="shared" si="11"/>
        <v>0</v>
      </c>
      <c r="R47" s="7">
        <f t="shared" si="11"/>
        <v>0</v>
      </c>
      <c r="S47" s="7">
        <f t="shared" si="11"/>
        <v>0</v>
      </c>
      <c r="T47" s="7">
        <f>SUM(T45:T46)</f>
        <v>0</v>
      </c>
    </row>
    <row r="49" ht="15">
      <c r="A49" s="30" t="s">
        <v>31</v>
      </c>
    </row>
    <row r="50" spans="1:2" ht="15">
      <c r="A50" s="30" t="s">
        <v>96</v>
      </c>
      <c r="B50" t="s">
        <v>97</v>
      </c>
    </row>
    <row r="51" spans="1:2" ht="15">
      <c r="A51" s="30" t="s">
        <v>98</v>
      </c>
      <c r="B51" t="s">
        <v>99</v>
      </c>
    </row>
    <row r="52" spans="1:2" ht="15">
      <c r="A52" s="30" t="s">
        <v>100</v>
      </c>
      <c r="B52" t="s">
        <v>101</v>
      </c>
    </row>
  </sheetData>
  <printOptions/>
  <pageMargins left="0.75" right="0.75" top="1" bottom="1" header="0.5" footer="0.5"/>
  <pageSetup fitToHeight="1" fitToWidth="1" horizontalDpi="600" verticalDpi="600" orientation="landscape" scale="42" r:id="rId1"/>
</worksheet>
</file>

<file path=xl/worksheets/sheet25.xml><?xml version="1.0" encoding="utf-8"?>
<worksheet xmlns="http://schemas.openxmlformats.org/spreadsheetml/2006/main" xmlns:r="http://schemas.openxmlformats.org/officeDocument/2006/relationships">
  <sheetPr codeName="Sheet231">
    <pageSetUpPr fitToPage="1"/>
  </sheetPr>
  <dimension ref="A1:T52"/>
  <sheetViews>
    <sheetView zoomScale="75" zoomScaleNormal="75" workbookViewId="0" topLeftCell="A1">
      <selection activeCell="A7" sqref="A7"/>
    </sheetView>
  </sheetViews>
  <sheetFormatPr defaultColWidth="9.77734375" defaultRowHeight="15"/>
  <cols>
    <col min="7" max="12" width="12.77734375" style="0" customWidth="1"/>
    <col min="13" max="16" width="14.3359375" style="0" customWidth="1"/>
    <col min="17" max="21" width="12.77734375" style="0" customWidth="1"/>
  </cols>
  <sheetData>
    <row r="1" spans="1:20" ht="15.75">
      <c r="A1" s="8" t="s">
        <v>438</v>
      </c>
      <c r="B1" s="2"/>
      <c r="C1" s="2"/>
      <c r="D1" s="2"/>
      <c r="E1" s="2"/>
      <c r="F1" s="2"/>
      <c r="G1" s="2"/>
      <c r="H1" s="2"/>
      <c r="I1" s="2"/>
      <c r="J1" s="2"/>
      <c r="K1" s="2"/>
      <c r="L1" s="2"/>
      <c r="T1" s="30" t="s">
        <v>442</v>
      </c>
    </row>
    <row r="2" spans="1:20" ht="15">
      <c r="A2" s="2" t="s">
        <v>0</v>
      </c>
      <c r="B2" s="2"/>
      <c r="C2" s="2"/>
      <c r="D2" s="2"/>
      <c r="E2" s="2"/>
      <c r="F2" s="2"/>
      <c r="G2" s="2"/>
      <c r="H2" s="2"/>
      <c r="I2" s="2"/>
      <c r="J2" s="2"/>
      <c r="K2" s="2"/>
      <c r="L2" s="2"/>
      <c r="T2" s="30" t="s">
        <v>407</v>
      </c>
    </row>
    <row r="3" spans="1:12" ht="15">
      <c r="A3" s="2" t="s">
        <v>494</v>
      </c>
      <c r="B3" s="9"/>
      <c r="C3" s="9"/>
      <c r="D3" s="9"/>
      <c r="E3" s="9"/>
      <c r="F3" s="9"/>
      <c r="G3" s="9"/>
      <c r="H3" s="9"/>
      <c r="I3" s="2"/>
      <c r="J3" s="2"/>
      <c r="K3" s="2"/>
      <c r="L3" s="2"/>
    </row>
    <row r="4" spans="1:12" ht="15.75">
      <c r="A4" s="11" t="str">
        <f>'Form 42 2A'!A4</f>
        <v>January 2003 through December 2003</v>
      </c>
      <c r="B4" s="2"/>
      <c r="C4" s="2"/>
      <c r="D4" s="2"/>
      <c r="E4" s="2"/>
      <c r="F4" s="2"/>
      <c r="G4" s="2"/>
      <c r="H4" s="2"/>
      <c r="I4" s="2"/>
      <c r="J4" s="2"/>
      <c r="K4" s="2"/>
      <c r="L4" s="2"/>
    </row>
    <row r="5" spans="1:12" ht="15">
      <c r="A5" s="67" t="s">
        <v>340</v>
      </c>
      <c r="B5" s="2"/>
      <c r="C5" s="2"/>
      <c r="D5" s="2"/>
      <c r="E5" s="2"/>
      <c r="F5" s="2"/>
      <c r="G5" s="2"/>
      <c r="H5" s="2"/>
      <c r="I5" s="2"/>
      <c r="J5" s="2"/>
      <c r="K5" s="2"/>
      <c r="L5" s="2"/>
    </row>
    <row r="6" spans="1:12" ht="15">
      <c r="A6" s="2" t="s">
        <v>59</v>
      </c>
      <c r="B6" s="2"/>
      <c r="C6" s="2"/>
      <c r="D6" s="2"/>
      <c r="E6" s="2"/>
      <c r="F6" s="2"/>
      <c r="G6" s="2"/>
      <c r="H6" s="2"/>
      <c r="I6" s="2"/>
      <c r="J6" s="2"/>
      <c r="K6" s="2"/>
      <c r="L6" s="2"/>
    </row>
    <row r="7" spans="1:12" ht="15">
      <c r="A7" s="57" t="s">
        <v>489</v>
      </c>
      <c r="B7" s="2"/>
      <c r="C7" s="2"/>
      <c r="D7" s="2"/>
      <c r="E7" s="2"/>
      <c r="F7" s="2"/>
      <c r="G7" s="2"/>
      <c r="H7" s="2"/>
      <c r="I7" s="2"/>
      <c r="J7" s="2"/>
      <c r="K7" s="2"/>
      <c r="L7" s="2"/>
    </row>
    <row r="8" spans="1:12" ht="15">
      <c r="A8" s="2" t="s">
        <v>5</v>
      </c>
      <c r="B8" s="2"/>
      <c r="C8" s="2"/>
      <c r="D8" s="2"/>
      <c r="E8" s="2"/>
      <c r="F8" s="2"/>
      <c r="G8" s="2"/>
      <c r="H8" s="2"/>
      <c r="I8" s="2"/>
      <c r="J8" s="2"/>
      <c r="K8" s="2"/>
      <c r="L8" s="2"/>
    </row>
    <row r="10" spans="1:20" ht="15">
      <c r="A10" s="2"/>
      <c r="T10" s="29" t="s">
        <v>60</v>
      </c>
    </row>
    <row r="11" spans="7:20" ht="15">
      <c r="G11" s="29" t="s">
        <v>61</v>
      </c>
      <c r="T11" s="29" t="s">
        <v>2</v>
      </c>
    </row>
    <row r="12" spans="1:20" ht="15.75" thickBot="1">
      <c r="A12" s="25" t="s">
        <v>3</v>
      </c>
      <c r="B12" s="2"/>
      <c r="C12" s="25" t="s">
        <v>62</v>
      </c>
      <c r="E12" s="2"/>
      <c r="F12" s="2"/>
      <c r="G12" s="19" t="s">
        <v>63</v>
      </c>
      <c r="H12" s="68" t="str">
        <f>'Form 42 2A'!H10</f>
        <v>January 03</v>
      </c>
      <c r="I12" s="68" t="str">
        <f>'Form 42 2A'!I10</f>
        <v>February 03</v>
      </c>
      <c r="J12" s="68" t="str">
        <f>'Form 42 2A'!J10</f>
        <v>March 03</v>
      </c>
      <c r="K12" s="68" t="str">
        <f>'Form 42 2A'!K10</f>
        <v>April 03</v>
      </c>
      <c r="L12" s="68" t="str">
        <f>'Form 42 2A'!L10</f>
        <v>May 03</v>
      </c>
      <c r="M12" s="68" t="str">
        <f>'Form 42 2A'!M10</f>
        <v>June 03</v>
      </c>
      <c r="N12" s="68" t="str">
        <f>'Form 42 2A'!N10</f>
        <v>July 03</v>
      </c>
      <c r="O12" s="68" t="str">
        <f>'Form 42 2A'!O10</f>
        <v>August 03</v>
      </c>
      <c r="P12" s="68" t="str">
        <f>'Form 42 2A'!P10</f>
        <v>September 03</v>
      </c>
      <c r="Q12" s="68" t="str">
        <f>'Form 42 2A'!Q10</f>
        <v>October 03</v>
      </c>
      <c r="R12" s="68" t="str">
        <f>'Form 42 2A'!R10</f>
        <v>November 03</v>
      </c>
      <c r="S12" s="68" t="str">
        <f>'Form 42 2A'!S10</f>
        <v>December 03</v>
      </c>
      <c r="T12" s="19" t="s">
        <v>8</v>
      </c>
    </row>
    <row r="13" spans="1:4" ht="15">
      <c r="A13" s="1"/>
      <c r="B13" s="1"/>
      <c r="C13" s="1"/>
      <c r="D13" s="27"/>
    </row>
    <row r="14" spans="1:2" ht="15">
      <c r="A14" s="30" t="s">
        <v>35</v>
      </c>
      <c r="B14" t="s">
        <v>64</v>
      </c>
    </row>
    <row r="15" spans="1:20" ht="15">
      <c r="A15" s="1"/>
      <c r="B15" s="1" t="s">
        <v>65</v>
      </c>
      <c r="C15" s="1"/>
      <c r="D15" s="1"/>
      <c r="E15" s="1"/>
      <c r="F15" s="1"/>
      <c r="G15" s="1"/>
      <c r="H15" s="74">
        <v>0</v>
      </c>
      <c r="I15" s="74">
        <v>0</v>
      </c>
      <c r="J15" s="74">
        <v>0</v>
      </c>
      <c r="K15" s="74">
        <v>0</v>
      </c>
      <c r="L15" s="74">
        <v>0</v>
      </c>
      <c r="M15" s="74">
        <v>0</v>
      </c>
      <c r="N15" s="74">
        <v>0</v>
      </c>
      <c r="O15" s="74">
        <v>0</v>
      </c>
      <c r="P15" s="74">
        <v>0</v>
      </c>
      <c r="Q15" s="74">
        <v>0</v>
      </c>
      <c r="R15" s="74">
        <v>0</v>
      </c>
      <c r="S15" s="74">
        <v>0</v>
      </c>
      <c r="T15" s="5"/>
    </row>
    <row r="16" spans="2:19" ht="15">
      <c r="B16" t="s">
        <v>66</v>
      </c>
      <c r="H16">
        <v>0</v>
      </c>
      <c r="I16">
        <v>0</v>
      </c>
      <c r="J16">
        <v>0</v>
      </c>
      <c r="K16">
        <v>0</v>
      </c>
      <c r="L16">
        <v>0</v>
      </c>
      <c r="M16">
        <v>0</v>
      </c>
      <c r="N16">
        <v>0</v>
      </c>
      <c r="O16">
        <v>0</v>
      </c>
      <c r="P16">
        <v>0</v>
      </c>
      <c r="Q16">
        <v>0</v>
      </c>
      <c r="R16">
        <v>0</v>
      </c>
      <c r="S16">
        <v>0</v>
      </c>
    </row>
    <row r="17" spans="2:19" ht="15">
      <c r="B17" t="s">
        <v>67</v>
      </c>
      <c r="H17">
        <v>0</v>
      </c>
      <c r="I17">
        <v>0</v>
      </c>
      <c r="J17">
        <v>0</v>
      </c>
      <c r="K17">
        <v>0</v>
      </c>
      <c r="L17">
        <v>0</v>
      </c>
      <c r="M17">
        <v>0</v>
      </c>
      <c r="N17">
        <v>0</v>
      </c>
      <c r="O17">
        <v>0</v>
      </c>
      <c r="P17">
        <v>0</v>
      </c>
      <c r="Q17">
        <v>0</v>
      </c>
      <c r="R17">
        <v>0</v>
      </c>
      <c r="S17">
        <v>0</v>
      </c>
    </row>
    <row r="18" spans="2:19" ht="15">
      <c r="B18" t="s">
        <v>68</v>
      </c>
      <c r="H18">
        <v>0</v>
      </c>
      <c r="I18">
        <v>0</v>
      </c>
      <c r="J18">
        <v>0</v>
      </c>
      <c r="K18">
        <v>0</v>
      </c>
      <c r="L18">
        <v>0</v>
      </c>
      <c r="M18">
        <v>0</v>
      </c>
      <c r="N18">
        <v>0</v>
      </c>
      <c r="O18">
        <v>0</v>
      </c>
      <c r="P18">
        <v>0</v>
      </c>
      <c r="Q18">
        <v>0</v>
      </c>
      <c r="R18">
        <v>0</v>
      </c>
      <c r="S18">
        <v>0</v>
      </c>
    </row>
    <row r="20" spans="1:19" ht="15">
      <c r="A20" s="31" t="s">
        <v>36</v>
      </c>
      <c r="B20" s="1" t="s">
        <v>69</v>
      </c>
      <c r="C20" s="1"/>
      <c r="D20" s="1"/>
      <c r="E20" s="1"/>
      <c r="F20" s="1"/>
      <c r="G20" s="5">
        <f>+depreciation!B1310</f>
        <v>83129721</v>
      </c>
      <c r="H20">
        <f>+G20+H15</f>
        <v>83129721</v>
      </c>
      <c r="I20">
        <f aca="true" t="shared" si="0" ref="I20:S20">+H20+I15</f>
        <v>83129721</v>
      </c>
      <c r="J20">
        <f t="shared" si="0"/>
        <v>83129721</v>
      </c>
      <c r="K20">
        <f t="shared" si="0"/>
        <v>83129721</v>
      </c>
      <c r="L20">
        <f t="shared" si="0"/>
        <v>83129721</v>
      </c>
      <c r="M20">
        <f t="shared" si="0"/>
        <v>83129721</v>
      </c>
      <c r="N20">
        <f t="shared" si="0"/>
        <v>83129721</v>
      </c>
      <c r="O20">
        <f t="shared" si="0"/>
        <v>83129721</v>
      </c>
      <c r="P20">
        <f t="shared" si="0"/>
        <v>83129721</v>
      </c>
      <c r="Q20">
        <f t="shared" si="0"/>
        <v>83129721</v>
      </c>
      <c r="R20">
        <f t="shared" si="0"/>
        <v>83129721</v>
      </c>
      <c r="S20">
        <f t="shared" si="0"/>
        <v>83129721</v>
      </c>
    </row>
    <row r="21" spans="1:19" ht="15">
      <c r="A21" s="30" t="s">
        <v>38</v>
      </c>
      <c r="B21" t="s">
        <v>70</v>
      </c>
      <c r="G21">
        <f>-depreciation!E1310</f>
        <v>-7395099</v>
      </c>
      <c r="H21">
        <f>-H32+G21</f>
        <v>-7701627</v>
      </c>
      <c r="I21">
        <f aca="true" t="shared" si="1" ref="I21:S21">-I32+H21</f>
        <v>-8008155</v>
      </c>
      <c r="J21">
        <f t="shared" si="1"/>
        <v>-8314683</v>
      </c>
      <c r="K21">
        <f t="shared" si="1"/>
        <v>-8621211</v>
      </c>
      <c r="L21">
        <f t="shared" si="1"/>
        <v>-8927739</v>
      </c>
      <c r="M21">
        <f t="shared" si="1"/>
        <v>-9234267</v>
      </c>
      <c r="N21">
        <f t="shared" si="1"/>
        <v>-9540795</v>
      </c>
      <c r="O21">
        <f t="shared" si="1"/>
        <v>-9847323</v>
      </c>
      <c r="P21">
        <f t="shared" si="1"/>
        <v>-10153851</v>
      </c>
      <c r="Q21">
        <f t="shared" si="1"/>
        <v>-10460379</v>
      </c>
      <c r="R21">
        <f t="shared" si="1"/>
        <v>-10766907</v>
      </c>
      <c r="S21">
        <f t="shared" si="1"/>
        <v>-11073435</v>
      </c>
    </row>
    <row r="22" spans="1:19" ht="15">
      <c r="A22" s="31" t="s">
        <v>39</v>
      </c>
      <c r="B22" s="1" t="s">
        <v>71</v>
      </c>
      <c r="C22" s="1"/>
      <c r="D22" s="1"/>
      <c r="E22" s="1"/>
      <c r="F22" s="1"/>
      <c r="G22" s="6">
        <v>0</v>
      </c>
      <c r="H22" s="6">
        <v>0</v>
      </c>
      <c r="I22" s="6">
        <v>0</v>
      </c>
      <c r="J22" s="6">
        <v>0</v>
      </c>
      <c r="K22" s="6">
        <v>0</v>
      </c>
      <c r="L22" s="6">
        <v>0</v>
      </c>
      <c r="M22" s="6">
        <v>0</v>
      </c>
      <c r="N22" s="6">
        <v>0</v>
      </c>
      <c r="O22" s="6">
        <v>0</v>
      </c>
      <c r="P22" s="6">
        <v>0</v>
      </c>
      <c r="Q22" s="6">
        <v>0</v>
      </c>
      <c r="R22" s="6">
        <v>0</v>
      </c>
      <c r="S22" s="6">
        <v>0</v>
      </c>
    </row>
    <row r="23" spans="1:20" ht="15">
      <c r="A23" s="31" t="s">
        <v>40</v>
      </c>
      <c r="B23" s="1" t="s">
        <v>72</v>
      </c>
      <c r="C23" s="1"/>
      <c r="D23" s="1"/>
      <c r="E23" s="1"/>
      <c r="F23" s="1"/>
      <c r="G23" s="26">
        <f aca="true" t="shared" si="2" ref="G23:S23">G20+G21+G22</f>
        <v>75734622</v>
      </c>
      <c r="H23" s="17">
        <f t="shared" si="2"/>
        <v>75428094</v>
      </c>
      <c r="I23" s="17">
        <f t="shared" si="2"/>
        <v>75121566</v>
      </c>
      <c r="J23" s="17">
        <f t="shared" si="2"/>
        <v>74815038</v>
      </c>
      <c r="K23" s="17">
        <f t="shared" si="2"/>
        <v>74508510</v>
      </c>
      <c r="L23" s="17">
        <f t="shared" si="2"/>
        <v>74201982</v>
      </c>
      <c r="M23" s="17">
        <f t="shared" si="2"/>
        <v>73895454</v>
      </c>
      <c r="N23" s="17">
        <f t="shared" si="2"/>
        <v>73588926</v>
      </c>
      <c r="O23" s="17">
        <f t="shared" si="2"/>
        <v>73282398</v>
      </c>
      <c r="P23" s="17">
        <f t="shared" si="2"/>
        <v>72975870</v>
      </c>
      <c r="Q23" s="17">
        <f t="shared" si="2"/>
        <v>72669342</v>
      </c>
      <c r="R23" s="17">
        <f t="shared" si="2"/>
        <v>72362814</v>
      </c>
      <c r="S23" s="17">
        <f t="shared" si="2"/>
        <v>72056286</v>
      </c>
      <c r="T23" s="16"/>
    </row>
    <row r="25" spans="1:19" ht="15">
      <c r="A25" s="30" t="s">
        <v>42</v>
      </c>
      <c r="B25" t="s">
        <v>73</v>
      </c>
      <c r="H25">
        <f aca="true" t="shared" si="3" ref="H25:N25">ROUND((+G23+H23)/2,0)</f>
        <v>75581358</v>
      </c>
      <c r="I25">
        <f t="shared" si="3"/>
        <v>75274830</v>
      </c>
      <c r="J25">
        <f t="shared" si="3"/>
        <v>74968302</v>
      </c>
      <c r="K25">
        <f t="shared" si="3"/>
        <v>74661774</v>
      </c>
      <c r="L25">
        <f t="shared" si="3"/>
        <v>74355246</v>
      </c>
      <c r="M25">
        <f t="shared" si="3"/>
        <v>74048718</v>
      </c>
      <c r="N25">
        <f t="shared" si="3"/>
        <v>73742190</v>
      </c>
      <c r="O25">
        <f>ROUND((+N23+O23)/2,0)</f>
        <v>73435662</v>
      </c>
      <c r="P25">
        <f>ROUND((+O23+P23)/2,0)</f>
        <v>73129134</v>
      </c>
      <c r="Q25">
        <f>ROUND((+P23+Q23)/2,0)</f>
        <v>72822606</v>
      </c>
      <c r="R25">
        <f>ROUND((+Q23+R23)/2,0)</f>
        <v>72516078</v>
      </c>
      <c r="S25">
        <f>ROUND((+R23+S23)/2,0)</f>
        <v>72209550</v>
      </c>
    </row>
    <row r="27" spans="1:2" ht="15">
      <c r="A27" s="30" t="s">
        <v>43</v>
      </c>
      <c r="B27" t="s">
        <v>74</v>
      </c>
    </row>
    <row r="28" spans="1:20" ht="15">
      <c r="A28" s="1"/>
      <c r="B28" s="1" t="s">
        <v>75</v>
      </c>
      <c r="C28" s="1"/>
      <c r="D28" s="1"/>
      <c r="E28" s="1"/>
      <c r="F28" s="1"/>
      <c r="G28" s="1"/>
      <c r="H28" s="1">
        <f aca="true" t="shared" si="4" ref="H28:S28">ROUND(+H25*(0.088238)/12,0)</f>
        <v>555762</v>
      </c>
      <c r="I28" s="1">
        <f t="shared" si="4"/>
        <v>553508</v>
      </c>
      <c r="J28" s="1">
        <f t="shared" si="4"/>
        <v>551254</v>
      </c>
      <c r="K28" s="1">
        <f t="shared" si="4"/>
        <v>549000</v>
      </c>
      <c r="L28" s="1">
        <f t="shared" si="4"/>
        <v>546747</v>
      </c>
      <c r="M28" s="1">
        <f t="shared" si="4"/>
        <v>544493</v>
      </c>
      <c r="N28" s="1">
        <f t="shared" si="4"/>
        <v>542239</v>
      </c>
      <c r="O28" s="1">
        <f t="shared" si="4"/>
        <v>539985</v>
      </c>
      <c r="P28" s="1">
        <f t="shared" si="4"/>
        <v>537731</v>
      </c>
      <c r="Q28" s="1">
        <f t="shared" si="4"/>
        <v>535477</v>
      </c>
      <c r="R28" s="1">
        <f t="shared" si="4"/>
        <v>533223</v>
      </c>
      <c r="S28" s="1">
        <f t="shared" si="4"/>
        <v>530969</v>
      </c>
      <c r="T28" s="5">
        <f>SUM(H28:S28)</f>
        <v>6520388</v>
      </c>
    </row>
    <row r="29" spans="2:20" ht="15">
      <c r="B29" t="s">
        <v>76</v>
      </c>
      <c r="H29">
        <f aca="true" t="shared" si="5" ref="H29:S29">ROUND(+H25*(0.0282)/12,0)</f>
        <v>177616</v>
      </c>
      <c r="I29">
        <f t="shared" si="5"/>
        <v>176896</v>
      </c>
      <c r="J29">
        <f t="shared" si="5"/>
        <v>176176</v>
      </c>
      <c r="K29">
        <f t="shared" si="5"/>
        <v>175455</v>
      </c>
      <c r="L29">
        <f t="shared" si="5"/>
        <v>174735</v>
      </c>
      <c r="M29">
        <f t="shared" si="5"/>
        <v>174014</v>
      </c>
      <c r="N29">
        <f t="shared" si="5"/>
        <v>173294</v>
      </c>
      <c r="O29">
        <f t="shared" si="5"/>
        <v>172574</v>
      </c>
      <c r="P29">
        <f t="shared" si="5"/>
        <v>171853</v>
      </c>
      <c r="Q29">
        <f t="shared" si="5"/>
        <v>171133</v>
      </c>
      <c r="R29">
        <f t="shared" si="5"/>
        <v>170413</v>
      </c>
      <c r="S29">
        <f t="shared" si="5"/>
        <v>169692</v>
      </c>
      <c r="T29">
        <f>SUM(H29:S29)</f>
        <v>2083851</v>
      </c>
    </row>
    <row r="31" spans="1:2" ht="15">
      <c r="A31" s="30" t="s">
        <v>44</v>
      </c>
      <c r="B31" t="s">
        <v>77</v>
      </c>
    </row>
    <row r="32" spans="2:20" ht="15">
      <c r="B32" t="s">
        <v>78</v>
      </c>
      <c r="H32">
        <f>+depreciation!D1312</f>
        <v>306528</v>
      </c>
      <c r="I32">
        <f>+depreciation!D1313</f>
        <v>306528</v>
      </c>
      <c r="J32">
        <f>+depreciation!D1314</f>
        <v>306528</v>
      </c>
      <c r="K32">
        <f>+depreciation!D1315</f>
        <v>306528</v>
      </c>
      <c r="L32">
        <f>+depreciation!D1316</f>
        <v>306528</v>
      </c>
      <c r="M32">
        <f>+depreciation!D1317</f>
        <v>306528</v>
      </c>
      <c r="N32">
        <f>+depreciation!D1318</f>
        <v>306528</v>
      </c>
      <c r="O32">
        <f>+depreciation!D1319</f>
        <v>306528</v>
      </c>
      <c r="P32">
        <f>+depreciation!D1320</f>
        <v>306528</v>
      </c>
      <c r="Q32">
        <f>+depreciation!D1321</f>
        <v>306528</v>
      </c>
      <c r="R32">
        <f>+depreciation!D1322</f>
        <v>306528</v>
      </c>
      <c r="S32">
        <f>+depreciation!D1323</f>
        <v>306528</v>
      </c>
      <c r="T32">
        <f>SUM(H32:S32)</f>
        <v>3678336</v>
      </c>
    </row>
    <row r="33" spans="2:20" ht="15">
      <c r="B33" t="s">
        <v>79</v>
      </c>
      <c r="H33">
        <v>0</v>
      </c>
      <c r="I33">
        <v>0</v>
      </c>
      <c r="J33">
        <v>0</v>
      </c>
      <c r="K33">
        <v>0</v>
      </c>
      <c r="L33">
        <v>0</v>
      </c>
      <c r="M33">
        <v>0</v>
      </c>
      <c r="N33">
        <v>0</v>
      </c>
      <c r="O33">
        <v>0</v>
      </c>
      <c r="P33">
        <v>0</v>
      </c>
      <c r="Q33">
        <v>0</v>
      </c>
      <c r="R33">
        <v>0</v>
      </c>
      <c r="S33">
        <v>0</v>
      </c>
      <c r="T33">
        <f>SUM(H33:S33)</f>
        <v>0</v>
      </c>
    </row>
    <row r="34" spans="2:20" ht="15">
      <c r="B34" t="s">
        <v>80</v>
      </c>
      <c r="H34">
        <v>0</v>
      </c>
      <c r="I34">
        <v>0</v>
      </c>
      <c r="J34">
        <v>0</v>
      </c>
      <c r="K34">
        <v>0</v>
      </c>
      <c r="L34">
        <v>0</v>
      </c>
      <c r="M34">
        <v>0</v>
      </c>
      <c r="N34">
        <v>0</v>
      </c>
      <c r="O34">
        <v>0</v>
      </c>
      <c r="P34">
        <v>0</v>
      </c>
      <c r="Q34">
        <v>0</v>
      </c>
      <c r="R34">
        <v>0</v>
      </c>
      <c r="S34">
        <v>0</v>
      </c>
      <c r="T34">
        <f>SUM(H34:S34)</f>
        <v>0</v>
      </c>
    </row>
    <row r="35" spans="2:20" ht="15">
      <c r="B35" t="s">
        <v>81</v>
      </c>
      <c r="H35">
        <v>0</v>
      </c>
      <c r="I35">
        <v>0</v>
      </c>
      <c r="J35">
        <v>0</v>
      </c>
      <c r="K35">
        <v>0</v>
      </c>
      <c r="L35">
        <v>0</v>
      </c>
      <c r="M35">
        <v>0</v>
      </c>
      <c r="N35">
        <v>0</v>
      </c>
      <c r="O35">
        <v>0</v>
      </c>
      <c r="P35">
        <v>0</v>
      </c>
      <c r="Q35">
        <v>0</v>
      </c>
      <c r="R35">
        <v>0</v>
      </c>
      <c r="S35">
        <v>0</v>
      </c>
      <c r="T35">
        <f>SUM(H35:S35)</f>
        <v>0</v>
      </c>
    </row>
    <row r="36" spans="1:20" ht="15">
      <c r="A36" s="1"/>
      <c r="B36" s="1" t="s">
        <v>82</v>
      </c>
      <c r="C36" s="1"/>
      <c r="D36" s="1"/>
      <c r="E36" s="1"/>
      <c r="F36" s="1"/>
      <c r="G36" s="1"/>
      <c r="H36" s="6">
        <v>0</v>
      </c>
      <c r="I36" s="6">
        <v>0</v>
      </c>
      <c r="J36" s="6">
        <v>0</v>
      </c>
      <c r="K36" s="6">
        <v>0</v>
      </c>
      <c r="L36" s="6">
        <v>0</v>
      </c>
      <c r="M36" s="6">
        <v>0</v>
      </c>
      <c r="N36" s="6">
        <v>0</v>
      </c>
      <c r="O36" s="6">
        <v>0</v>
      </c>
      <c r="P36" s="6">
        <v>0</v>
      </c>
      <c r="Q36" s="6">
        <v>0</v>
      </c>
      <c r="R36" s="6">
        <v>0</v>
      </c>
      <c r="S36" s="6">
        <v>0</v>
      </c>
      <c r="T36" s="6">
        <f>SUM(H36:S36)</f>
        <v>0</v>
      </c>
    </row>
    <row r="38" spans="1:20" ht="15">
      <c r="A38" s="30" t="s">
        <v>45</v>
      </c>
      <c r="B38" t="s">
        <v>83</v>
      </c>
      <c r="H38">
        <f aca="true" t="shared" si="6" ref="H38:S38">ROUND(+H28+H29+H32+H33+H34+H35+H36,0)</f>
        <v>1039906</v>
      </c>
      <c r="I38">
        <f t="shared" si="6"/>
        <v>1036932</v>
      </c>
      <c r="J38">
        <f t="shared" si="6"/>
        <v>1033958</v>
      </c>
      <c r="K38">
        <f t="shared" si="6"/>
        <v>1030983</v>
      </c>
      <c r="L38">
        <f t="shared" si="6"/>
        <v>1028010</v>
      </c>
      <c r="M38">
        <f t="shared" si="6"/>
        <v>1025035</v>
      </c>
      <c r="N38">
        <f t="shared" si="6"/>
        <v>1022061</v>
      </c>
      <c r="O38">
        <f t="shared" si="6"/>
        <v>1019087</v>
      </c>
      <c r="P38">
        <f t="shared" si="6"/>
        <v>1016112</v>
      </c>
      <c r="Q38">
        <f t="shared" si="6"/>
        <v>1013138</v>
      </c>
      <c r="R38">
        <f t="shared" si="6"/>
        <v>1010164</v>
      </c>
      <c r="S38">
        <f t="shared" si="6"/>
        <v>1007189</v>
      </c>
      <c r="T38">
        <f>SUM(H38:S38)</f>
        <v>12282575</v>
      </c>
    </row>
    <row r="39" spans="2:20" ht="15">
      <c r="B39" t="s">
        <v>84</v>
      </c>
      <c r="H39">
        <f aca="true" t="shared" si="7" ref="H39:S39">ROUND(+H38*1,0)</f>
        <v>1039906</v>
      </c>
      <c r="I39">
        <f t="shared" si="7"/>
        <v>1036932</v>
      </c>
      <c r="J39">
        <f t="shared" si="7"/>
        <v>1033958</v>
      </c>
      <c r="K39">
        <f t="shared" si="7"/>
        <v>1030983</v>
      </c>
      <c r="L39">
        <f t="shared" si="7"/>
        <v>1028010</v>
      </c>
      <c r="M39">
        <f t="shared" si="7"/>
        <v>1025035</v>
      </c>
      <c r="N39">
        <f t="shared" si="7"/>
        <v>1022061</v>
      </c>
      <c r="O39">
        <f t="shared" si="7"/>
        <v>1019087</v>
      </c>
      <c r="P39">
        <f t="shared" si="7"/>
        <v>1016112</v>
      </c>
      <c r="Q39">
        <f t="shared" si="7"/>
        <v>1013138</v>
      </c>
      <c r="R39">
        <f t="shared" si="7"/>
        <v>1010164</v>
      </c>
      <c r="S39">
        <f t="shared" si="7"/>
        <v>1007189</v>
      </c>
      <c r="T39">
        <f>SUM(H39:S39)</f>
        <v>12282575</v>
      </c>
    </row>
    <row r="40" spans="2:20" ht="15">
      <c r="B40" t="s">
        <v>85</v>
      </c>
      <c r="H40">
        <f aca="true" t="shared" si="8" ref="H40:S40">ROUND(+H38*0,0)</f>
        <v>0</v>
      </c>
      <c r="I40">
        <f t="shared" si="8"/>
        <v>0</v>
      </c>
      <c r="J40">
        <f t="shared" si="8"/>
        <v>0</v>
      </c>
      <c r="K40">
        <f t="shared" si="8"/>
        <v>0</v>
      </c>
      <c r="L40">
        <f t="shared" si="8"/>
        <v>0</v>
      </c>
      <c r="M40">
        <f t="shared" si="8"/>
        <v>0</v>
      </c>
      <c r="N40">
        <f t="shared" si="8"/>
        <v>0</v>
      </c>
      <c r="O40">
        <f t="shared" si="8"/>
        <v>0</v>
      </c>
      <c r="P40">
        <f t="shared" si="8"/>
        <v>0</v>
      </c>
      <c r="Q40">
        <f t="shared" si="8"/>
        <v>0</v>
      </c>
      <c r="R40">
        <f t="shared" si="8"/>
        <v>0</v>
      </c>
      <c r="S40">
        <f t="shared" si="8"/>
        <v>0</v>
      </c>
      <c r="T40">
        <f>SUM(H40:S40)</f>
        <v>0</v>
      </c>
    </row>
    <row r="42" spans="1:20" ht="15">
      <c r="A42" s="31" t="s">
        <v>86</v>
      </c>
      <c r="B42" s="1" t="s">
        <v>87</v>
      </c>
      <c r="C42" s="1"/>
      <c r="D42" s="1"/>
      <c r="E42" s="1"/>
      <c r="F42" s="1"/>
      <c r="G42" s="24"/>
      <c r="H42" s="24">
        <f>'Form 42 5A'!H53</f>
        <v>0</v>
      </c>
      <c r="I42" s="24">
        <f>'Form 42 5A'!I53</f>
        <v>0</v>
      </c>
      <c r="J42" s="24">
        <f>'Form 42 5A'!J53</f>
        <v>0</v>
      </c>
      <c r="K42" s="24">
        <f>'Form 42 5A'!K53</f>
        <v>0</v>
      </c>
      <c r="L42" s="24">
        <f>'Form 42 5A'!L53</f>
        <v>0</v>
      </c>
      <c r="M42" s="24">
        <f>'Form 42 5A'!M53</f>
        <v>0</v>
      </c>
      <c r="N42" s="24">
        <f>'Form 42 5A'!N53</f>
        <v>0</v>
      </c>
      <c r="O42" s="24">
        <f>'Form 42 5A'!O53</f>
        <v>0</v>
      </c>
      <c r="P42" s="24">
        <f>'Form 42 5A'!P53</f>
        <v>0</v>
      </c>
      <c r="Q42" s="24">
        <f>'Form 42 5A'!Q53</f>
        <v>0</v>
      </c>
      <c r="R42" s="24">
        <f>'Form 42 5A'!R53</f>
        <v>0</v>
      </c>
      <c r="S42" s="24">
        <f>'Form 42 5A'!S53</f>
        <v>0</v>
      </c>
      <c r="T42" s="24"/>
    </row>
    <row r="43" spans="1:20" ht="15">
      <c r="A43" s="31" t="s">
        <v>88</v>
      </c>
      <c r="B43" s="1" t="s">
        <v>89</v>
      </c>
      <c r="C43" s="1"/>
      <c r="D43" s="1"/>
      <c r="E43" s="1"/>
      <c r="F43" s="1"/>
      <c r="G43" s="24"/>
      <c r="H43" s="24">
        <f>+'Form 42 5A'!H54</f>
        <v>0</v>
      </c>
      <c r="I43" s="24">
        <f>+'Form 42 5A'!I54</f>
        <v>0</v>
      </c>
      <c r="J43" s="24">
        <f>+'Form 42 5A'!J54</f>
        <v>0</v>
      </c>
      <c r="K43" s="24">
        <f>+'Form 42 5A'!K54</f>
        <v>0</v>
      </c>
      <c r="L43" s="24">
        <f>+'Form 42 5A'!L54</f>
        <v>0</v>
      </c>
      <c r="M43" s="24">
        <f>+'Form 42 5A'!M54</f>
        <v>0</v>
      </c>
      <c r="N43" s="24">
        <f>+'Form 42 5A'!N54</f>
        <v>0</v>
      </c>
      <c r="O43" s="24">
        <f>+'Form 42 5A'!O54</f>
        <v>0</v>
      </c>
      <c r="P43" s="24">
        <f>+'Form 42 5A'!P54</f>
        <v>0</v>
      </c>
      <c r="Q43" s="24">
        <f>+'Form 42 5A'!Q54</f>
        <v>0</v>
      </c>
      <c r="R43" s="24">
        <f>+'Form 42 5A'!R54</f>
        <v>0</v>
      </c>
      <c r="S43" s="24">
        <f>+'Form 42 5A'!S54</f>
        <v>0</v>
      </c>
      <c r="T43" s="24"/>
    </row>
    <row r="45" spans="1:20" ht="15">
      <c r="A45" s="30" t="s">
        <v>90</v>
      </c>
      <c r="B45" t="s">
        <v>91</v>
      </c>
      <c r="H45">
        <f aca="true" t="shared" si="9" ref="H45:S45">ROUND((+H39*H42),0)</f>
        <v>0</v>
      </c>
      <c r="I45">
        <f t="shared" si="9"/>
        <v>0</v>
      </c>
      <c r="J45">
        <f t="shared" si="9"/>
        <v>0</v>
      </c>
      <c r="K45">
        <f t="shared" si="9"/>
        <v>0</v>
      </c>
      <c r="L45">
        <f t="shared" si="9"/>
        <v>0</v>
      </c>
      <c r="M45">
        <f t="shared" si="9"/>
        <v>0</v>
      </c>
      <c r="N45">
        <f t="shared" si="9"/>
        <v>0</v>
      </c>
      <c r="O45">
        <f t="shared" si="9"/>
        <v>0</v>
      </c>
      <c r="P45">
        <f t="shared" si="9"/>
        <v>0</v>
      </c>
      <c r="Q45">
        <f t="shared" si="9"/>
        <v>0</v>
      </c>
      <c r="R45">
        <f t="shared" si="9"/>
        <v>0</v>
      </c>
      <c r="S45">
        <f t="shared" si="9"/>
        <v>0</v>
      </c>
      <c r="T45">
        <f>SUM(H45:S45)</f>
        <v>0</v>
      </c>
    </row>
    <row r="46" spans="1:20" ht="15">
      <c r="A46" s="31" t="s">
        <v>92</v>
      </c>
      <c r="B46" s="1" t="s">
        <v>93</v>
      </c>
      <c r="C46" s="1"/>
      <c r="D46" s="1"/>
      <c r="E46" s="1"/>
      <c r="F46" s="1"/>
      <c r="G46" s="1"/>
      <c r="H46" s="6">
        <f aca="true" t="shared" si="10" ref="H46:S46">(+H40*H43)</f>
        <v>0</v>
      </c>
      <c r="I46" s="6">
        <f t="shared" si="10"/>
        <v>0</v>
      </c>
      <c r="J46" s="6">
        <f t="shared" si="10"/>
        <v>0</v>
      </c>
      <c r="K46" s="6">
        <f t="shared" si="10"/>
        <v>0</v>
      </c>
      <c r="L46" s="6">
        <f t="shared" si="10"/>
        <v>0</v>
      </c>
      <c r="M46" s="6">
        <f t="shared" si="10"/>
        <v>0</v>
      </c>
      <c r="N46" s="6">
        <f t="shared" si="10"/>
        <v>0</v>
      </c>
      <c r="O46" s="6">
        <f t="shared" si="10"/>
        <v>0</v>
      </c>
      <c r="P46" s="6">
        <f t="shared" si="10"/>
        <v>0</v>
      </c>
      <c r="Q46" s="6">
        <f t="shared" si="10"/>
        <v>0</v>
      </c>
      <c r="R46" s="6">
        <f t="shared" si="10"/>
        <v>0</v>
      </c>
      <c r="S46" s="6">
        <f t="shared" si="10"/>
        <v>0</v>
      </c>
      <c r="T46" s="6">
        <f>SUM(H46:S46)</f>
        <v>0</v>
      </c>
    </row>
    <row r="47" spans="1:20" ht="15.75" thickBot="1">
      <c r="A47" s="31" t="s">
        <v>94</v>
      </c>
      <c r="B47" s="1" t="s">
        <v>95</v>
      </c>
      <c r="C47" s="1"/>
      <c r="D47" s="1"/>
      <c r="E47" s="1"/>
      <c r="F47" s="1"/>
      <c r="G47" s="1"/>
      <c r="H47" s="7">
        <f aca="true" t="shared" si="11" ref="H47:S47">H45+H46</f>
        <v>0</v>
      </c>
      <c r="I47" s="7">
        <f t="shared" si="11"/>
        <v>0</v>
      </c>
      <c r="J47" s="7">
        <f t="shared" si="11"/>
        <v>0</v>
      </c>
      <c r="K47" s="7">
        <f t="shared" si="11"/>
        <v>0</v>
      </c>
      <c r="L47" s="7">
        <f t="shared" si="11"/>
        <v>0</v>
      </c>
      <c r="M47" s="7">
        <f t="shared" si="11"/>
        <v>0</v>
      </c>
      <c r="N47" s="7">
        <f t="shared" si="11"/>
        <v>0</v>
      </c>
      <c r="O47" s="7">
        <f t="shared" si="11"/>
        <v>0</v>
      </c>
      <c r="P47" s="7">
        <f t="shared" si="11"/>
        <v>0</v>
      </c>
      <c r="Q47" s="7">
        <f t="shared" si="11"/>
        <v>0</v>
      </c>
      <c r="R47" s="7">
        <f t="shared" si="11"/>
        <v>0</v>
      </c>
      <c r="S47" s="7">
        <f t="shared" si="11"/>
        <v>0</v>
      </c>
      <c r="T47" s="7">
        <f>SUM(T45:T46)</f>
        <v>0</v>
      </c>
    </row>
    <row r="49" ht="15">
      <c r="A49" s="30" t="s">
        <v>31</v>
      </c>
    </row>
    <row r="50" spans="1:2" ht="15">
      <c r="A50" s="30" t="s">
        <v>96</v>
      </c>
      <c r="B50" t="s">
        <v>97</v>
      </c>
    </row>
    <row r="51" spans="1:2" ht="15">
      <c r="A51" s="30" t="s">
        <v>98</v>
      </c>
      <c r="B51" t="s">
        <v>99</v>
      </c>
    </row>
    <row r="52" spans="1:2" ht="15">
      <c r="A52" s="30" t="s">
        <v>100</v>
      </c>
      <c r="B52" t="s">
        <v>101</v>
      </c>
    </row>
  </sheetData>
  <printOptions/>
  <pageMargins left="0.75" right="0.75" top="1" bottom="1" header="0.5" footer="0.5"/>
  <pageSetup fitToHeight="1" fitToWidth="1" horizontalDpi="600" verticalDpi="600" orientation="landscape" scale="42" r:id="rId1"/>
</worksheet>
</file>

<file path=xl/worksheets/sheet26.xml><?xml version="1.0" encoding="utf-8"?>
<worksheet xmlns="http://schemas.openxmlformats.org/spreadsheetml/2006/main" xmlns:r="http://schemas.openxmlformats.org/officeDocument/2006/relationships">
  <sheetPr codeName="Sheet2311">
    <pageSetUpPr fitToPage="1"/>
  </sheetPr>
  <dimension ref="A1:T97"/>
  <sheetViews>
    <sheetView zoomScale="75" zoomScaleNormal="75" workbookViewId="0" topLeftCell="A18">
      <selection activeCell="A7" sqref="A7"/>
    </sheetView>
  </sheetViews>
  <sheetFormatPr defaultColWidth="9.77734375" defaultRowHeight="15"/>
  <cols>
    <col min="7" max="12" width="12.77734375" style="0" customWidth="1"/>
    <col min="13" max="16" width="14.3359375" style="0" customWidth="1"/>
    <col min="17" max="21" width="12.77734375" style="0" customWidth="1"/>
  </cols>
  <sheetData>
    <row r="1" spans="1:20" ht="15.75">
      <c r="A1" s="8" t="s">
        <v>438</v>
      </c>
      <c r="B1" s="2"/>
      <c r="C1" s="2"/>
      <c r="D1" s="2"/>
      <c r="E1" s="2"/>
      <c r="F1" s="2"/>
      <c r="G1" s="2"/>
      <c r="H1" s="2"/>
      <c r="I1" s="2"/>
      <c r="J1" s="2"/>
      <c r="K1" s="2"/>
      <c r="L1" s="2"/>
      <c r="T1" s="30" t="s">
        <v>442</v>
      </c>
    </row>
    <row r="2" spans="1:20" ht="15">
      <c r="A2" s="2" t="s">
        <v>0</v>
      </c>
      <c r="B2" s="2"/>
      <c r="C2" s="2"/>
      <c r="D2" s="2"/>
      <c r="E2" s="2"/>
      <c r="F2" s="2"/>
      <c r="G2" s="2"/>
      <c r="H2" s="2"/>
      <c r="I2" s="2"/>
      <c r="J2" s="2"/>
      <c r="K2" s="2"/>
      <c r="L2" s="2"/>
      <c r="T2" s="30" t="s">
        <v>408</v>
      </c>
    </row>
    <row r="3" spans="1:12" ht="15">
      <c r="A3" s="2" t="s">
        <v>494</v>
      </c>
      <c r="B3" s="9"/>
      <c r="C3" s="9"/>
      <c r="D3" s="9"/>
      <c r="E3" s="9"/>
      <c r="F3" s="9"/>
      <c r="G3" s="9"/>
      <c r="H3" s="9"/>
      <c r="I3" s="2"/>
      <c r="J3" s="2"/>
      <c r="K3" s="2"/>
      <c r="L3" s="2"/>
    </row>
    <row r="4" spans="1:12" ht="15.75">
      <c r="A4" s="11" t="str">
        <f>'Form 42 2A'!A4</f>
        <v>January 2003 through December 2003</v>
      </c>
      <c r="B4" s="2"/>
      <c r="C4" s="2"/>
      <c r="D4" s="2"/>
      <c r="E4" s="2"/>
      <c r="F4" s="2"/>
      <c r="G4" s="2"/>
      <c r="H4" s="2"/>
      <c r="I4" s="2"/>
      <c r="J4" s="2"/>
      <c r="K4" s="2"/>
      <c r="L4" s="2"/>
    </row>
    <row r="5" spans="1:12" ht="15.75">
      <c r="A5" s="3" t="s">
        <v>1</v>
      </c>
      <c r="B5" s="2"/>
      <c r="C5" s="2"/>
      <c r="D5" s="2"/>
      <c r="E5" s="2"/>
      <c r="F5" s="2"/>
      <c r="G5" s="2"/>
      <c r="H5" s="2"/>
      <c r="I5" s="2"/>
      <c r="J5" s="2"/>
      <c r="K5" s="2"/>
      <c r="L5" s="2"/>
    </row>
    <row r="6" spans="1:12" ht="15">
      <c r="A6" s="2" t="s">
        <v>59</v>
      </c>
      <c r="B6" s="2"/>
      <c r="C6" s="2"/>
      <c r="D6" s="2"/>
      <c r="E6" s="2"/>
      <c r="F6" s="2"/>
      <c r="G6" s="2"/>
      <c r="H6" s="2"/>
      <c r="I6" s="2"/>
      <c r="J6" s="2"/>
      <c r="K6" s="2"/>
      <c r="L6" s="2"/>
    </row>
    <row r="7" spans="1:12" ht="15">
      <c r="A7" s="57" t="s">
        <v>489</v>
      </c>
      <c r="B7" s="2"/>
      <c r="C7" s="2"/>
      <c r="D7" s="2"/>
      <c r="E7" s="2"/>
      <c r="F7" s="2"/>
      <c r="G7" s="2"/>
      <c r="H7" s="2"/>
      <c r="I7" s="2"/>
      <c r="J7" s="2"/>
      <c r="K7" s="2"/>
      <c r="L7" s="2"/>
    </row>
    <row r="8" spans="1:12" ht="15">
      <c r="A8" s="2" t="s">
        <v>5</v>
      </c>
      <c r="B8" s="2"/>
      <c r="C8" s="2"/>
      <c r="D8" s="2"/>
      <c r="E8" s="2"/>
      <c r="F8" s="2"/>
      <c r="G8" s="2"/>
      <c r="H8" s="2"/>
      <c r="I8" s="2"/>
      <c r="J8" s="2"/>
      <c r="K8" s="2"/>
      <c r="L8" s="2"/>
    </row>
    <row r="10" spans="1:20" ht="15.75">
      <c r="A10" s="2"/>
      <c r="E10" s="66"/>
      <c r="F10" s="59"/>
      <c r="G10" s="59"/>
      <c r="T10" s="29" t="s">
        <v>60</v>
      </c>
    </row>
    <row r="11" spans="7:20" ht="15">
      <c r="G11" s="29" t="s">
        <v>61</v>
      </c>
      <c r="T11" s="29" t="s">
        <v>2</v>
      </c>
    </row>
    <row r="12" spans="1:20" ht="15.75" thickBot="1">
      <c r="A12" s="25" t="s">
        <v>3</v>
      </c>
      <c r="B12" s="2"/>
      <c r="C12" s="25" t="s">
        <v>62</v>
      </c>
      <c r="E12" s="2"/>
      <c r="F12" s="2"/>
      <c r="G12" s="19" t="s">
        <v>63</v>
      </c>
      <c r="H12" s="68" t="str">
        <f>'Form 42 2A'!H10</f>
        <v>January 03</v>
      </c>
      <c r="I12" s="68" t="str">
        <f>'Form 42 2A'!I10</f>
        <v>February 03</v>
      </c>
      <c r="J12" s="68" t="str">
        <f>'Form 42 2A'!J10</f>
        <v>March 03</v>
      </c>
      <c r="K12" s="68" t="str">
        <f>'Form 42 2A'!K10</f>
        <v>April 03</v>
      </c>
      <c r="L12" s="68" t="str">
        <f>'Form 42 2A'!L10</f>
        <v>May 03</v>
      </c>
      <c r="M12" s="68" t="str">
        <f>'Form 42 2A'!M10</f>
        <v>June 03</v>
      </c>
      <c r="N12" s="68" t="str">
        <f>'Form 42 2A'!N10</f>
        <v>July 03</v>
      </c>
      <c r="O12" s="68" t="str">
        <f>'Form 42 2A'!O10</f>
        <v>August 03</v>
      </c>
      <c r="P12" s="68" t="str">
        <f>'Form 42 2A'!P10</f>
        <v>September 03</v>
      </c>
      <c r="Q12" s="68" t="str">
        <f>'Form 42 2A'!Q10</f>
        <v>October 03</v>
      </c>
      <c r="R12" s="68" t="str">
        <f>'Form 42 2A'!R10</f>
        <v>November 03</v>
      </c>
      <c r="S12" s="68" t="str">
        <f>'Form 42 2A'!S10</f>
        <v>December 03</v>
      </c>
      <c r="T12" s="19" t="s">
        <v>8</v>
      </c>
    </row>
    <row r="13" spans="1:4" ht="15">
      <c r="A13" s="1"/>
      <c r="B13" s="1"/>
      <c r="C13" s="1"/>
      <c r="D13" s="27"/>
    </row>
    <row r="14" spans="1:2" ht="15">
      <c r="A14" s="30" t="s">
        <v>35</v>
      </c>
      <c r="B14" t="s">
        <v>64</v>
      </c>
    </row>
    <row r="15" spans="1:20" ht="15">
      <c r="A15" s="1"/>
      <c r="B15" s="1" t="s">
        <v>65</v>
      </c>
      <c r="C15" s="1"/>
      <c r="D15" s="1"/>
      <c r="E15" s="1"/>
      <c r="F15" s="1"/>
      <c r="G15" s="1"/>
      <c r="H15" s="49">
        <f>350528</f>
        <v>350528</v>
      </c>
      <c r="I15" s="49">
        <v>-187470</v>
      </c>
      <c r="J15" s="49">
        <v>642788</v>
      </c>
      <c r="K15" s="49">
        <v>21922</v>
      </c>
      <c r="L15" s="49">
        <f>103278-58370</f>
        <v>44908</v>
      </c>
      <c r="M15" s="49">
        <v>21255</v>
      </c>
      <c r="N15" s="49">
        <v>0</v>
      </c>
      <c r="O15" s="49">
        <v>0</v>
      </c>
      <c r="P15" s="49">
        <v>0</v>
      </c>
      <c r="Q15" s="49">
        <v>0</v>
      </c>
      <c r="R15" s="49">
        <v>0</v>
      </c>
      <c r="S15" s="49">
        <v>0</v>
      </c>
      <c r="T15" s="5"/>
    </row>
    <row r="16" spans="2:19" ht="15">
      <c r="B16" t="s">
        <v>66</v>
      </c>
      <c r="H16">
        <v>0</v>
      </c>
      <c r="I16">
        <v>0</v>
      </c>
      <c r="J16">
        <v>0</v>
      </c>
      <c r="K16">
        <v>0</v>
      </c>
      <c r="L16">
        <v>0</v>
      </c>
      <c r="M16">
        <v>0</v>
      </c>
      <c r="N16">
        <v>0</v>
      </c>
      <c r="O16">
        <v>0</v>
      </c>
      <c r="P16">
        <v>0</v>
      </c>
      <c r="Q16">
        <v>0</v>
      </c>
      <c r="R16">
        <v>0</v>
      </c>
      <c r="S16">
        <v>0</v>
      </c>
    </row>
    <row r="17" spans="2:19" ht="15">
      <c r="B17" t="s">
        <v>67</v>
      </c>
      <c r="H17">
        <v>0</v>
      </c>
      <c r="I17">
        <v>0</v>
      </c>
      <c r="J17">
        <v>0</v>
      </c>
      <c r="K17">
        <v>0</v>
      </c>
      <c r="L17">
        <v>0</v>
      </c>
      <c r="M17">
        <v>0</v>
      </c>
      <c r="N17">
        <v>0</v>
      </c>
      <c r="O17">
        <v>0</v>
      </c>
      <c r="P17">
        <v>0</v>
      </c>
      <c r="Q17">
        <v>0</v>
      </c>
      <c r="R17">
        <v>0</v>
      </c>
      <c r="S17">
        <v>0</v>
      </c>
    </row>
    <row r="18" spans="2:19" ht="15">
      <c r="B18" t="s">
        <v>68</v>
      </c>
      <c r="H18">
        <v>0</v>
      </c>
      <c r="I18">
        <v>0</v>
      </c>
      <c r="J18">
        <v>0</v>
      </c>
      <c r="K18">
        <v>0</v>
      </c>
      <c r="L18">
        <v>0</v>
      </c>
      <c r="M18">
        <v>0</v>
      </c>
      <c r="N18">
        <v>0</v>
      </c>
      <c r="O18">
        <v>0</v>
      </c>
      <c r="P18">
        <v>0</v>
      </c>
      <c r="Q18">
        <v>0</v>
      </c>
      <c r="R18">
        <v>0</v>
      </c>
      <c r="S18">
        <v>0</v>
      </c>
    </row>
    <row r="20" spans="1:19" ht="15">
      <c r="A20" s="31" t="s">
        <v>36</v>
      </c>
      <c r="B20" s="1" t="s">
        <v>69</v>
      </c>
      <c r="C20" s="1"/>
      <c r="D20" s="1"/>
      <c r="E20" s="1"/>
      <c r="F20" s="1"/>
      <c r="G20" s="5">
        <f>+depreciation!S1358</f>
        <v>458146</v>
      </c>
      <c r="H20" s="5">
        <f>depreciation!S1360</f>
        <v>21380298</v>
      </c>
      <c r="I20" s="5">
        <f>depreciation!S1361</f>
        <v>21192828</v>
      </c>
      <c r="J20" s="5">
        <f>depreciation!S1362</f>
        <v>21835616</v>
      </c>
      <c r="K20" s="5">
        <f>depreciation!S1363</f>
        <v>21857538</v>
      </c>
      <c r="L20" s="5">
        <f>depreciation!S1364</f>
        <v>21902446</v>
      </c>
      <c r="M20" s="5">
        <f>depreciation!S1365</f>
        <v>21923701</v>
      </c>
      <c r="N20" s="5">
        <f>depreciation!S1366</f>
        <v>21923701</v>
      </c>
      <c r="O20" s="5">
        <f>depreciation!S1367</f>
        <v>21923701</v>
      </c>
      <c r="P20" s="5">
        <f>depreciation!S1368</f>
        <v>21923701</v>
      </c>
      <c r="Q20" s="5">
        <f>depreciation!S1369</f>
        <v>21923701</v>
      </c>
      <c r="R20" s="5">
        <f>depreciation!S1370</f>
        <v>21923701</v>
      </c>
      <c r="S20" s="5">
        <f>depreciation!S1371</f>
        <v>21923701</v>
      </c>
    </row>
    <row r="21" spans="1:19" ht="15">
      <c r="A21" s="30" t="s">
        <v>38</v>
      </c>
      <c r="B21" t="s">
        <v>70</v>
      </c>
      <c r="G21">
        <f>-depreciation!V1358</f>
        <v>-2375</v>
      </c>
      <c r="H21">
        <f>-H32+G21</f>
        <v>-26930</v>
      </c>
      <c r="I21">
        <f>-I32+H21</f>
        <v>-75676</v>
      </c>
      <c r="J21">
        <f aca="true" t="shared" si="0" ref="J21:S21">-J32+I21</f>
        <v>-124953</v>
      </c>
      <c r="K21">
        <f t="shared" si="0"/>
        <v>-175005</v>
      </c>
      <c r="L21">
        <f t="shared" si="0"/>
        <v>-225135</v>
      </c>
      <c r="M21">
        <f t="shared" si="0"/>
        <v>-275343</v>
      </c>
      <c r="N21">
        <f t="shared" si="0"/>
        <v>-325575</v>
      </c>
      <c r="O21">
        <f t="shared" si="0"/>
        <v>-375807</v>
      </c>
      <c r="P21">
        <f t="shared" si="0"/>
        <v>-426039</v>
      </c>
      <c r="Q21">
        <f t="shared" si="0"/>
        <v>-476271</v>
      </c>
      <c r="R21">
        <f t="shared" si="0"/>
        <v>-526503</v>
      </c>
      <c r="S21">
        <f t="shared" si="0"/>
        <v>-576735</v>
      </c>
    </row>
    <row r="22" spans="1:19" ht="15">
      <c r="A22" s="31" t="s">
        <v>39</v>
      </c>
      <c r="B22" s="1" t="s">
        <v>71</v>
      </c>
      <c r="C22" s="1"/>
      <c r="D22" s="1"/>
      <c r="E22" s="1"/>
      <c r="F22" s="1"/>
      <c r="G22" s="54">
        <v>20421536</v>
      </c>
      <c r="H22" s="54">
        <v>0</v>
      </c>
      <c r="I22" s="54">
        <f aca="true" t="shared" si="1" ref="I22:S22">H22</f>
        <v>0</v>
      </c>
      <c r="J22" s="54">
        <f t="shared" si="1"/>
        <v>0</v>
      </c>
      <c r="K22" s="54">
        <f t="shared" si="1"/>
        <v>0</v>
      </c>
      <c r="L22" s="54">
        <f t="shared" si="1"/>
        <v>0</v>
      </c>
      <c r="M22" s="54">
        <f t="shared" si="1"/>
        <v>0</v>
      </c>
      <c r="N22" s="54">
        <f t="shared" si="1"/>
        <v>0</v>
      </c>
      <c r="O22" s="54">
        <f t="shared" si="1"/>
        <v>0</v>
      </c>
      <c r="P22" s="54">
        <f t="shared" si="1"/>
        <v>0</v>
      </c>
      <c r="Q22" s="54">
        <f t="shared" si="1"/>
        <v>0</v>
      </c>
      <c r="R22" s="54">
        <f t="shared" si="1"/>
        <v>0</v>
      </c>
      <c r="S22" s="54">
        <f t="shared" si="1"/>
        <v>0</v>
      </c>
    </row>
    <row r="23" spans="1:20" ht="15">
      <c r="A23" s="31" t="s">
        <v>40</v>
      </c>
      <c r="B23" s="1" t="s">
        <v>72</v>
      </c>
      <c r="C23" s="1"/>
      <c r="D23" s="1"/>
      <c r="E23" s="1"/>
      <c r="F23" s="1"/>
      <c r="G23" s="26">
        <f aca="true" t="shared" si="2" ref="G23:S23">G20+G21+G22</f>
        <v>20877307</v>
      </c>
      <c r="H23" s="17">
        <f t="shared" si="2"/>
        <v>21353368</v>
      </c>
      <c r="I23" s="17">
        <f t="shared" si="2"/>
        <v>21117152</v>
      </c>
      <c r="J23" s="17">
        <f t="shared" si="2"/>
        <v>21710663</v>
      </c>
      <c r="K23" s="17">
        <f t="shared" si="2"/>
        <v>21682533</v>
      </c>
      <c r="L23" s="17">
        <f t="shared" si="2"/>
        <v>21677311</v>
      </c>
      <c r="M23" s="17">
        <f t="shared" si="2"/>
        <v>21648358</v>
      </c>
      <c r="N23" s="17">
        <f t="shared" si="2"/>
        <v>21598126</v>
      </c>
      <c r="O23" s="17">
        <f t="shared" si="2"/>
        <v>21547894</v>
      </c>
      <c r="P23" s="17">
        <f t="shared" si="2"/>
        <v>21497662</v>
      </c>
      <c r="Q23" s="17">
        <f t="shared" si="2"/>
        <v>21447430</v>
      </c>
      <c r="R23" s="17">
        <f t="shared" si="2"/>
        <v>21397198</v>
      </c>
      <c r="S23" s="17">
        <f t="shared" si="2"/>
        <v>21346966</v>
      </c>
      <c r="T23" s="16"/>
    </row>
    <row r="25" spans="1:19" ht="15">
      <c r="A25" s="30" t="s">
        <v>42</v>
      </c>
      <c r="B25" t="s">
        <v>73</v>
      </c>
      <c r="H25">
        <f aca="true" t="shared" si="3" ref="H25:S25">ROUND((+G23+H23)/2,0)</f>
        <v>21115338</v>
      </c>
      <c r="I25">
        <f t="shared" si="3"/>
        <v>21235260</v>
      </c>
      <c r="J25">
        <f t="shared" si="3"/>
        <v>21413908</v>
      </c>
      <c r="K25">
        <f t="shared" si="3"/>
        <v>21696598</v>
      </c>
      <c r="L25">
        <f t="shared" si="3"/>
        <v>21679922</v>
      </c>
      <c r="M25">
        <f t="shared" si="3"/>
        <v>21662835</v>
      </c>
      <c r="N25">
        <f t="shared" si="3"/>
        <v>21623242</v>
      </c>
      <c r="O25">
        <f t="shared" si="3"/>
        <v>21573010</v>
      </c>
      <c r="P25">
        <f t="shared" si="3"/>
        <v>21522778</v>
      </c>
      <c r="Q25">
        <f t="shared" si="3"/>
        <v>21472546</v>
      </c>
      <c r="R25">
        <f t="shared" si="3"/>
        <v>21422314</v>
      </c>
      <c r="S25">
        <f t="shared" si="3"/>
        <v>21372082</v>
      </c>
    </row>
    <row r="27" spans="1:2" ht="15">
      <c r="A27" s="30" t="s">
        <v>43</v>
      </c>
      <c r="B27" t="s">
        <v>74</v>
      </c>
    </row>
    <row r="28" spans="1:20" ht="15">
      <c r="A28" s="1"/>
      <c r="B28" s="1" t="s">
        <v>75</v>
      </c>
      <c r="C28" s="1"/>
      <c r="D28" s="1"/>
      <c r="E28" s="1"/>
      <c r="F28" s="1"/>
      <c r="G28" s="1"/>
      <c r="H28" s="1">
        <f aca="true" t="shared" si="4" ref="H28:S28">ROUND(+H25*(0.088238)/12,0)</f>
        <v>155265</v>
      </c>
      <c r="I28" s="1">
        <f t="shared" si="4"/>
        <v>156146</v>
      </c>
      <c r="J28" s="1">
        <f t="shared" si="4"/>
        <v>157460</v>
      </c>
      <c r="K28" s="1">
        <f t="shared" si="4"/>
        <v>159539</v>
      </c>
      <c r="L28" s="1">
        <f t="shared" si="4"/>
        <v>159416</v>
      </c>
      <c r="M28" s="1">
        <f t="shared" si="4"/>
        <v>159290</v>
      </c>
      <c r="N28" s="1">
        <f t="shared" si="4"/>
        <v>158999</v>
      </c>
      <c r="O28" s="1">
        <f t="shared" si="4"/>
        <v>158630</v>
      </c>
      <c r="P28" s="1">
        <f t="shared" si="4"/>
        <v>158261</v>
      </c>
      <c r="Q28" s="1">
        <f t="shared" si="4"/>
        <v>157891</v>
      </c>
      <c r="R28" s="1">
        <f t="shared" si="4"/>
        <v>157522</v>
      </c>
      <c r="S28" s="1">
        <f t="shared" si="4"/>
        <v>157152</v>
      </c>
      <c r="T28" s="5">
        <f>SUM(H28:S28)</f>
        <v>1895571</v>
      </c>
    </row>
    <row r="29" spans="2:20" ht="15">
      <c r="B29" t="s">
        <v>76</v>
      </c>
      <c r="H29">
        <f aca="true" t="shared" si="5" ref="H29:S29">ROUND(+H25*(0.0282)/12,0)</f>
        <v>49621</v>
      </c>
      <c r="I29">
        <f t="shared" si="5"/>
        <v>49903</v>
      </c>
      <c r="J29">
        <f t="shared" si="5"/>
        <v>50323</v>
      </c>
      <c r="K29">
        <f t="shared" si="5"/>
        <v>50987</v>
      </c>
      <c r="L29">
        <f t="shared" si="5"/>
        <v>50948</v>
      </c>
      <c r="M29">
        <f t="shared" si="5"/>
        <v>50908</v>
      </c>
      <c r="N29">
        <f t="shared" si="5"/>
        <v>50815</v>
      </c>
      <c r="O29">
        <f t="shared" si="5"/>
        <v>50697</v>
      </c>
      <c r="P29">
        <f t="shared" si="5"/>
        <v>50579</v>
      </c>
      <c r="Q29">
        <f t="shared" si="5"/>
        <v>50460</v>
      </c>
      <c r="R29">
        <f t="shared" si="5"/>
        <v>50342</v>
      </c>
      <c r="S29">
        <f t="shared" si="5"/>
        <v>50224</v>
      </c>
      <c r="T29">
        <f>SUM(H29:S29)</f>
        <v>605807</v>
      </c>
    </row>
    <row r="31" spans="1:2" ht="15">
      <c r="A31" s="30" t="s">
        <v>44</v>
      </c>
      <c r="B31" t="s">
        <v>77</v>
      </c>
    </row>
    <row r="32" spans="2:20" ht="15">
      <c r="B32" t="s">
        <v>78</v>
      </c>
      <c r="H32" s="47">
        <f>depreciation!U1360</f>
        <v>24555</v>
      </c>
      <c r="I32" s="47">
        <f>depreciation!U1361</f>
        <v>48746</v>
      </c>
      <c r="J32" s="47">
        <f>+depreciation!U1362</f>
        <v>49277</v>
      </c>
      <c r="K32" s="47">
        <f>+depreciation!U1363</f>
        <v>50052</v>
      </c>
      <c r="L32" s="47">
        <f>+depreciation!U1364</f>
        <v>50130</v>
      </c>
      <c r="M32" s="47">
        <f>+depreciation!U1365</f>
        <v>50208</v>
      </c>
      <c r="N32" s="47">
        <f>+depreciation!U1366</f>
        <v>50232</v>
      </c>
      <c r="O32" s="47">
        <f>+depreciation!U1367</f>
        <v>50232</v>
      </c>
      <c r="P32" s="47">
        <f>+depreciation!U1368</f>
        <v>50232</v>
      </c>
      <c r="Q32" s="47">
        <f>+depreciation!U1369</f>
        <v>50232</v>
      </c>
      <c r="R32" s="47">
        <f>+depreciation!U1370</f>
        <v>50232</v>
      </c>
      <c r="S32" s="47">
        <f>+depreciation!U1371</f>
        <v>50232</v>
      </c>
      <c r="T32">
        <f>SUM(H32:S32)</f>
        <v>574360</v>
      </c>
    </row>
    <row r="33" spans="2:20" ht="15">
      <c r="B33" t="s">
        <v>79</v>
      </c>
      <c r="H33">
        <v>0</v>
      </c>
      <c r="I33">
        <v>0</v>
      </c>
      <c r="J33">
        <v>0</v>
      </c>
      <c r="K33">
        <v>0</v>
      </c>
      <c r="L33">
        <v>0</v>
      </c>
      <c r="M33">
        <v>0</v>
      </c>
      <c r="N33">
        <v>0</v>
      </c>
      <c r="O33">
        <v>0</v>
      </c>
      <c r="P33">
        <v>0</v>
      </c>
      <c r="Q33">
        <v>0</v>
      </c>
      <c r="R33">
        <v>0</v>
      </c>
      <c r="S33">
        <v>0</v>
      </c>
      <c r="T33">
        <f>SUM(H33:S33)</f>
        <v>0</v>
      </c>
    </row>
    <row r="34" spans="2:20" ht="15">
      <c r="B34" t="s">
        <v>80</v>
      </c>
      <c r="H34">
        <v>0</v>
      </c>
      <c r="I34">
        <v>0</v>
      </c>
      <c r="J34">
        <v>0</v>
      </c>
      <c r="K34">
        <v>0</v>
      </c>
      <c r="L34">
        <v>0</v>
      </c>
      <c r="M34">
        <v>0</v>
      </c>
      <c r="N34">
        <v>0</v>
      </c>
      <c r="O34">
        <v>0</v>
      </c>
      <c r="P34">
        <v>0</v>
      </c>
      <c r="Q34">
        <v>0</v>
      </c>
      <c r="R34">
        <v>0</v>
      </c>
      <c r="S34">
        <v>0</v>
      </c>
      <c r="T34">
        <f>SUM(H34:S34)</f>
        <v>0</v>
      </c>
    </row>
    <row r="35" spans="2:20" ht="15">
      <c r="B35" t="s">
        <v>81</v>
      </c>
      <c r="H35">
        <v>0</v>
      </c>
      <c r="I35">
        <v>0</v>
      </c>
      <c r="J35">
        <v>0</v>
      </c>
      <c r="K35">
        <v>0</v>
      </c>
      <c r="L35">
        <v>0</v>
      </c>
      <c r="M35">
        <v>0</v>
      </c>
      <c r="N35">
        <v>0</v>
      </c>
      <c r="O35">
        <v>0</v>
      </c>
      <c r="P35">
        <v>0</v>
      </c>
      <c r="Q35">
        <v>0</v>
      </c>
      <c r="R35">
        <v>0</v>
      </c>
      <c r="S35">
        <v>0</v>
      </c>
      <c r="T35">
        <f>SUM(H35:S35)</f>
        <v>0</v>
      </c>
    </row>
    <row r="36" spans="1:20" ht="15">
      <c r="A36" s="1"/>
      <c r="B36" s="1" t="s">
        <v>82</v>
      </c>
      <c r="C36" s="1"/>
      <c r="D36" s="1"/>
      <c r="E36" s="1"/>
      <c r="F36" s="1"/>
      <c r="G36" s="1"/>
      <c r="H36" s="6">
        <v>0</v>
      </c>
      <c r="I36" s="6">
        <v>0</v>
      </c>
      <c r="J36" s="6">
        <v>0</v>
      </c>
      <c r="K36" s="6">
        <v>0</v>
      </c>
      <c r="L36" s="6">
        <v>0</v>
      </c>
      <c r="M36" s="6">
        <v>0</v>
      </c>
      <c r="N36" s="6">
        <v>0</v>
      </c>
      <c r="O36" s="6">
        <v>0</v>
      </c>
      <c r="P36" s="6">
        <v>0</v>
      </c>
      <c r="Q36" s="6">
        <v>0</v>
      </c>
      <c r="R36" s="6">
        <v>0</v>
      </c>
      <c r="S36" s="6">
        <v>0</v>
      </c>
      <c r="T36" s="6">
        <f>SUM(H36:S36)</f>
        <v>0</v>
      </c>
    </row>
    <row r="38" spans="1:20" ht="15">
      <c r="A38" s="30" t="s">
        <v>45</v>
      </c>
      <c r="B38" t="s">
        <v>83</v>
      </c>
      <c r="H38">
        <f aca="true" t="shared" si="6" ref="H38:S38">ROUND(+H28+H29+H32+H33+H34+H35+H36,0)</f>
        <v>229441</v>
      </c>
      <c r="I38">
        <f t="shared" si="6"/>
        <v>254795</v>
      </c>
      <c r="J38">
        <f t="shared" si="6"/>
        <v>257060</v>
      </c>
      <c r="K38">
        <f t="shared" si="6"/>
        <v>260578</v>
      </c>
      <c r="L38">
        <f t="shared" si="6"/>
        <v>260494</v>
      </c>
      <c r="M38">
        <f t="shared" si="6"/>
        <v>260406</v>
      </c>
      <c r="N38">
        <f t="shared" si="6"/>
        <v>260046</v>
      </c>
      <c r="O38">
        <f t="shared" si="6"/>
        <v>259559</v>
      </c>
      <c r="P38">
        <f t="shared" si="6"/>
        <v>259072</v>
      </c>
      <c r="Q38">
        <f t="shared" si="6"/>
        <v>258583</v>
      </c>
      <c r="R38">
        <f t="shared" si="6"/>
        <v>258096</v>
      </c>
      <c r="S38">
        <f t="shared" si="6"/>
        <v>257608</v>
      </c>
      <c r="T38">
        <f>SUM(H38:S38)</f>
        <v>3075738</v>
      </c>
    </row>
    <row r="39" spans="2:20" ht="15">
      <c r="B39" t="s">
        <v>84</v>
      </c>
      <c r="H39">
        <f aca="true" t="shared" si="7" ref="H39:S39">ROUND(+H38*1,0)</f>
        <v>229441</v>
      </c>
      <c r="I39">
        <f t="shared" si="7"/>
        <v>254795</v>
      </c>
      <c r="J39">
        <f t="shared" si="7"/>
        <v>257060</v>
      </c>
      <c r="K39">
        <f t="shared" si="7"/>
        <v>260578</v>
      </c>
      <c r="L39">
        <f t="shared" si="7"/>
        <v>260494</v>
      </c>
      <c r="M39">
        <f t="shared" si="7"/>
        <v>260406</v>
      </c>
      <c r="N39">
        <f t="shared" si="7"/>
        <v>260046</v>
      </c>
      <c r="O39">
        <f t="shared" si="7"/>
        <v>259559</v>
      </c>
      <c r="P39">
        <f t="shared" si="7"/>
        <v>259072</v>
      </c>
      <c r="Q39">
        <f t="shared" si="7"/>
        <v>258583</v>
      </c>
      <c r="R39">
        <f t="shared" si="7"/>
        <v>258096</v>
      </c>
      <c r="S39">
        <f t="shared" si="7"/>
        <v>257608</v>
      </c>
      <c r="T39">
        <f>SUM(H39:S39)</f>
        <v>3075738</v>
      </c>
    </row>
    <row r="40" spans="2:20" ht="15">
      <c r="B40" t="s">
        <v>85</v>
      </c>
      <c r="H40">
        <f aca="true" t="shared" si="8" ref="H40:S40">ROUND(+H38*0,0)</f>
        <v>0</v>
      </c>
      <c r="I40">
        <f t="shared" si="8"/>
        <v>0</v>
      </c>
      <c r="J40">
        <f t="shared" si="8"/>
        <v>0</v>
      </c>
      <c r="K40">
        <f t="shared" si="8"/>
        <v>0</v>
      </c>
      <c r="L40">
        <f t="shared" si="8"/>
        <v>0</v>
      </c>
      <c r="M40">
        <f t="shared" si="8"/>
        <v>0</v>
      </c>
      <c r="N40">
        <f t="shared" si="8"/>
        <v>0</v>
      </c>
      <c r="O40">
        <f t="shared" si="8"/>
        <v>0</v>
      </c>
      <c r="P40">
        <f t="shared" si="8"/>
        <v>0</v>
      </c>
      <c r="Q40">
        <f t="shared" si="8"/>
        <v>0</v>
      </c>
      <c r="R40">
        <f t="shared" si="8"/>
        <v>0</v>
      </c>
      <c r="S40">
        <f t="shared" si="8"/>
        <v>0</v>
      </c>
      <c r="T40">
        <f>SUM(H40:S40)</f>
        <v>0</v>
      </c>
    </row>
    <row r="42" spans="1:20" ht="15">
      <c r="A42" s="31" t="s">
        <v>86</v>
      </c>
      <c r="B42" s="1" t="s">
        <v>87</v>
      </c>
      <c r="C42" s="1"/>
      <c r="D42" s="1"/>
      <c r="E42" s="1"/>
      <c r="F42" s="1"/>
      <c r="G42" s="24"/>
      <c r="H42" s="24">
        <f>'Form 42 5A'!H53</f>
        <v>0</v>
      </c>
      <c r="I42" s="24">
        <f>'Form 42 5A'!I53</f>
        <v>0</v>
      </c>
      <c r="J42" s="24">
        <f>'Form 42 5A'!J53</f>
        <v>0</v>
      </c>
      <c r="K42" s="24">
        <f>'Form 42 5A'!K53</f>
        <v>0</v>
      </c>
      <c r="L42" s="24">
        <f>'Form 42 5A'!L53</f>
        <v>0</v>
      </c>
      <c r="M42" s="24">
        <f>'Form 42 5A'!M53</f>
        <v>0</v>
      </c>
      <c r="N42" s="24">
        <f>'Form 42 5A'!N53</f>
        <v>0</v>
      </c>
      <c r="O42" s="24">
        <f>'Form 42 5A'!O53</f>
        <v>0</v>
      </c>
      <c r="P42" s="24">
        <f>'Form 42 5A'!P53</f>
        <v>0</v>
      </c>
      <c r="Q42" s="24">
        <f>'Form 42 5A'!Q53</f>
        <v>0</v>
      </c>
      <c r="R42" s="24">
        <f>'Form 42 5A'!R53</f>
        <v>0</v>
      </c>
      <c r="S42" s="24">
        <f>'Form 42 5A'!S53</f>
        <v>0</v>
      </c>
      <c r="T42" s="24"/>
    </row>
    <row r="43" spans="1:20" ht="15">
      <c r="A43" s="31" t="s">
        <v>88</v>
      </c>
      <c r="B43" s="1" t="s">
        <v>89</v>
      </c>
      <c r="C43" s="1"/>
      <c r="D43" s="1"/>
      <c r="E43" s="1"/>
      <c r="F43" s="1"/>
      <c r="G43" s="24"/>
      <c r="H43" s="24">
        <f>+'Form 42 5A'!H54</f>
        <v>0</v>
      </c>
      <c r="I43" s="24">
        <f>+'Form 42 5A'!I54</f>
        <v>0</v>
      </c>
      <c r="J43" s="24">
        <f>+'Form 42 5A'!J54</f>
        <v>0</v>
      </c>
      <c r="K43" s="24">
        <f>+'Form 42 5A'!K54</f>
        <v>0</v>
      </c>
      <c r="L43" s="24">
        <f>+'Form 42 5A'!L54</f>
        <v>0</v>
      </c>
      <c r="M43" s="24">
        <f>+'Form 42 5A'!M54</f>
        <v>0</v>
      </c>
      <c r="N43" s="24">
        <f>+'Form 42 5A'!N54</f>
        <v>0</v>
      </c>
      <c r="O43" s="24">
        <f>+'Form 42 5A'!O54</f>
        <v>0</v>
      </c>
      <c r="P43" s="24">
        <f>+'Form 42 5A'!P54</f>
        <v>0</v>
      </c>
      <c r="Q43" s="24">
        <f>+'Form 42 5A'!Q54</f>
        <v>0</v>
      </c>
      <c r="R43" s="24">
        <f>+'Form 42 5A'!R54</f>
        <v>0</v>
      </c>
      <c r="S43" s="24">
        <f>+'Form 42 5A'!S54</f>
        <v>0</v>
      </c>
      <c r="T43" s="24"/>
    </row>
    <row r="45" spans="1:20" ht="15">
      <c r="A45" s="30" t="s">
        <v>90</v>
      </c>
      <c r="B45" t="s">
        <v>91</v>
      </c>
      <c r="H45">
        <f aca="true" t="shared" si="9" ref="H45:S45">ROUND((+H39*H42),0)</f>
        <v>0</v>
      </c>
      <c r="I45">
        <f t="shared" si="9"/>
        <v>0</v>
      </c>
      <c r="J45">
        <f t="shared" si="9"/>
        <v>0</v>
      </c>
      <c r="K45">
        <f t="shared" si="9"/>
        <v>0</v>
      </c>
      <c r="L45">
        <f t="shared" si="9"/>
        <v>0</v>
      </c>
      <c r="M45">
        <f t="shared" si="9"/>
        <v>0</v>
      </c>
      <c r="N45">
        <f t="shared" si="9"/>
        <v>0</v>
      </c>
      <c r="O45">
        <f t="shared" si="9"/>
        <v>0</v>
      </c>
      <c r="P45">
        <f t="shared" si="9"/>
        <v>0</v>
      </c>
      <c r="Q45">
        <f t="shared" si="9"/>
        <v>0</v>
      </c>
      <c r="R45">
        <f t="shared" si="9"/>
        <v>0</v>
      </c>
      <c r="S45">
        <f t="shared" si="9"/>
        <v>0</v>
      </c>
      <c r="T45">
        <f>SUM(H45:S45)</f>
        <v>0</v>
      </c>
    </row>
    <row r="46" spans="1:20" ht="15">
      <c r="A46" s="31" t="s">
        <v>92</v>
      </c>
      <c r="B46" s="1" t="s">
        <v>93</v>
      </c>
      <c r="C46" s="1"/>
      <c r="D46" s="1"/>
      <c r="E46" s="1"/>
      <c r="F46" s="1"/>
      <c r="G46" s="1"/>
      <c r="H46" s="6">
        <f aca="true" t="shared" si="10" ref="H46:S46">(+H40*H43)</f>
        <v>0</v>
      </c>
      <c r="I46" s="6">
        <f t="shared" si="10"/>
        <v>0</v>
      </c>
      <c r="J46" s="6">
        <f t="shared" si="10"/>
        <v>0</v>
      </c>
      <c r="K46" s="6">
        <f t="shared" si="10"/>
        <v>0</v>
      </c>
      <c r="L46" s="6">
        <f t="shared" si="10"/>
        <v>0</v>
      </c>
      <c r="M46" s="6">
        <f t="shared" si="10"/>
        <v>0</v>
      </c>
      <c r="N46" s="6">
        <f t="shared" si="10"/>
        <v>0</v>
      </c>
      <c r="O46" s="6">
        <f t="shared" si="10"/>
        <v>0</v>
      </c>
      <c r="P46" s="6">
        <f t="shared" si="10"/>
        <v>0</v>
      </c>
      <c r="Q46" s="6">
        <f t="shared" si="10"/>
        <v>0</v>
      </c>
      <c r="R46" s="6">
        <f t="shared" si="10"/>
        <v>0</v>
      </c>
      <c r="S46" s="6">
        <f t="shared" si="10"/>
        <v>0</v>
      </c>
      <c r="T46" s="6">
        <f>SUM(H46:S46)</f>
        <v>0</v>
      </c>
    </row>
    <row r="47" spans="1:20" ht="15.75" thickBot="1">
      <c r="A47" s="31" t="s">
        <v>94</v>
      </c>
      <c r="B47" s="1" t="s">
        <v>95</v>
      </c>
      <c r="C47" s="1"/>
      <c r="D47" s="1"/>
      <c r="E47" s="1"/>
      <c r="F47" s="1"/>
      <c r="G47" s="1"/>
      <c r="H47" s="7">
        <f aca="true" t="shared" si="11" ref="H47:S47">H45+H46</f>
        <v>0</v>
      </c>
      <c r="I47" s="7">
        <f t="shared" si="11"/>
        <v>0</v>
      </c>
      <c r="J47" s="7">
        <f t="shared" si="11"/>
        <v>0</v>
      </c>
      <c r="K47" s="7">
        <f t="shared" si="11"/>
        <v>0</v>
      </c>
      <c r="L47" s="7">
        <f t="shared" si="11"/>
        <v>0</v>
      </c>
      <c r="M47" s="7">
        <f t="shared" si="11"/>
        <v>0</v>
      </c>
      <c r="N47" s="7">
        <f t="shared" si="11"/>
        <v>0</v>
      </c>
      <c r="O47" s="7">
        <f t="shared" si="11"/>
        <v>0</v>
      </c>
      <c r="P47" s="7">
        <f t="shared" si="11"/>
        <v>0</v>
      </c>
      <c r="Q47" s="7">
        <f t="shared" si="11"/>
        <v>0</v>
      </c>
      <c r="R47" s="7">
        <f t="shared" si="11"/>
        <v>0</v>
      </c>
      <c r="S47" s="7">
        <f t="shared" si="11"/>
        <v>0</v>
      </c>
      <c r="T47" s="7">
        <f>SUM(T45:T46)</f>
        <v>0</v>
      </c>
    </row>
    <row r="49" ht="15">
      <c r="A49" s="30" t="s">
        <v>31</v>
      </c>
    </row>
    <row r="50" spans="1:2" ht="15">
      <c r="A50" s="30" t="s">
        <v>96</v>
      </c>
      <c r="B50" t="s">
        <v>97</v>
      </c>
    </row>
    <row r="51" spans="1:2" ht="15">
      <c r="A51" s="30" t="s">
        <v>98</v>
      </c>
      <c r="B51" t="s">
        <v>99</v>
      </c>
    </row>
    <row r="52" spans="1:2" ht="15">
      <c r="A52" s="30" t="s">
        <v>100</v>
      </c>
      <c r="B52" t="s">
        <v>101</v>
      </c>
    </row>
    <row r="60" spans="1:20" ht="15.75">
      <c r="A60" s="2"/>
      <c r="E60" s="66"/>
      <c r="F60" s="59"/>
      <c r="G60" s="59"/>
      <c r="T60" s="29" t="s">
        <v>60</v>
      </c>
    </row>
    <row r="61" spans="7:20" ht="15">
      <c r="G61" s="29" t="s">
        <v>61</v>
      </c>
      <c r="T61" s="29" t="s">
        <v>2</v>
      </c>
    </row>
    <row r="62" spans="1:20" ht="15.75" thickBot="1">
      <c r="A62" s="25" t="s">
        <v>3</v>
      </c>
      <c r="B62" s="2"/>
      <c r="C62" s="2"/>
      <c r="D62" s="25" t="s">
        <v>62</v>
      </c>
      <c r="E62" s="2"/>
      <c r="F62" s="2"/>
      <c r="G62" s="19" t="s">
        <v>63</v>
      </c>
      <c r="H62" s="44" t="s">
        <v>300</v>
      </c>
      <c r="I62" s="44" t="s">
        <v>301</v>
      </c>
      <c r="J62" s="44" t="s">
        <v>302</v>
      </c>
      <c r="K62" s="44" t="s">
        <v>303</v>
      </c>
      <c r="L62" s="44" t="s">
        <v>304</v>
      </c>
      <c r="M62" s="44" t="s">
        <v>305</v>
      </c>
      <c r="N62" s="44" t="s">
        <v>306</v>
      </c>
      <c r="O62" s="44" t="s">
        <v>307</v>
      </c>
      <c r="P62" s="44" t="s">
        <v>308</v>
      </c>
      <c r="Q62" s="44" t="s">
        <v>309</v>
      </c>
      <c r="R62" s="44" t="s">
        <v>310</v>
      </c>
      <c r="S62" s="44" t="s">
        <v>311</v>
      </c>
      <c r="T62" s="19" t="s">
        <v>8</v>
      </c>
    </row>
    <row r="63" spans="1:4" ht="15">
      <c r="A63" s="1"/>
      <c r="B63" s="1"/>
      <c r="C63" s="1"/>
      <c r="D63" s="27"/>
    </row>
    <row r="64" spans="1:2" ht="15">
      <c r="A64" s="30" t="s">
        <v>35</v>
      </c>
      <c r="B64" t="s">
        <v>64</v>
      </c>
    </row>
    <row r="65" spans="1:20" ht="15">
      <c r="A65" s="1"/>
      <c r="B65" s="1" t="s">
        <v>344</v>
      </c>
      <c r="C65" s="1"/>
      <c r="D65" s="1"/>
      <c r="E65" s="1"/>
      <c r="F65" s="1"/>
      <c r="G65" s="1"/>
      <c r="H65" s="49">
        <v>0</v>
      </c>
      <c r="I65" s="49">
        <v>0</v>
      </c>
      <c r="J65" s="49">
        <v>8340</v>
      </c>
      <c r="K65" s="49">
        <v>110983</v>
      </c>
      <c r="L65" s="49">
        <v>66627</v>
      </c>
      <c r="M65" s="49">
        <v>154652</v>
      </c>
      <c r="N65" s="49">
        <v>138446</v>
      </c>
      <c r="O65" s="49">
        <v>47109</v>
      </c>
      <c r="P65" s="49">
        <v>30088</v>
      </c>
      <c r="Q65" s="49">
        <v>19417</v>
      </c>
      <c r="R65" s="49">
        <v>-95806</v>
      </c>
      <c r="S65" s="49">
        <v>-5533</v>
      </c>
      <c r="T65" s="5"/>
    </row>
    <row r="66" spans="2:19" ht="15">
      <c r="B66" t="s">
        <v>66</v>
      </c>
      <c r="H66">
        <v>0</v>
      </c>
      <c r="I66">
        <v>0</v>
      </c>
      <c r="J66">
        <v>0</v>
      </c>
      <c r="K66">
        <v>0</v>
      </c>
      <c r="L66">
        <v>0</v>
      </c>
      <c r="M66">
        <v>0</v>
      </c>
      <c r="N66">
        <v>0</v>
      </c>
      <c r="O66">
        <v>0</v>
      </c>
      <c r="P66">
        <v>0</v>
      </c>
      <c r="Q66">
        <v>0</v>
      </c>
      <c r="R66">
        <v>0</v>
      </c>
      <c r="S66">
        <v>0</v>
      </c>
    </row>
    <row r="67" spans="2:19" ht="15">
      <c r="B67" t="s">
        <v>67</v>
      </c>
      <c r="H67">
        <v>0</v>
      </c>
      <c r="I67">
        <v>0</v>
      </c>
      <c r="J67">
        <v>0</v>
      </c>
      <c r="K67">
        <v>0</v>
      </c>
      <c r="L67">
        <v>0</v>
      </c>
      <c r="M67">
        <v>0</v>
      </c>
      <c r="N67">
        <v>0</v>
      </c>
      <c r="O67">
        <v>0</v>
      </c>
      <c r="P67">
        <v>0</v>
      </c>
      <c r="Q67">
        <v>0</v>
      </c>
      <c r="R67">
        <v>0</v>
      </c>
      <c r="S67">
        <v>0</v>
      </c>
    </row>
    <row r="68" spans="2:19" ht="15">
      <c r="B68" t="s">
        <v>68</v>
      </c>
      <c r="H68">
        <v>0</v>
      </c>
      <c r="I68">
        <v>0</v>
      </c>
      <c r="J68">
        <v>0</v>
      </c>
      <c r="K68">
        <v>0</v>
      </c>
      <c r="L68">
        <v>0</v>
      </c>
      <c r="M68">
        <v>0</v>
      </c>
      <c r="N68">
        <v>0</v>
      </c>
      <c r="O68">
        <v>0</v>
      </c>
      <c r="P68">
        <v>0</v>
      </c>
      <c r="Q68">
        <v>0</v>
      </c>
      <c r="R68">
        <v>0</v>
      </c>
      <c r="S68">
        <v>0</v>
      </c>
    </row>
    <row r="70" spans="1:19" ht="15">
      <c r="A70" s="31" t="s">
        <v>36</v>
      </c>
      <c r="B70" s="1" t="s">
        <v>69</v>
      </c>
      <c r="C70" s="1"/>
      <c r="D70" s="1"/>
      <c r="E70" s="1"/>
      <c r="F70" s="1"/>
      <c r="G70" s="5">
        <f>+depreciation!B1394</f>
        <v>0</v>
      </c>
      <c r="H70">
        <f>+G70+H65</f>
        <v>0</v>
      </c>
      <c r="I70">
        <f>+H70+I65</f>
        <v>0</v>
      </c>
      <c r="J70">
        <f>+I70+J65</f>
        <v>8340</v>
      </c>
      <c r="K70">
        <f aca="true" t="shared" si="12" ref="K70:R70">+J70+K65</f>
        <v>119323</v>
      </c>
      <c r="L70">
        <f t="shared" si="12"/>
        <v>185950</v>
      </c>
      <c r="M70">
        <f t="shared" si="12"/>
        <v>340602</v>
      </c>
      <c r="N70">
        <f t="shared" si="12"/>
        <v>479048</v>
      </c>
      <c r="O70">
        <f t="shared" si="12"/>
        <v>526157</v>
      </c>
      <c r="P70">
        <f t="shared" si="12"/>
        <v>556245</v>
      </c>
      <c r="Q70">
        <f t="shared" si="12"/>
        <v>575662</v>
      </c>
      <c r="R70">
        <f t="shared" si="12"/>
        <v>479856</v>
      </c>
      <c r="S70">
        <f>+R70+S65</f>
        <v>474323</v>
      </c>
    </row>
    <row r="71" spans="1:19" ht="15">
      <c r="A71" s="30" t="s">
        <v>38</v>
      </c>
      <c r="B71" t="s">
        <v>70</v>
      </c>
      <c r="G71">
        <f>-depreciation!D1394</f>
        <v>0</v>
      </c>
      <c r="H71">
        <f aca="true" t="shared" si="13" ref="H71:S71">-H82+G71</f>
        <v>0</v>
      </c>
      <c r="I71">
        <f t="shared" si="13"/>
        <v>0</v>
      </c>
      <c r="J71">
        <f t="shared" si="13"/>
        <v>0</v>
      </c>
      <c r="K71">
        <f t="shared" si="13"/>
        <v>0</v>
      </c>
      <c r="L71">
        <f t="shared" si="13"/>
        <v>0</v>
      </c>
      <c r="M71">
        <f t="shared" si="13"/>
        <v>0</v>
      </c>
      <c r="N71">
        <f t="shared" si="13"/>
        <v>0</v>
      </c>
      <c r="O71">
        <f t="shared" si="13"/>
        <v>0</v>
      </c>
      <c r="P71">
        <f t="shared" si="13"/>
        <v>0</v>
      </c>
      <c r="Q71">
        <f t="shared" si="13"/>
        <v>0</v>
      </c>
      <c r="R71">
        <f t="shared" si="13"/>
        <v>0</v>
      </c>
      <c r="S71">
        <f t="shared" si="13"/>
        <v>0</v>
      </c>
    </row>
    <row r="72" spans="1:19" ht="15">
      <c r="A72" s="31" t="s">
        <v>39</v>
      </c>
      <c r="B72" s="1" t="s">
        <v>71</v>
      </c>
      <c r="C72" s="1"/>
      <c r="D72" s="1"/>
      <c r="E72" s="1"/>
      <c r="F72" s="1"/>
      <c r="G72" s="6">
        <v>0</v>
      </c>
      <c r="H72" s="6">
        <v>0</v>
      </c>
      <c r="I72" s="6">
        <v>0</v>
      </c>
      <c r="J72" s="54">
        <v>0</v>
      </c>
      <c r="K72" s="54">
        <v>0</v>
      </c>
      <c r="L72" s="54">
        <v>0</v>
      </c>
      <c r="M72" s="54">
        <v>0</v>
      </c>
      <c r="N72" s="54">
        <v>0</v>
      </c>
      <c r="O72" s="54">
        <v>0</v>
      </c>
      <c r="P72" s="54">
        <v>0</v>
      </c>
      <c r="Q72" s="54">
        <v>0</v>
      </c>
      <c r="R72" s="54">
        <v>0</v>
      </c>
      <c r="S72" s="6">
        <v>0</v>
      </c>
    </row>
    <row r="73" spans="1:20" ht="15">
      <c r="A73" s="31" t="s">
        <v>40</v>
      </c>
      <c r="B73" s="1" t="s">
        <v>72</v>
      </c>
      <c r="C73" s="1"/>
      <c r="D73" s="1"/>
      <c r="E73" s="1"/>
      <c r="F73" s="1"/>
      <c r="G73" s="26">
        <f aca="true" t="shared" si="14" ref="G73:S73">G70+G71+G72</f>
        <v>0</v>
      </c>
      <c r="H73" s="17">
        <f t="shared" si="14"/>
        <v>0</v>
      </c>
      <c r="I73" s="17">
        <f t="shared" si="14"/>
        <v>0</v>
      </c>
      <c r="J73" s="17">
        <f t="shared" si="14"/>
        <v>8340</v>
      </c>
      <c r="K73" s="17">
        <f t="shared" si="14"/>
        <v>119323</v>
      </c>
      <c r="L73" s="17">
        <f t="shared" si="14"/>
        <v>185950</v>
      </c>
      <c r="M73" s="17">
        <f t="shared" si="14"/>
        <v>340602</v>
      </c>
      <c r="N73" s="17">
        <f t="shared" si="14"/>
        <v>479048</v>
      </c>
      <c r="O73" s="17">
        <f t="shared" si="14"/>
        <v>526157</v>
      </c>
      <c r="P73" s="17">
        <f t="shared" si="14"/>
        <v>556245</v>
      </c>
      <c r="Q73" s="17">
        <f t="shared" si="14"/>
        <v>575662</v>
      </c>
      <c r="R73" s="17">
        <f t="shared" si="14"/>
        <v>479856</v>
      </c>
      <c r="S73" s="17">
        <f t="shared" si="14"/>
        <v>474323</v>
      </c>
      <c r="T73" s="16"/>
    </row>
    <row r="75" spans="1:19" ht="15">
      <c r="A75" s="30" t="s">
        <v>42</v>
      </c>
      <c r="B75" t="s">
        <v>73</v>
      </c>
      <c r="H75">
        <f aca="true" t="shared" si="15" ref="H75:S75">ROUND((+G73+H73)/2,0)</f>
        <v>0</v>
      </c>
      <c r="I75">
        <f t="shared" si="15"/>
        <v>0</v>
      </c>
      <c r="J75">
        <f t="shared" si="15"/>
        <v>4170</v>
      </c>
      <c r="K75">
        <f t="shared" si="15"/>
        <v>63832</v>
      </c>
      <c r="L75">
        <f t="shared" si="15"/>
        <v>152637</v>
      </c>
      <c r="M75">
        <f t="shared" si="15"/>
        <v>263276</v>
      </c>
      <c r="N75">
        <f t="shared" si="15"/>
        <v>409825</v>
      </c>
      <c r="O75">
        <f t="shared" si="15"/>
        <v>502603</v>
      </c>
      <c r="P75">
        <f t="shared" si="15"/>
        <v>541201</v>
      </c>
      <c r="Q75">
        <f t="shared" si="15"/>
        <v>565954</v>
      </c>
      <c r="R75">
        <f t="shared" si="15"/>
        <v>527759</v>
      </c>
      <c r="S75">
        <f t="shared" si="15"/>
        <v>477090</v>
      </c>
    </row>
    <row r="77" spans="1:2" ht="15">
      <c r="A77" s="30" t="s">
        <v>43</v>
      </c>
      <c r="B77" t="s">
        <v>74</v>
      </c>
    </row>
    <row r="78" spans="1:20" ht="15">
      <c r="A78" s="1"/>
      <c r="B78" s="1" t="s">
        <v>75</v>
      </c>
      <c r="C78" s="1"/>
      <c r="D78" s="1"/>
      <c r="E78" s="1"/>
      <c r="F78" s="1"/>
      <c r="G78" s="1"/>
      <c r="H78" s="1">
        <f aca="true" t="shared" si="16" ref="H78:S78">ROUND(+H75*(0.088238)/12,0)</f>
        <v>0</v>
      </c>
      <c r="I78" s="1">
        <f t="shared" si="16"/>
        <v>0</v>
      </c>
      <c r="J78" s="1">
        <f t="shared" si="16"/>
        <v>31</v>
      </c>
      <c r="K78" s="1">
        <f t="shared" si="16"/>
        <v>469</v>
      </c>
      <c r="L78" s="1">
        <f t="shared" si="16"/>
        <v>1122</v>
      </c>
      <c r="M78" s="1">
        <f t="shared" si="16"/>
        <v>1936</v>
      </c>
      <c r="N78" s="1">
        <f t="shared" si="16"/>
        <v>3014</v>
      </c>
      <c r="O78" s="1">
        <f t="shared" si="16"/>
        <v>3696</v>
      </c>
      <c r="P78" s="1">
        <f t="shared" si="16"/>
        <v>3980</v>
      </c>
      <c r="Q78" s="1">
        <f t="shared" si="16"/>
        <v>4162</v>
      </c>
      <c r="R78" s="1">
        <f t="shared" si="16"/>
        <v>3881</v>
      </c>
      <c r="S78" s="1">
        <f t="shared" si="16"/>
        <v>3508</v>
      </c>
      <c r="T78" s="5">
        <f>SUM(H78:S78)</f>
        <v>25799</v>
      </c>
    </row>
    <row r="79" spans="2:20" ht="15">
      <c r="B79" t="s">
        <v>76</v>
      </c>
      <c r="H79">
        <f aca="true" t="shared" si="17" ref="H79:S79">ROUND(+H75*(0.0282)/12,0)</f>
        <v>0</v>
      </c>
      <c r="I79">
        <f t="shared" si="17"/>
        <v>0</v>
      </c>
      <c r="J79">
        <f t="shared" si="17"/>
        <v>10</v>
      </c>
      <c r="K79">
        <f t="shared" si="17"/>
        <v>150</v>
      </c>
      <c r="L79">
        <f t="shared" si="17"/>
        <v>359</v>
      </c>
      <c r="M79">
        <f t="shared" si="17"/>
        <v>619</v>
      </c>
      <c r="N79">
        <f t="shared" si="17"/>
        <v>963</v>
      </c>
      <c r="O79">
        <f t="shared" si="17"/>
        <v>1181</v>
      </c>
      <c r="P79">
        <f t="shared" si="17"/>
        <v>1272</v>
      </c>
      <c r="Q79">
        <f t="shared" si="17"/>
        <v>1330</v>
      </c>
      <c r="R79">
        <f t="shared" si="17"/>
        <v>1240</v>
      </c>
      <c r="S79">
        <f t="shared" si="17"/>
        <v>1121</v>
      </c>
      <c r="T79">
        <f>SUM(H79:S79)</f>
        <v>8245</v>
      </c>
    </row>
    <row r="81" spans="1:2" ht="15">
      <c r="A81" s="30" t="s">
        <v>44</v>
      </c>
      <c r="B81" t="s">
        <v>77</v>
      </c>
    </row>
    <row r="82" spans="2:20" ht="15">
      <c r="B82" t="s">
        <v>78</v>
      </c>
      <c r="H82" s="47">
        <v>0</v>
      </c>
      <c r="I82" s="47">
        <v>0</v>
      </c>
      <c r="J82" s="47">
        <f>+depreciation!D1398</f>
        <v>0</v>
      </c>
      <c r="K82" s="47">
        <f>+depreciation!D1399</f>
        <v>0</v>
      </c>
      <c r="L82" s="47">
        <f>+depreciation!D1400</f>
        <v>0</v>
      </c>
      <c r="M82" s="47">
        <f>+depreciation!D1401</f>
        <v>0</v>
      </c>
      <c r="N82" s="47">
        <f>+depreciation!D1402</f>
        <v>0</v>
      </c>
      <c r="O82" s="47">
        <f>+depreciation!D1403</f>
        <v>0</v>
      </c>
      <c r="P82" s="47">
        <f>+depreciation!D1404</f>
        <v>0</v>
      </c>
      <c r="Q82" s="47">
        <f>+depreciation!D1405</f>
        <v>0</v>
      </c>
      <c r="R82" s="47">
        <f>+depreciation!D1406</f>
        <v>0</v>
      </c>
      <c r="S82" s="47">
        <f>+depreciation!D1419</f>
        <v>0</v>
      </c>
      <c r="T82">
        <f>SUM(H82:S82)</f>
        <v>0</v>
      </c>
    </row>
    <row r="83" spans="2:20" ht="15">
      <c r="B83" t="s">
        <v>79</v>
      </c>
      <c r="H83">
        <v>0</v>
      </c>
      <c r="I83">
        <v>0</v>
      </c>
      <c r="J83">
        <v>0</v>
      </c>
      <c r="K83">
        <v>0</v>
      </c>
      <c r="L83">
        <v>0</v>
      </c>
      <c r="M83">
        <v>0</v>
      </c>
      <c r="N83">
        <v>0</v>
      </c>
      <c r="O83">
        <v>0</v>
      </c>
      <c r="P83">
        <v>0</v>
      </c>
      <c r="Q83">
        <v>0</v>
      </c>
      <c r="R83">
        <v>0</v>
      </c>
      <c r="S83">
        <v>0</v>
      </c>
      <c r="T83">
        <f>SUM(H83:S83)</f>
        <v>0</v>
      </c>
    </row>
    <row r="84" spans="2:20" ht="15">
      <c r="B84" t="s">
        <v>80</v>
      </c>
      <c r="H84">
        <v>0</v>
      </c>
      <c r="I84">
        <v>0</v>
      </c>
      <c r="J84">
        <v>0</v>
      </c>
      <c r="K84">
        <v>0</v>
      </c>
      <c r="L84">
        <v>0</v>
      </c>
      <c r="M84">
        <v>0</v>
      </c>
      <c r="N84">
        <v>0</v>
      </c>
      <c r="O84">
        <v>0</v>
      </c>
      <c r="P84">
        <v>0</v>
      </c>
      <c r="Q84">
        <v>0</v>
      </c>
      <c r="R84">
        <v>0</v>
      </c>
      <c r="S84">
        <v>0</v>
      </c>
      <c r="T84">
        <f>SUM(H84:S84)</f>
        <v>0</v>
      </c>
    </row>
    <row r="85" spans="2:20" ht="15">
      <c r="B85" t="s">
        <v>81</v>
      </c>
      <c r="H85">
        <v>0</v>
      </c>
      <c r="I85">
        <v>0</v>
      </c>
      <c r="J85">
        <v>0</v>
      </c>
      <c r="K85">
        <v>0</v>
      </c>
      <c r="L85">
        <v>0</v>
      </c>
      <c r="M85">
        <v>0</v>
      </c>
      <c r="N85">
        <v>0</v>
      </c>
      <c r="O85">
        <v>0</v>
      </c>
      <c r="P85">
        <v>0</v>
      </c>
      <c r="Q85">
        <v>0</v>
      </c>
      <c r="R85">
        <v>0</v>
      </c>
      <c r="S85">
        <v>0</v>
      </c>
      <c r="T85">
        <f>SUM(H85:S85)</f>
        <v>0</v>
      </c>
    </row>
    <row r="86" spans="1:20" ht="15">
      <c r="A86" s="1"/>
      <c r="B86" s="1" t="s">
        <v>82</v>
      </c>
      <c r="C86" s="1"/>
      <c r="D86" s="1"/>
      <c r="E86" s="1"/>
      <c r="F86" s="1"/>
      <c r="G86" s="1"/>
      <c r="H86" s="6">
        <v>0</v>
      </c>
      <c r="I86" s="6">
        <v>0</v>
      </c>
      <c r="J86" s="6">
        <v>0</v>
      </c>
      <c r="K86" s="6">
        <v>0</v>
      </c>
      <c r="L86" s="6">
        <v>0</v>
      </c>
      <c r="M86" s="6">
        <v>0</v>
      </c>
      <c r="N86" s="6">
        <v>0</v>
      </c>
      <c r="O86" s="6">
        <v>0</v>
      </c>
      <c r="P86" s="6">
        <v>0</v>
      </c>
      <c r="Q86" s="6">
        <v>0</v>
      </c>
      <c r="R86" s="6">
        <v>0</v>
      </c>
      <c r="S86" s="6">
        <v>0</v>
      </c>
      <c r="T86" s="6">
        <f>SUM(H86:S86)</f>
        <v>0</v>
      </c>
    </row>
    <row r="88" spans="1:20" ht="15">
      <c r="A88" s="30" t="s">
        <v>45</v>
      </c>
      <c r="B88" t="s">
        <v>83</v>
      </c>
      <c r="H88">
        <f aca="true" t="shared" si="18" ref="H88:S88">ROUND(+H78+H79+H82+H83+H84+H85+H86,0)</f>
        <v>0</v>
      </c>
      <c r="I88">
        <f t="shared" si="18"/>
        <v>0</v>
      </c>
      <c r="J88">
        <f t="shared" si="18"/>
        <v>41</v>
      </c>
      <c r="K88">
        <f t="shared" si="18"/>
        <v>619</v>
      </c>
      <c r="L88">
        <f t="shared" si="18"/>
        <v>1481</v>
      </c>
      <c r="M88">
        <f t="shared" si="18"/>
        <v>2555</v>
      </c>
      <c r="N88">
        <f t="shared" si="18"/>
        <v>3977</v>
      </c>
      <c r="O88">
        <f t="shared" si="18"/>
        <v>4877</v>
      </c>
      <c r="P88">
        <f t="shared" si="18"/>
        <v>5252</v>
      </c>
      <c r="Q88">
        <f t="shared" si="18"/>
        <v>5492</v>
      </c>
      <c r="R88">
        <f t="shared" si="18"/>
        <v>5121</v>
      </c>
      <c r="S88">
        <f t="shared" si="18"/>
        <v>4629</v>
      </c>
      <c r="T88">
        <f>SUM(H88:S88)</f>
        <v>34044</v>
      </c>
    </row>
    <row r="89" spans="2:20" ht="15">
      <c r="B89" t="s">
        <v>84</v>
      </c>
      <c r="H89">
        <f aca="true" t="shared" si="19" ref="H89:S89">ROUND(+H88*1,0)</f>
        <v>0</v>
      </c>
      <c r="I89">
        <f t="shared" si="19"/>
        <v>0</v>
      </c>
      <c r="J89">
        <f t="shared" si="19"/>
        <v>41</v>
      </c>
      <c r="K89">
        <f t="shared" si="19"/>
        <v>619</v>
      </c>
      <c r="L89">
        <f t="shared" si="19"/>
        <v>1481</v>
      </c>
      <c r="M89">
        <f t="shared" si="19"/>
        <v>2555</v>
      </c>
      <c r="N89">
        <f t="shared" si="19"/>
        <v>3977</v>
      </c>
      <c r="O89">
        <f t="shared" si="19"/>
        <v>4877</v>
      </c>
      <c r="P89">
        <f t="shared" si="19"/>
        <v>5252</v>
      </c>
      <c r="Q89">
        <f t="shared" si="19"/>
        <v>5492</v>
      </c>
      <c r="R89">
        <f t="shared" si="19"/>
        <v>5121</v>
      </c>
      <c r="S89">
        <f t="shared" si="19"/>
        <v>4629</v>
      </c>
      <c r="T89">
        <f>SUM(H89:S89)</f>
        <v>34044</v>
      </c>
    </row>
    <row r="90" spans="2:20" ht="15">
      <c r="B90" t="s">
        <v>85</v>
      </c>
      <c r="H90">
        <f aca="true" t="shared" si="20" ref="H90:S90">ROUND(+H88*0,0)</f>
        <v>0</v>
      </c>
      <c r="I90">
        <f t="shared" si="20"/>
        <v>0</v>
      </c>
      <c r="J90">
        <f t="shared" si="20"/>
        <v>0</v>
      </c>
      <c r="K90">
        <f t="shared" si="20"/>
        <v>0</v>
      </c>
      <c r="L90">
        <f t="shared" si="20"/>
        <v>0</v>
      </c>
      <c r="M90">
        <f t="shared" si="20"/>
        <v>0</v>
      </c>
      <c r="N90">
        <f t="shared" si="20"/>
        <v>0</v>
      </c>
      <c r="O90">
        <f t="shared" si="20"/>
        <v>0</v>
      </c>
      <c r="P90">
        <f t="shared" si="20"/>
        <v>0</v>
      </c>
      <c r="Q90">
        <f t="shared" si="20"/>
        <v>0</v>
      </c>
      <c r="R90">
        <f t="shared" si="20"/>
        <v>0</v>
      </c>
      <c r="S90">
        <f t="shared" si="20"/>
        <v>0</v>
      </c>
      <c r="T90">
        <f>SUM(H90:S90)</f>
        <v>0</v>
      </c>
    </row>
    <row r="92" spans="1:20" ht="15">
      <c r="A92" s="31" t="s">
        <v>86</v>
      </c>
      <c r="B92" s="1" t="s">
        <v>87</v>
      </c>
      <c r="C92" s="1"/>
      <c r="D92" s="1"/>
      <c r="E92" s="1"/>
      <c r="F92" s="1"/>
      <c r="G92" s="24"/>
      <c r="H92" s="24">
        <f>+'Form 42 5A'!H103</f>
        <v>0</v>
      </c>
      <c r="I92" s="24">
        <f>+'Form 42 5A'!I103</f>
        <v>0</v>
      </c>
      <c r="J92" s="24">
        <f>+'Form 42 5A'!J103</f>
        <v>0</v>
      </c>
      <c r="K92" s="24">
        <f>+'Form 42 5A'!K103</f>
        <v>0</v>
      </c>
      <c r="L92" s="24">
        <f>+'Form 42 5A'!L103</f>
        <v>0</v>
      </c>
      <c r="M92" s="24">
        <f>+'Form 42 5A'!M103</f>
        <v>0</v>
      </c>
      <c r="N92" s="24">
        <f>+'Form 42 5A'!N103</f>
        <v>0</v>
      </c>
      <c r="O92" s="24">
        <f>+'Form 42 5A'!O103</f>
        <v>0</v>
      </c>
      <c r="P92" s="24">
        <f>+'Form 42 5A'!P103</f>
        <v>0</v>
      </c>
      <c r="Q92" s="24">
        <f>+'Form 42 5A'!Q103</f>
        <v>0</v>
      </c>
      <c r="R92" s="24">
        <f>+'Form 42 5A'!R103</f>
        <v>0</v>
      </c>
      <c r="S92" s="24">
        <f>+'Form 42 5A'!S103</f>
        <v>0</v>
      </c>
      <c r="T92" s="24"/>
    </row>
    <row r="93" spans="1:20" ht="15">
      <c r="A93" s="31" t="s">
        <v>88</v>
      </c>
      <c r="B93" s="1" t="s">
        <v>89</v>
      </c>
      <c r="C93" s="1"/>
      <c r="D93" s="1"/>
      <c r="E93" s="1"/>
      <c r="F93" s="1"/>
      <c r="G93" s="24"/>
      <c r="H93" s="24">
        <f>+'Form 42 5A'!H104</f>
        <v>0</v>
      </c>
      <c r="I93" s="24">
        <f>+'Form 42 5A'!I104</f>
        <v>0</v>
      </c>
      <c r="J93" s="24">
        <f>+'Form 42 5A'!J104</f>
        <v>0</v>
      </c>
      <c r="K93" s="24">
        <f>+'Form 42 5A'!K104</f>
        <v>0</v>
      </c>
      <c r="L93" s="24">
        <f>+'Form 42 5A'!L104</f>
        <v>0</v>
      </c>
      <c r="M93" s="24">
        <f>+'Form 42 5A'!M104</f>
        <v>0</v>
      </c>
      <c r="N93" s="24">
        <f>+'Form 42 5A'!N104</f>
        <v>0</v>
      </c>
      <c r="O93" s="24">
        <f>+'Form 42 5A'!O104</f>
        <v>0</v>
      </c>
      <c r="P93" s="24">
        <f>+'Form 42 5A'!P104</f>
        <v>0</v>
      </c>
      <c r="Q93" s="24">
        <f>+'Form 42 5A'!Q104</f>
        <v>0</v>
      </c>
      <c r="R93" s="24">
        <f>+'Form 42 5A'!R104</f>
        <v>0</v>
      </c>
      <c r="S93" s="24">
        <f>+'Form 42 5A'!S104</f>
        <v>0</v>
      </c>
      <c r="T93" s="24"/>
    </row>
    <row r="95" spans="1:20" ht="15">
      <c r="A95" s="30" t="s">
        <v>90</v>
      </c>
      <c r="B95" t="s">
        <v>91</v>
      </c>
      <c r="H95">
        <f aca="true" t="shared" si="21" ref="H95:S95">ROUND((+H89*H92),0)</f>
        <v>0</v>
      </c>
      <c r="I95">
        <f t="shared" si="21"/>
        <v>0</v>
      </c>
      <c r="J95">
        <f t="shared" si="21"/>
        <v>0</v>
      </c>
      <c r="K95">
        <f t="shared" si="21"/>
        <v>0</v>
      </c>
      <c r="L95">
        <f t="shared" si="21"/>
        <v>0</v>
      </c>
      <c r="M95">
        <f t="shared" si="21"/>
        <v>0</v>
      </c>
      <c r="N95">
        <f t="shared" si="21"/>
        <v>0</v>
      </c>
      <c r="O95">
        <f t="shared" si="21"/>
        <v>0</v>
      </c>
      <c r="P95">
        <f t="shared" si="21"/>
        <v>0</v>
      </c>
      <c r="Q95">
        <f t="shared" si="21"/>
        <v>0</v>
      </c>
      <c r="R95">
        <f t="shared" si="21"/>
        <v>0</v>
      </c>
      <c r="S95">
        <f t="shared" si="21"/>
        <v>0</v>
      </c>
      <c r="T95">
        <f>SUM(H95:S95)</f>
        <v>0</v>
      </c>
    </row>
    <row r="96" spans="1:20" ht="15">
      <c r="A96" s="31" t="s">
        <v>92</v>
      </c>
      <c r="B96" s="1" t="s">
        <v>93</v>
      </c>
      <c r="C96" s="1"/>
      <c r="D96" s="1"/>
      <c r="E96" s="1"/>
      <c r="F96" s="1"/>
      <c r="G96" s="1"/>
      <c r="H96" s="6">
        <f aca="true" t="shared" si="22" ref="H96:S96">(+H90*H93)</f>
        <v>0</v>
      </c>
      <c r="I96" s="6">
        <f t="shared" si="22"/>
        <v>0</v>
      </c>
      <c r="J96" s="6">
        <f t="shared" si="22"/>
        <v>0</v>
      </c>
      <c r="K96" s="6">
        <f t="shared" si="22"/>
        <v>0</v>
      </c>
      <c r="L96" s="6">
        <f t="shared" si="22"/>
        <v>0</v>
      </c>
      <c r="M96" s="6">
        <f t="shared" si="22"/>
        <v>0</v>
      </c>
      <c r="N96" s="6">
        <f t="shared" si="22"/>
        <v>0</v>
      </c>
      <c r="O96" s="6">
        <f t="shared" si="22"/>
        <v>0</v>
      </c>
      <c r="P96" s="6">
        <f t="shared" si="22"/>
        <v>0</v>
      </c>
      <c r="Q96" s="6">
        <f t="shared" si="22"/>
        <v>0</v>
      </c>
      <c r="R96" s="6">
        <f t="shared" si="22"/>
        <v>0</v>
      </c>
      <c r="S96" s="6">
        <f t="shared" si="22"/>
        <v>0</v>
      </c>
      <c r="T96" s="6">
        <f>SUM(H96:S96)</f>
        <v>0</v>
      </c>
    </row>
    <row r="97" spans="1:20" ht="15.75" thickBot="1">
      <c r="A97" s="31" t="s">
        <v>94</v>
      </c>
      <c r="B97" s="1" t="s">
        <v>95</v>
      </c>
      <c r="C97" s="1"/>
      <c r="D97" s="1"/>
      <c r="E97" s="1"/>
      <c r="F97" s="1"/>
      <c r="G97" s="1"/>
      <c r="H97" s="7">
        <f aca="true" t="shared" si="23" ref="H97:S97">H95+H96</f>
        <v>0</v>
      </c>
      <c r="I97" s="7">
        <f t="shared" si="23"/>
        <v>0</v>
      </c>
      <c r="J97" s="7">
        <f t="shared" si="23"/>
        <v>0</v>
      </c>
      <c r="K97" s="7">
        <f t="shared" si="23"/>
        <v>0</v>
      </c>
      <c r="L97" s="7">
        <f t="shared" si="23"/>
        <v>0</v>
      </c>
      <c r="M97" s="7">
        <f t="shared" si="23"/>
        <v>0</v>
      </c>
      <c r="N97" s="7">
        <f t="shared" si="23"/>
        <v>0</v>
      </c>
      <c r="O97" s="7">
        <f t="shared" si="23"/>
        <v>0</v>
      </c>
      <c r="P97" s="7">
        <f t="shared" si="23"/>
        <v>0</v>
      </c>
      <c r="Q97" s="7">
        <f t="shared" si="23"/>
        <v>0</v>
      </c>
      <c r="R97" s="7">
        <f t="shared" si="23"/>
        <v>0</v>
      </c>
      <c r="S97" s="7">
        <f t="shared" si="23"/>
        <v>0</v>
      </c>
      <c r="T97" s="7">
        <f>SUM(T95:T96)</f>
        <v>0</v>
      </c>
    </row>
  </sheetData>
  <printOptions/>
  <pageMargins left="0.75" right="0.75" top="1" bottom="1" header="0.5" footer="0.5"/>
  <pageSetup fitToHeight="1" fitToWidth="1" horizontalDpi="600" verticalDpi="600" orientation="landscape" scale="42" r:id="rId3"/>
  <legacyDrawing r:id="rId2"/>
</worksheet>
</file>

<file path=xl/worksheets/sheet27.xml><?xml version="1.0" encoding="utf-8"?>
<worksheet xmlns="http://schemas.openxmlformats.org/spreadsheetml/2006/main" xmlns:r="http://schemas.openxmlformats.org/officeDocument/2006/relationships">
  <sheetPr codeName="Sheet23111">
    <pageSetUpPr fitToPage="1"/>
  </sheetPr>
  <dimension ref="A1:T52"/>
  <sheetViews>
    <sheetView zoomScale="75" zoomScaleNormal="75" workbookViewId="0" topLeftCell="A1">
      <selection activeCell="A7" sqref="A7"/>
    </sheetView>
  </sheetViews>
  <sheetFormatPr defaultColWidth="9.77734375" defaultRowHeight="15"/>
  <cols>
    <col min="7" max="12" width="12.77734375" style="0" customWidth="1"/>
    <col min="13" max="16" width="14.3359375" style="0" customWidth="1"/>
    <col min="17" max="21" width="12.77734375" style="0" customWidth="1"/>
  </cols>
  <sheetData>
    <row r="1" spans="1:20" ht="15.75">
      <c r="A1" s="8" t="s">
        <v>438</v>
      </c>
      <c r="B1" s="2"/>
      <c r="C1" s="2"/>
      <c r="D1" s="2"/>
      <c r="E1" s="2"/>
      <c r="F1" s="2"/>
      <c r="G1" s="2"/>
      <c r="H1" s="2"/>
      <c r="I1" s="2"/>
      <c r="J1" s="2"/>
      <c r="K1" s="2"/>
      <c r="L1" s="2"/>
      <c r="T1" s="30" t="s">
        <v>442</v>
      </c>
    </row>
    <row r="2" spans="1:20" ht="15">
      <c r="A2" s="2" t="s">
        <v>0</v>
      </c>
      <c r="B2" s="2"/>
      <c r="C2" s="2"/>
      <c r="D2" s="2"/>
      <c r="E2" s="2"/>
      <c r="F2" s="2"/>
      <c r="G2" s="2"/>
      <c r="H2" s="2"/>
      <c r="I2" s="2"/>
      <c r="J2" s="2"/>
      <c r="K2" s="2"/>
      <c r="L2" s="2"/>
      <c r="T2" s="30" t="s">
        <v>394</v>
      </c>
    </row>
    <row r="3" spans="1:12" ht="15">
      <c r="A3" s="2" t="s">
        <v>494</v>
      </c>
      <c r="B3" s="9"/>
      <c r="C3" s="9"/>
      <c r="D3" s="9"/>
      <c r="E3" s="9"/>
      <c r="F3" s="9"/>
      <c r="G3" s="9"/>
      <c r="H3" s="9"/>
      <c r="I3" s="2"/>
      <c r="J3" s="2"/>
      <c r="K3" s="2"/>
      <c r="L3" s="2"/>
    </row>
    <row r="4" spans="1:12" ht="15.75">
      <c r="A4" s="11" t="str">
        <f>'Form 42 2A'!A4</f>
        <v>January 2003 through December 2003</v>
      </c>
      <c r="B4" s="2"/>
      <c r="C4" s="2"/>
      <c r="D4" s="2"/>
      <c r="E4" s="2"/>
      <c r="F4" s="2"/>
      <c r="G4" s="2"/>
      <c r="H4" s="2"/>
      <c r="I4" s="2"/>
      <c r="J4" s="2"/>
      <c r="K4" s="2"/>
      <c r="L4" s="2"/>
    </row>
    <row r="5" spans="1:12" ht="15.75">
      <c r="A5" s="3" t="s">
        <v>1</v>
      </c>
      <c r="B5" s="2"/>
      <c r="C5" s="2"/>
      <c r="D5" s="2"/>
      <c r="E5" s="2"/>
      <c r="F5" s="2"/>
      <c r="G5" s="2"/>
      <c r="H5" s="2"/>
      <c r="I5" s="2"/>
      <c r="J5" s="2"/>
      <c r="K5" s="2"/>
      <c r="L5" s="2"/>
    </row>
    <row r="6" spans="1:12" ht="15">
      <c r="A6" s="2" t="s">
        <v>59</v>
      </c>
      <c r="B6" s="2"/>
      <c r="C6" s="2"/>
      <c r="D6" s="2"/>
      <c r="E6" s="2"/>
      <c r="F6" s="2"/>
      <c r="G6" s="2"/>
      <c r="H6" s="2"/>
      <c r="I6" s="2"/>
      <c r="J6" s="2"/>
      <c r="K6" s="2"/>
      <c r="L6" s="2"/>
    </row>
    <row r="7" spans="1:12" ht="15">
      <c r="A7" s="57" t="s">
        <v>489</v>
      </c>
      <c r="B7" s="2"/>
      <c r="C7" s="2"/>
      <c r="D7" s="2"/>
      <c r="E7" s="2"/>
      <c r="F7" s="2"/>
      <c r="G7" s="2"/>
      <c r="H7" s="2"/>
      <c r="I7" s="2"/>
      <c r="J7" s="2"/>
      <c r="K7" s="2"/>
      <c r="L7" s="2"/>
    </row>
    <row r="8" spans="1:12" ht="15">
      <c r="A8" s="2" t="s">
        <v>5</v>
      </c>
      <c r="B8" s="2"/>
      <c r="C8" s="2"/>
      <c r="D8" s="2"/>
      <c r="E8" s="2"/>
      <c r="F8" s="2"/>
      <c r="G8" s="2"/>
      <c r="H8" s="2"/>
      <c r="I8" s="2"/>
      <c r="J8" s="2"/>
      <c r="K8" s="2"/>
      <c r="L8" s="2"/>
    </row>
    <row r="10" spans="1:20" ht="15.75">
      <c r="A10" s="2"/>
      <c r="E10" s="66"/>
      <c r="F10" s="59"/>
      <c r="G10" s="59"/>
      <c r="T10" s="29" t="s">
        <v>60</v>
      </c>
    </row>
    <row r="11" spans="7:20" ht="15">
      <c r="G11" s="29" t="s">
        <v>61</v>
      </c>
      <c r="T11" s="29" t="s">
        <v>2</v>
      </c>
    </row>
    <row r="12" spans="1:20" ht="15.75" thickBot="1">
      <c r="A12" s="25" t="s">
        <v>3</v>
      </c>
      <c r="B12" s="2"/>
      <c r="C12" s="25" t="s">
        <v>62</v>
      </c>
      <c r="E12" s="2"/>
      <c r="F12" s="2"/>
      <c r="G12" s="19" t="s">
        <v>63</v>
      </c>
      <c r="H12" s="68" t="str">
        <f>'Form 42 2A'!H10</f>
        <v>January 03</v>
      </c>
      <c r="I12" s="68" t="str">
        <f>'Form 42 2A'!I10</f>
        <v>February 03</v>
      </c>
      <c r="J12" s="68" t="str">
        <f>'Form 42 2A'!J10</f>
        <v>March 03</v>
      </c>
      <c r="K12" s="68" t="str">
        <f>'Form 42 2A'!K10</f>
        <v>April 03</v>
      </c>
      <c r="L12" s="68" t="str">
        <f>'Form 42 2A'!L10</f>
        <v>May 03</v>
      </c>
      <c r="M12" s="68" t="str">
        <f>'Form 42 2A'!M10</f>
        <v>June 03</v>
      </c>
      <c r="N12" s="68" t="str">
        <f>'Form 42 2A'!N10</f>
        <v>July 03</v>
      </c>
      <c r="O12" s="68" t="str">
        <f>'Form 42 2A'!O10</f>
        <v>August 03</v>
      </c>
      <c r="P12" s="68" t="str">
        <f>'Form 42 2A'!P10</f>
        <v>September 03</v>
      </c>
      <c r="Q12" s="68" t="str">
        <f>'Form 42 2A'!Q10</f>
        <v>October 03</v>
      </c>
      <c r="R12" s="68" t="str">
        <f>'Form 42 2A'!R10</f>
        <v>November 03</v>
      </c>
      <c r="S12" s="68" t="str">
        <f>'Form 42 2A'!S10</f>
        <v>December 03</v>
      </c>
      <c r="T12" s="19" t="s">
        <v>8</v>
      </c>
    </row>
    <row r="13" spans="1:4" ht="15">
      <c r="A13" s="1"/>
      <c r="B13" s="1"/>
      <c r="C13" s="1"/>
      <c r="D13" s="27"/>
    </row>
    <row r="14" spans="1:2" ht="15">
      <c r="A14" s="30" t="s">
        <v>35</v>
      </c>
      <c r="B14" t="s">
        <v>64</v>
      </c>
    </row>
    <row r="15" spans="1:20" ht="15">
      <c r="A15" s="1"/>
      <c r="B15" s="1" t="s">
        <v>65</v>
      </c>
      <c r="C15" s="1"/>
      <c r="D15" s="1"/>
      <c r="E15" s="1"/>
      <c r="F15" s="1"/>
      <c r="G15" s="1"/>
      <c r="H15" s="49">
        <v>15201</v>
      </c>
      <c r="I15" s="49">
        <v>24376</v>
      </c>
      <c r="J15" s="49">
        <v>42688</v>
      </c>
      <c r="K15" s="49">
        <v>278973</v>
      </c>
      <c r="L15" s="49">
        <v>120719</v>
      </c>
      <c r="M15" s="49">
        <v>64414</v>
      </c>
      <c r="N15" s="49">
        <v>0</v>
      </c>
      <c r="O15" s="49">
        <v>0</v>
      </c>
      <c r="P15" s="49">
        <v>0</v>
      </c>
      <c r="Q15" s="49">
        <v>0</v>
      </c>
      <c r="R15" s="49">
        <v>0</v>
      </c>
      <c r="S15" s="49">
        <v>0</v>
      </c>
      <c r="T15" s="5"/>
    </row>
    <row r="16" spans="2:19" ht="15">
      <c r="B16" t="s">
        <v>66</v>
      </c>
      <c r="H16">
        <v>0</v>
      </c>
      <c r="I16">
        <v>0</v>
      </c>
      <c r="J16">
        <v>0</v>
      </c>
      <c r="K16">
        <v>0</v>
      </c>
      <c r="L16">
        <v>0</v>
      </c>
      <c r="M16">
        <v>0</v>
      </c>
      <c r="N16">
        <v>0</v>
      </c>
      <c r="O16">
        <v>0</v>
      </c>
      <c r="P16">
        <v>0</v>
      </c>
      <c r="Q16">
        <v>0</v>
      </c>
      <c r="R16">
        <v>0</v>
      </c>
      <c r="S16">
        <v>0</v>
      </c>
    </row>
    <row r="17" spans="2:19" ht="15">
      <c r="B17" t="s">
        <v>67</v>
      </c>
      <c r="H17">
        <v>0</v>
      </c>
      <c r="I17">
        <v>0</v>
      </c>
      <c r="J17">
        <v>0</v>
      </c>
      <c r="K17">
        <v>0</v>
      </c>
      <c r="L17">
        <v>0</v>
      </c>
      <c r="M17">
        <v>0</v>
      </c>
      <c r="N17">
        <v>0</v>
      </c>
      <c r="O17">
        <v>0</v>
      </c>
      <c r="P17">
        <v>0</v>
      </c>
      <c r="Q17">
        <v>0</v>
      </c>
      <c r="R17">
        <v>0</v>
      </c>
      <c r="S17">
        <v>0</v>
      </c>
    </row>
    <row r="18" spans="2:19" ht="15">
      <c r="B18" t="s">
        <v>68</v>
      </c>
      <c r="H18">
        <v>0</v>
      </c>
      <c r="I18">
        <v>0</v>
      </c>
      <c r="J18">
        <v>0</v>
      </c>
      <c r="K18">
        <v>0</v>
      </c>
      <c r="L18">
        <v>0</v>
      </c>
      <c r="M18">
        <v>0</v>
      </c>
      <c r="N18">
        <v>0</v>
      </c>
      <c r="O18">
        <v>0</v>
      </c>
      <c r="P18">
        <v>0</v>
      </c>
      <c r="Q18">
        <v>0</v>
      </c>
      <c r="R18">
        <v>0</v>
      </c>
      <c r="S18">
        <v>0</v>
      </c>
    </row>
    <row r="20" spans="1:19" ht="15">
      <c r="A20" s="31" t="s">
        <v>36</v>
      </c>
      <c r="B20" s="1" t="s">
        <v>69</v>
      </c>
      <c r="C20" s="1"/>
      <c r="D20" s="1"/>
      <c r="E20" s="1"/>
      <c r="F20" s="1"/>
      <c r="G20" s="5">
        <f>depreciation!B1405</f>
        <v>0</v>
      </c>
      <c r="H20" s="5">
        <f>depreciation!B1407</f>
        <v>0</v>
      </c>
      <c r="I20" s="5">
        <f>depreciation!B1408</f>
        <v>0</v>
      </c>
      <c r="J20" s="5">
        <f>depreciation!B1409</f>
        <v>0</v>
      </c>
      <c r="K20" s="5">
        <f>depreciation!B1410</f>
        <v>0</v>
      </c>
      <c r="L20" s="5">
        <f>depreciation!B1411</f>
        <v>0</v>
      </c>
      <c r="M20" s="5">
        <f>depreciation!B1412</f>
        <v>0</v>
      </c>
      <c r="N20" s="5">
        <f>depreciation!B1413</f>
        <v>0</v>
      </c>
      <c r="O20" s="5">
        <f>depreciation!B1414</f>
        <v>0</v>
      </c>
      <c r="P20" s="5">
        <f>depreciation!B1415</f>
        <v>0</v>
      </c>
      <c r="Q20" s="5">
        <f>depreciation!B1416</f>
        <v>0</v>
      </c>
      <c r="R20" s="5">
        <f>depreciation!B1417</f>
        <v>0</v>
      </c>
      <c r="S20" s="5">
        <f>depreciation!B1418</f>
        <v>0</v>
      </c>
    </row>
    <row r="21" spans="1:19" ht="15">
      <c r="A21" s="30" t="s">
        <v>38</v>
      </c>
      <c r="B21" t="s">
        <v>70</v>
      </c>
      <c r="G21">
        <f>-depreciation!E1405</f>
        <v>0</v>
      </c>
      <c r="H21">
        <f>-H32+G21</f>
        <v>0</v>
      </c>
      <c r="I21">
        <f>-I32+H21</f>
        <v>0</v>
      </c>
      <c r="J21">
        <f aca="true" t="shared" si="0" ref="J21:S21">-J32+I21</f>
        <v>0</v>
      </c>
      <c r="K21">
        <f t="shared" si="0"/>
        <v>0</v>
      </c>
      <c r="L21">
        <f t="shared" si="0"/>
        <v>0</v>
      </c>
      <c r="M21">
        <f t="shared" si="0"/>
        <v>0</v>
      </c>
      <c r="N21">
        <f t="shared" si="0"/>
        <v>0</v>
      </c>
      <c r="O21">
        <f t="shared" si="0"/>
        <v>0</v>
      </c>
      <c r="P21">
        <f t="shared" si="0"/>
        <v>0</v>
      </c>
      <c r="Q21">
        <f t="shared" si="0"/>
        <v>0</v>
      </c>
      <c r="R21">
        <f>-R32+Q21</f>
        <v>0</v>
      </c>
      <c r="S21">
        <f t="shared" si="0"/>
        <v>0</v>
      </c>
    </row>
    <row r="22" spans="1:19" ht="15">
      <c r="A22" s="31" t="s">
        <v>39</v>
      </c>
      <c r="B22" s="1" t="s">
        <v>71</v>
      </c>
      <c r="C22" s="1"/>
      <c r="D22" s="1"/>
      <c r="E22" s="1"/>
      <c r="F22" s="1"/>
      <c r="G22" s="54">
        <v>1340182</v>
      </c>
      <c r="H22" s="54">
        <f>G22+H15</f>
        <v>1355383</v>
      </c>
      <c r="I22" s="54">
        <f>H22+I15</f>
        <v>1379759</v>
      </c>
      <c r="J22" s="54">
        <f>I22+J15</f>
        <v>1422447</v>
      </c>
      <c r="K22" s="54">
        <f aca="true" t="shared" si="1" ref="K22:S22">J22+K15</f>
        <v>1701420</v>
      </c>
      <c r="L22" s="54">
        <f t="shared" si="1"/>
        <v>1822139</v>
      </c>
      <c r="M22" s="54">
        <f t="shared" si="1"/>
        <v>1886553</v>
      </c>
      <c r="N22" s="54">
        <f t="shared" si="1"/>
        <v>1886553</v>
      </c>
      <c r="O22" s="54">
        <f t="shared" si="1"/>
        <v>1886553</v>
      </c>
      <c r="P22" s="54">
        <f t="shared" si="1"/>
        <v>1886553</v>
      </c>
      <c r="Q22" s="54">
        <f t="shared" si="1"/>
        <v>1886553</v>
      </c>
      <c r="R22" s="54">
        <f t="shared" si="1"/>
        <v>1886553</v>
      </c>
      <c r="S22" s="54">
        <f t="shared" si="1"/>
        <v>1886553</v>
      </c>
    </row>
    <row r="23" spans="1:20" ht="15">
      <c r="A23" s="31" t="s">
        <v>40</v>
      </c>
      <c r="B23" s="1" t="s">
        <v>72</v>
      </c>
      <c r="C23" s="1"/>
      <c r="D23" s="1"/>
      <c r="E23" s="1"/>
      <c r="F23" s="1"/>
      <c r="G23" s="26">
        <f aca="true" t="shared" si="2" ref="G23:S23">G20+G21+G22</f>
        <v>1340182</v>
      </c>
      <c r="H23" s="17">
        <f t="shared" si="2"/>
        <v>1355383</v>
      </c>
      <c r="I23" s="17">
        <f t="shared" si="2"/>
        <v>1379759</v>
      </c>
      <c r="J23" s="17">
        <f t="shared" si="2"/>
        <v>1422447</v>
      </c>
      <c r="K23" s="17">
        <f t="shared" si="2"/>
        <v>1701420</v>
      </c>
      <c r="L23" s="17">
        <f t="shared" si="2"/>
        <v>1822139</v>
      </c>
      <c r="M23" s="17">
        <f t="shared" si="2"/>
        <v>1886553</v>
      </c>
      <c r="N23" s="17">
        <f t="shared" si="2"/>
        <v>1886553</v>
      </c>
      <c r="O23" s="17">
        <f t="shared" si="2"/>
        <v>1886553</v>
      </c>
      <c r="P23" s="17">
        <f t="shared" si="2"/>
        <v>1886553</v>
      </c>
      <c r="Q23" s="17">
        <f t="shared" si="2"/>
        <v>1886553</v>
      </c>
      <c r="R23" s="17">
        <f t="shared" si="2"/>
        <v>1886553</v>
      </c>
      <c r="S23" s="17">
        <f t="shared" si="2"/>
        <v>1886553</v>
      </c>
      <c r="T23" s="16"/>
    </row>
    <row r="25" spans="1:19" ht="15">
      <c r="A25" s="30" t="s">
        <v>42</v>
      </c>
      <c r="B25" t="s">
        <v>73</v>
      </c>
      <c r="H25">
        <f aca="true" t="shared" si="3" ref="H25:S25">ROUND((+G23+H23)/2,0)</f>
        <v>1347783</v>
      </c>
      <c r="I25">
        <f t="shared" si="3"/>
        <v>1367571</v>
      </c>
      <c r="J25">
        <f t="shared" si="3"/>
        <v>1401103</v>
      </c>
      <c r="K25">
        <f t="shared" si="3"/>
        <v>1561934</v>
      </c>
      <c r="L25">
        <f t="shared" si="3"/>
        <v>1761780</v>
      </c>
      <c r="M25">
        <f t="shared" si="3"/>
        <v>1854346</v>
      </c>
      <c r="N25">
        <f t="shared" si="3"/>
        <v>1886553</v>
      </c>
      <c r="O25">
        <f t="shared" si="3"/>
        <v>1886553</v>
      </c>
      <c r="P25">
        <f t="shared" si="3"/>
        <v>1886553</v>
      </c>
      <c r="Q25">
        <f t="shared" si="3"/>
        <v>1886553</v>
      </c>
      <c r="R25">
        <f t="shared" si="3"/>
        <v>1886553</v>
      </c>
      <c r="S25">
        <f t="shared" si="3"/>
        <v>1886553</v>
      </c>
    </row>
    <row r="27" spans="1:2" ht="15">
      <c r="A27" s="30" t="s">
        <v>43</v>
      </c>
      <c r="B27" t="s">
        <v>74</v>
      </c>
    </row>
    <row r="28" spans="1:20" ht="15">
      <c r="A28" s="1"/>
      <c r="B28" s="1" t="s">
        <v>75</v>
      </c>
      <c r="C28" s="1"/>
      <c r="D28" s="1"/>
      <c r="E28" s="1"/>
      <c r="F28" s="1"/>
      <c r="G28" s="1"/>
      <c r="H28" s="1">
        <f aca="true" t="shared" si="4" ref="H28:S28">ROUND(+H25*(0.088238)/12,0)</f>
        <v>9910</v>
      </c>
      <c r="I28" s="1">
        <f t="shared" si="4"/>
        <v>10056</v>
      </c>
      <c r="J28" s="1">
        <f t="shared" si="4"/>
        <v>10303</v>
      </c>
      <c r="K28" s="1">
        <f t="shared" si="4"/>
        <v>11485</v>
      </c>
      <c r="L28" s="1">
        <f t="shared" si="4"/>
        <v>12955</v>
      </c>
      <c r="M28" s="1">
        <f t="shared" si="4"/>
        <v>13635</v>
      </c>
      <c r="N28" s="1">
        <f t="shared" si="4"/>
        <v>13872</v>
      </c>
      <c r="O28" s="1">
        <f t="shared" si="4"/>
        <v>13872</v>
      </c>
      <c r="P28" s="1">
        <f t="shared" si="4"/>
        <v>13872</v>
      </c>
      <c r="Q28" s="1">
        <f t="shared" si="4"/>
        <v>13872</v>
      </c>
      <c r="R28" s="1">
        <f t="shared" si="4"/>
        <v>13872</v>
      </c>
      <c r="S28" s="1">
        <f t="shared" si="4"/>
        <v>13872</v>
      </c>
      <c r="T28" s="5">
        <f>SUM(H28:S28)</f>
        <v>151576</v>
      </c>
    </row>
    <row r="29" spans="2:20" ht="15">
      <c r="B29" t="s">
        <v>76</v>
      </c>
      <c r="H29">
        <f aca="true" t="shared" si="5" ref="H29:S29">ROUND(+H25*(0.0282)/12,0)</f>
        <v>3167</v>
      </c>
      <c r="I29">
        <f t="shared" si="5"/>
        <v>3214</v>
      </c>
      <c r="J29">
        <f t="shared" si="5"/>
        <v>3293</v>
      </c>
      <c r="K29">
        <f t="shared" si="5"/>
        <v>3671</v>
      </c>
      <c r="L29">
        <f t="shared" si="5"/>
        <v>4140</v>
      </c>
      <c r="M29">
        <f t="shared" si="5"/>
        <v>4358</v>
      </c>
      <c r="N29">
        <f t="shared" si="5"/>
        <v>4433</v>
      </c>
      <c r="O29">
        <f t="shared" si="5"/>
        <v>4433</v>
      </c>
      <c r="P29">
        <f t="shared" si="5"/>
        <v>4433</v>
      </c>
      <c r="Q29">
        <f t="shared" si="5"/>
        <v>4433</v>
      </c>
      <c r="R29">
        <f t="shared" si="5"/>
        <v>4433</v>
      </c>
      <c r="S29">
        <f t="shared" si="5"/>
        <v>4433</v>
      </c>
      <c r="T29">
        <f>SUM(H29:S29)</f>
        <v>48441</v>
      </c>
    </row>
    <row r="31" spans="1:2" ht="15">
      <c r="A31" s="30" t="s">
        <v>44</v>
      </c>
      <c r="B31" t="s">
        <v>77</v>
      </c>
    </row>
    <row r="32" spans="2:20" ht="15">
      <c r="B32" t="s">
        <v>78</v>
      </c>
      <c r="H32" s="47">
        <f>+depreciation!P1407</f>
        <v>0</v>
      </c>
      <c r="I32" s="47">
        <f>+depreciation!P1408</f>
        <v>0</v>
      </c>
      <c r="J32" s="47">
        <f>+depreciation!P1409</f>
        <v>0</v>
      </c>
      <c r="K32" s="47">
        <f>+depreciation!P1410</f>
        <v>0</v>
      </c>
      <c r="L32" s="47">
        <f>+depreciation!P1411</f>
        <v>0</v>
      </c>
      <c r="M32" s="47">
        <f>+depreciation!P1412</f>
        <v>0</v>
      </c>
      <c r="N32" s="47">
        <f>+depreciation!P1413</f>
        <v>0</v>
      </c>
      <c r="O32" s="47">
        <f>+depreciation!P1414</f>
        <v>0</v>
      </c>
      <c r="P32" s="47">
        <f>+depreciation!P1415</f>
        <v>0</v>
      </c>
      <c r="Q32" s="47">
        <f>+depreciation!P1416</f>
        <v>0</v>
      </c>
      <c r="R32" s="47">
        <f>+depreciation!P1417</f>
        <v>0</v>
      </c>
      <c r="S32" s="47">
        <f>+depreciation!P1418</f>
        <v>0</v>
      </c>
      <c r="T32">
        <f>SUM(H32:S32)</f>
        <v>0</v>
      </c>
    </row>
    <row r="33" spans="2:20" ht="15">
      <c r="B33" t="s">
        <v>79</v>
      </c>
      <c r="H33">
        <v>0</v>
      </c>
      <c r="I33">
        <v>0</v>
      </c>
      <c r="J33">
        <v>0</v>
      </c>
      <c r="K33">
        <v>0</v>
      </c>
      <c r="L33">
        <v>0</v>
      </c>
      <c r="M33">
        <v>0</v>
      </c>
      <c r="N33">
        <v>0</v>
      </c>
      <c r="O33">
        <v>0</v>
      </c>
      <c r="P33">
        <v>0</v>
      </c>
      <c r="Q33">
        <v>0</v>
      </c>
      <c r="R33">
        <v>0</v>
      </c>
      <c r="S33">
        <v>0</v>
      </c>
      <c r="T33">
        <f>SUM(H33:S33)</f>
        <v>0</v>
      </c>
    </row>
    <row r="34" spans="2:20" ht="15">
      <c r="B34" t="s">
        <v>80</v>
      </c>
      <c r="H34">
        <v>0</v>
      </c>
      <c r="I34">
        <v>0</v>
      </c>
      <c r="J34">
        <v>0</v>
      </c>
      <c r="K34">
        <v>0</v>
      </c>
      <c r="L34">
        <v>0</v>
      </c>
      <c r="M34">
        <v>0</v>
      </c>
      <c r="N34">
        <v>0</v>
      </c>
      <c r="O34">
        <v>0</v>
      </c>
      <c r="P34">
        <v>0</v>
      </c>
      <c r="Q34">
        <v>0</v>
      </c>
      <c r="R34">
        <v>0</v>
      </c>
      <c r="S34">
        <v>0</v>
      </c>
      <c r="T34">
        <f>SUM(H34:S34)</f>
        <v>0</v>
      </c>
    </row>
    <row r="35" spans="2:20" ht="15">
      <c r="B35" t="s">
        <v>81</v>
      </c>
      <c r="H35">
        <v>0</v>
      </c>
      <c r="I35">
        <v>0</v>
      </c>
      <c r="J35">
        <v>0</v>
      </c>
      <c r="K35">
        <v>0</v>
      </c>
      <c r="L35">
        <v>0</v>
      </c>
      <c r="M35">
        <v>0</v>
      </c>
      <c r="N35">
        <v>0</v>
      </c>
      <c r="O35">
        <v>0</v>
      </c>
      <c r="P35">
        <v>0</v>
      </c>
      <c r="Q35">
        <v>0</v>
      </c>
      <c r="R35">
        <v>0</v>
      </c>
      <c r="S35">
        <v>0</v>
      </c>
      <c r="T35">
        <f>SUM(H35:S35)</f>
        <v>0</v>
      </c>
    </row>
    <row r="36" spans="1:20" ht="15">
      <c r="A36" s="1"/>
      <c r="B36" s="1" t="s">
        <v>82</v>
      </c>
      <c r="C36" s="1"/>
      <c r="D36" s="1"/>
      <c r="E36" s="1"/>
      <c r="F36" s="1"/>
      <c r="G36" s="1"/>
      <c r="H36" s="6">
        <v>0</v>
      </c>
      <c r="I36" s="6">
        <v>0</v>
      </c>
      <c r="J36" s="6">
        <v>0</v>
      </c>
      <c r="K36" s="6">
        <v>0</v>
      </c>
      <c r="L36" s="6">
        <v>0</v>
      </c>
      <c r="M36" s="6">
        <v>0</v>
      </c>
      <c r="N36" s="6">
        <v>0</v>
      </c>
      <c r="O36" s="6">
        <v>0</v>
      </c>
      <c r="P36" s="6">
        <v>0</v>
      </c>
      <c r="Q36" s="6">
        <v>0</v>
      </c>
      <c r="R36" s="6">
        <v>0</v>
      </c>
      <c r="S36" s="6">
        <v>0</v>
      </c>
      <c r="T36" s="6">
        <f>SUM(H36:S36)</f>
        <v>0</v>
      </c>
    </row>
    <row r="38" spans="1:20" ht="15">
      <c r="A38" s="30" t="s">
        <v>45</v>
      </c>
      <c r="B38" t="s">
        <v>83</v>
      </c>
      <c r="H38">
        <f aca="true" t="shared" si="6" ref="H38:S38">ROUND(+H28+H29+H32+H33+H34+H35+H36,0)</f>
        <v>13077</v>
      </c>
      <c r="I38">
        <f t="shared" si="6"/>
        <v>13270</v>
      </c>
      <c r="J38">
        <f t="shared" si="6"/>
        <v>13596</v>
      </c>
      <c r="K38">
        <f t="shared" si="6"/>
        <v>15156</v>
      </c>
      <c r="L38">
        <f t="shared" si="6"/>
        <v>17095</v>
      </c>
      <c r="M38">
        <f t="shared" si="6"/>
        <v>17993</v>
      </c>
      <c r="N38">
        <f t="shared" si="6"/>
        <v>18305</v>
      </c>
      <c r="O38">
        <f t="shared" si="6"/>
        <v>18305</v>
      </c>
      <c r="P38">
        <f t="shared" si="6"/>
        <v>18305</v>
      </c>
      <c r="Q38">
        <f t="shared" si="6"/>
        <v>18305</v>
      </c>
      <c r="R38">
        <f t="shared" si="6"/>
        <v>18305</v>
      </c>
      <c r="S38">
        <f t="shared" si="6"/>
        <v>18305</v>
      </c>
      <c r="T38">
        <f>SUM(H38:S38)</f>
        <v>200017</v>
      </c>
    </row>
    <row r="39" spans="2:20" ht="15">
      <c r="B39" t="s">
        <v>84</v>
      </c>
      <c r="H39">
        <f aca="true" t="shared" si="7" ref="H39:S39">ROUND(+H38*1,0)</f>
        <v>13077</v>
      </c>
      <c r="I39">
        <f t="shared" si="7"/>
        <v>13270</v>
      </c>
      <c r="J39">
        <f t="shared" si="7"/>
        <v>13596</v>
      </c>
      <c r="K39">
        <f t="shared" si="7"/>
        <v>15156</v>
      </c>
      <c r="L39">
        <f t="shared" si="7"/>
        <v>17095</v>
      </c>
      <c r="M39">
        <f t="shared" si="7"/>
        <v>17993</v>
      </c>
      <c r="N39">
        <f t="shared" si="7"/>
        <v>18305</v>
      </c>
      <c r="O39">
        <f t="shared" si="7"/>
        <v>18305</v>
      </c>
      <c r="P39">
        <f t="shared" si="7"/>
        <v>18305</v>
      </c>
      <c r="Q39">
        <f t="shared" si="7"/>
        <v>18305</v>
      </c>
      <c r="R39">
        <f t="shared" si="7"/>
        <v>18305</v>
      </c>
      <c r="S39">
        <f t="shared" si="7"/>
        <v>18305</v>
      </c>
      <c r="T39">
        <f>SUM(H39:S39)</f>
        <v>200017</v>
      </c>
    </row>
    <row r="40" spans="2:20" ht="15">
      <c r="B40" t="s">
        <v>85</v>
      </c>
      <c r="H40">
        <f aca="true" t="shared" si="8" ref="H40:S40">ROUND(+H38*0,0)</f>
        <v>0</v>
      </c>
      <c r="I40">
        <f t="shared" si="8"/>
        <v>0</v>
      </c>
      <c r="J40">
        <f t="shared" si="8"/>
        <v>0</v>
      </c>
      <c r="K40">
        <f t="shared" si="8"/>
        <v>0</v>
      </c>
      <c r="L40">
        <f t="shared" si="8"/>
        <v>0</v>
      </c>
      <c r="M40">
        <f t="shared" si="8"/>
        <v>0</v>
      </c>
      <c r="N40">
        <f t="shared" si="8"/>
        <v>0</v>
      </c>
      <c r="O40">
        <f t="shared" si="8"/>
        <v>0</v>
      </c>
      <c r="P40">
        <f t="shared" si="8"/>
        <v>0</v>
      </c>
      <c r="Q40">
        <f t="shared" si="8"/>
        <v>0</v>
      </c>
      <c r="R40">
        <f t="shared" si="8"/>
        <v>0</v>
      </c>
      <c r="S40">
        <f t="shared" si="8"/>
        <v>0</v>
      </c>
      <c r="T40">
        <f>SUM(H40:S40)</f>
        <v>0</v>
      </c>
    </row>
    <row r="42" spans="1:20" ht="15">
      <c r="A42" s="31" t="s">
        <v>86</v>
      </c>
      <c r="B42" s="1" t="s">
        <v>87</v>
      </c>
      <c r="C42" s="1"/>
      <c r="D42" s="1"/>
      <c r="E42" s="1"/>
      <c r="F42" s="1"/>
      <c r="G42" s="24"/>
      <c r="H42" s="24">
        <f>'Form 42 5A'!H53</f>
        <v>0</v>
      </c>
      <c r="I42" s="24">
        <f>'Form 42 5A'!I53</f>
        <v>0</v>
      </c>
      <c r="J42" s="24">
        <f>'Form 42 5A'!J53</f>
        <v>0</v>
      </c>
      <c r="K42" s="24">
        <f>'Form 42 5A'!K53</f>
        <v>0</v>
      </c>
      <c r="L42" s="24">
        <f>'Form 42 5A'!L53</f>
        <v>0</v>
      </c>
      <c r="M42" s="24">
        <f>'Form 42 5A'!M53</f>
        <v>0</v>
      </c>
      <c r="N42" s="24">
        <f>'Form 42 5A'!N53</f>
        <v>0</v>
      </c>
      <c r="O42" s="24">
        <f>'Form 42 5A'!O53</f>
        <v>0</v>
      </c>
      <c r="P42" s="24">
        <f>'Form 42 5A'!P53</f>
        <v>0</v>
      </c>
      <c r="Q42" s="24">
        <f>'Form 42 5A'!Q53</f>
        <v>0</v>
      </c>
      <c r="R42" s="24">
        <f>'Form 42 5A'!R53</f>
        <v>0</v>
      </c>
      <c r="S42" s="24">
        <f>'Form 42 5A'!S53</f>
        <v>0</v>
      </c>
      <c r="T42" s="24"/>
    </row>
    <row r="43" spans="1:20" ht="15">
      <c r="A43" s="31" t="s">
        <v>88</v>
      </c>
      <c r="B43" s="1" t="s">
        <v>89</v>
      </c>
      <c r="C43" s="1"/>
      <c r="D43" s="1"/>
      <c r="E43" s="1"/>
      <c r="F43" s="1"/>
      <c r="G43" s="24"/>
      <c r="H43" s="24">
        <f>+'Form 42 5A'!H54</f>
        <v>0</v>
      </c>
      <c r="I43" s="24">
        <f>+'Form 42 5A'!I54</f>
        <v>0</v>
      </c>
      <c r="J43" s="24">
        <f>+'Form 42 5A'!J54</f>
        <v>0</v>
      </c>
      <c r="K43" s="24">
        <f>+'Form 42 5A'!K54</f>
        <v>0</v>
      </c>
      <c r="L43" s="24">
        <f>+'Form 42 5A'!L54</f>
        <v>0</v>
      </c>
      <c r="M43" s="24">
        <f>+'Form 42 5A'!M54</f>
        <v>0</v>
      </c>
      <c r="N43" s="24">
        <f>+'Form 42 5A'!N54</f>
        <v>0</v>
      </c>
      <c r="O43" s="24">
        <f>+'Form 42 5A'!O54</f>
        <v>0</v>
      </c>
      <c r="P43" s="24">
        <f>+'Form 42 5A'!P54</f>
        <v>0</v>
      </c>
      <c r="Q43" s="24">
        <f>+'Form 42 5A'!Q54</f>
        <v>0</v>
      </c>
      <c r="R43" s="24">
        <f>+'Form 42 5A'!R54</f>
        <v>0</v>
      </c>
      <c r="S43" s="24">
        <f>+'Form 42 5A'!S54</f>
        <v>0</v>
      </c>
      <c r="T43" s="24"/>
    </row>
    <row r="45" spans="1:20" ht="15">
      <c r="A45" s="30" t="s">
        <v>90</v>
      </c>
      <c r="B45" t="s">
        <v>91</v>
      </c>
      <c r="H45">
        <f aca="true" t="shared" si="9" ref="H45:S45">ROUND((+H39*H42),0)</f>
        <v>0</v>
      </c>
      <c r="I45">
        <f t="shared" si="9"/>
        <v>0</v>
      </c>
      <c r="J45">
        <f t="shared" si="9"/>
        <v>0</v>
      </c>
      <c r="K45">
        <f t="shared" si="9"/>
        <v>0</v>
      </c>
      <c r="L45">
        <f t="shared" si="9"/>
        <v>0</v>
      </c>
      <c r="M45">
        <f t="shared" si="9"/>
        <v>0</v>
      </c>
      <c r="N45">
        <f t="shared" si="9"/>
        <v>0</v>
      </c>
      <c r="O45">
        <f t="shared" si="9"/>
        <v>0</v>
      </c>
      <c r="P45">
        <f t="shared" si="9"/>
        <v>0</v>
      </c>
      <c r="Q45">
        <f t="shared" si="9"/>
        <v>0</v>
      </c>
      <c r="R45">
        <f t="shared" si="9"/>
        <v>0</v>
      </c>
      <c r="S45">
        <f t="shared" si="9"/>
        <v>0</v>
      </c>
      <c r="T45">
        <f>SUM(H45:S45)</f>
        <v>0</v>
      </c>
    </row>
    <row r="46" spans="1:20" ht="15">
      <c r="A46" s="31" t="s">
        <v>92</v>
      </c>
      <c r="B46" s="1" t="s">
        <v>93</v>
      </c>
      <c r="C46" s="1"/>
      <c r="D46" s="1"/>
      <c r="E46" s="1"/>
      <c r="F46" s="1"/>
      <c r="G46" s="1"/>
      <c r="H46" s="6">
        <f aca="true" t="shared" si="10" ref="H46:S46">(+H40*H43)</f>
        <v>0</v>
      </c>
      <c r="I46" s="6">
        <f t="shared" si="10"/>
        <v>0</v>
      </c>
      <c r="J46" s="6">
        <f t="shared" si="10"/>
        <v>0</v>
      </c>
      <c r="K46" s="6">
        <f t="shared" si="10"/>
        <v>0</v>
      </c>
      <c r="L46" s="6">
        <f t="shared" si="10"/>
        <v>0</v>
      </c>
      <c r="M46" s="6">
        <f t="shared" si="10"/>
        <v>0</v>
      </c>
      <c r="N46" s="6">
        <f t="shared" si="10"/>
        <v>0</v>
      </c>
      <c r="O46" s="6">
        <f t="shared" si="10"/>
        <v>0</v>
      </c>
      <c r="P46" s="6">
        <f t="shared" si="10"/>
        <v>0</v>
      </c>
      <c r="Q46" s="6">
        <f t="shared" si="10"/>
        <v>0</v>
      </c>
      <c r="R46" s="6">
        <f t="shared" si="10"/>
        <v>0</v>
      </c>
      <c r="S46" s="6">
        <f t="shared" si="10"/>
        <v>0</v>
      </c>
      <c r="T46" s="6">
        <f>SUM(H46:S46)</f>
        <v>0</v>
      </c>
    </row>
    <row r="47" spans="1:20" ht="15.75" thickBot="1">
      <c r="A47" s="31" t="s">
        <v>94</v>
      </c>
      <c r="B47" s="1" t="s">
        <v>95</v>
      </c>
      <c r="C47" s="1"/>
      <c r="D47" s="1"/>
      <c r="E47" s="1"/>
      <c r="F47" s="1"/>
      <c r="G47" s="1"/>
      <c r="H47" s="7">
        <f aca="true" t="shared" si="11" ref="H47:S47">H45+H46</f>
        <v>0</v>
      </c>
      <c r="I47" s="7">
        <f t="shared" si="11"/>
        <v>0</v>
      </c>
      <c r="J47" s="7">
        <f t="shared" si="11"/>
        <v>0</v>
      </c>
      <c r="K47" s="7">
        <f t="shared" si="11"/>
        <v>0</v>
      </c>
      <c r="L47" s="7">
        <f t="shared" si="11"/>
        <v>0</v>
      </c>
      <c r="M47" s="7">
        <f t="shared" si="11"/>
        <v>0</v>
      </c>
      <c r="N47" s="7">
        <f t="shared" si="11"/>
        <v>0</v>
      </c>
      <c r="O47" s="7">
        <f t="shared" si="11"/>
        <v>0</v>
      </c>
      <c r="P47" s="7">
        <f t="shared" si="11"/>
        <v>0</v>
      </c>
      <c r="Q47" s="7">
        <f t="shared" si="11"/>
        <v>0</v>
      </c>
      <c r="R47" s="7">
        <f t="shared" si="11"/>
        <v>0</v>
      </c>
      <c r="S47" s="7">
        <f t="shared" si="11"/>
        <v>0</v>
      </c>
      <c r="T47" s="7">
        <f>SUM(T45:T46)</f>
        <v>0</v>
      </c>
    </row>
    <row r="49" ht="15">
      <c r="A49" s="30" t="s">
        <v>31</v>
      </c>
    </row>
    <row r="50" spans="1:2" ht="15">
      <c r="A50" s="30" t="s">
        <v>96</v>
      </c>
      <c r="B50" t="s">
        <v>97</v>
      </c>
    </row>
    <row r="51" spans="1:2" ht="15">
      <c r="A51" s="30" t="s">
        <v>98</v>
      </c>
      <c r="B51" t="s">
        <v>99</v>
      </c>
    </row>
    <row r="52" spans="1:2" ht="15">
      <c r="A52" s="30" t="s">
        <v>100</v>
      </c>
      <c r="B52" t="s">
        <v>101</v>
      </c>
    </row>
  </sheetData>
  <printOptions/>
  <pageMargins left="0.75" right="0.75" top="1" bottom="1" header="0.5" footer="0.5"/>
  <pageSetup fitToHeight="1" fitToWidth="1" horizontalDpi="600" verticalDpi="600" orientation="landscape" scale="42" r:id="rId1"/>
</worksheet>
</file>

<file path=xl/worksheets/sheet28.xml><?xml version="1.0" encoding="utf-8"?>
<worksheet xmlns="http://schemas.openxmlformats.org/spreadsheetml/2006/main" xmlns:r="http://schemas.openxmlformats.org/officeDocument/2006/relationships">
  <sheetPr codeName="Sheet231111">
    <pageSetUpPr fitToPage="1"/>
  </sheetPr>
  <dimension ref="A1:T52"/>
  <sheetViews>
    <sheetView zoomScale="75" zoomScaleNormal="75" workbookViewId="0" topLeftCell="A1">
      <selection activeCell="A7" sqref="A7"/>
    </sheetView>
  </sheetViews>
  <sheetFormatPr defaultColWidth="9.77734375" defaultRowHeight="15"/>
  <cols>
    <col min="7" max="12" width="12.77734375" style="0" customWidth="1"/>
    <col min="13" max="16" width="14.3359375" style="0" customWidth="1"/>
    <col min="17" max="21" width="12.77734375" style="0" customWidth="1"/>
  </cols>
  <sheetData>
    <row r="1" spans="1:20" ht="15.75">
      <c r="A1" s="8" t="s">
        <v>438</v>
      </c>
      <c r="B1" s="2"/>
      <c r="C1" s="2"/>
      <c r="D1" s="2"/>
      <c r="E1" s="2"/>
      <c r="F1" s="2"/>
      <c r="G1" s="2"/>
      <c r="H1" s="2"/>
      <c r="I1" s="2"/>
      <c r="J1" s="2"/>
      <c r="K1" s="2"/>
      <c r="L1" s="2"/>
      <c r="T1" s="30" t="s">
        <v>442</v>
      </c>
    </row>
    <row r="2" spans="1:20" ht="15">
      <c r="A2" s="2" t="s">
        <v>0</v>
      </c>
      <c r="B2" s="2"/>
      <c r="C2" s="2"/>
      <c r="D2" s="2"/>
      <c r="E2" s="2"/>
      <c r="F2" s="2"/>
      <c r="G2" s="2"/>
      <c r="H2" s="2"/>
      <c r="I2" s="2"/>
      <c r="J2" s="2"/>
      <c r="K2" s="2"/>
      <c r="L2" s="2"/>
      <c r="T2" s="30" t="s">
        <v>393</v>
      </c>
    </row>
    <row r="3" spans="1:12" ht="15">
      <c r="A3" s="2" t="s">
        <v>494</v>
      </c>
      <c r="B3" s="9"/>
      <c r="C3" s="9"/>
      <c r="D3" s="9"/>
      <c r="E3" s="9"/>
      <c r="F3" s="9"/>
      <c r="G3" s="9"/>
      <c r="H3" s="9"/>
      <c r="I3" s="2"/>
      <c r="J3" s="2"/>
      <c r="K3" s="2"/>
      <c r="L3" s="2"/>
    </row>
    <row r="4" spans="1:12" ht="15.75">
      <c r="A4" s="11" t="str">
        <f>'Form 42 2A'!A4</f>
        <v>January 2003 through December 2003</v>
      </c>
      <c r="B4" s="2"/>
      <c r="C4" s="2"/>
      <c r="D4" s="2"/>
      <c r="E4" s="2"/>
      <c r="F4" s="2"/>
      <c r="G4" s="2"/>
      <c r="H4" s="2"/>
      <c r="I4" s="2"/>
      <c r="J4" s="2"/>
      <c r="K4" s="2"/>
      <c r="L4" s="2"/>
    </row>
    <row r="5" spans="1:12" ht="15.75">
      <c r="A5" s="3" t="s">
        <v>1</v>
      </c>
      <c r="B5" s="2"/>
      <c r="C5" s="2"/>
      <c r="D5" s="2"/>
      <c r="E5" s="2"/>
      <c r="F5" s="2"/>
      <c r="G5" s="2"/>
      <c r="H5" s="2"/>
      <c r="I5" s="2"/>
      <c r="J5" s="2"/>
      <c r="K5" s="2"/>
      <c r="L5" s="2"/>
    </row>
    <row r="6" spans="1:12" ht="15">
      <c r="A6" s="2" t="s">
        <v>59</v>
      </c>
      <c r="B6" s="2"/>
      <c r="C6" s="2"/>
      <c r="D6" s="2"/>
      <c r="E6" s="2"/>
      <c r="F6" s="2"/>
      <c r="G6" s="2"/>
      <c r="H6" s="2"/>
      <c r="I6" s="2"/>
      <c r="J6" s="2"/>
      <c r="K6" s="2"/>
      <c r="L6" s="2"/>
    </row>
    <row r="7" spans="1:12" ht="15">
      <c r="A7" s="57" t="s">
        <v>489</v>
      </c>
      <c r="B7" s="2"/>
      <c r="C7" s="2"/>
      <c r="D7" s="2"/>
      <c r="E7" s="2"/>
      <c r="F7" s="2"/>
      <c r="G7" s="2"/>
      <c r="H7" s="2"/>
      <c r="I7" s="2"/>
      <c r="J7" s="2"/>
      <c r="K7" s="2"/>
      <c r="L7" s="2"/>
    </row>
    <row r="8" spans="1:12" ht="15">
      <c r="A8" s="2" t="s">
        <v>5</v>
      </c>
      <c r="B8" s="2"/>
      <c r="C8" s="2"/>
      <c r="D8" s="2"/>
      <c r="E8" s="2"/>
      <c r="F8" s="2"/>
      <c r="G8" s="2"/>
      <c r="H8" s="2"/>
      <c r="I8" s="2"/>
      <c r="J8" s="2"/>
      <c r="K8" s="2"/>
      <c r="L8" s="2"/>
    </row>
    <row r="10" spans="1:20" ht="15.75">
      <c r="A10" s="2"/>
      <c r="E10" s="66"/>
      <c r="F10" s="59"/>
      <c r="G10" s="59"/>
      <c r="T10" s="29" t="s">
        <v>60</v>
      </c>
    </row>
    <row r="11" spans="7:20" ht="15">
      <c r="G11" s="29" t="s">
        <v>61</v>
      </c>
      <c r="T11" s="29" t="s">
        <v>2</v>
      </c>
    </row>
    <row r="12" spans="1:20" ht="15.75" thickBot="1">
      <c r="A12" s="25" t="s">
        <v>3</v>
      </c>
      <c r="B12" s="2"/>
      <c r="C12" s="25" t="s">
        <v>62</v>
      </c>
      <c r="E12" s="2"/>
      <c r="F12" s="2"/>
      <c r="G12" s="19" t="s">
        <v>63</v>
      </c>
      <c r="H12" s="68" t="str">
        <f>'Form 42 2A'!H10</f>
        <v>January 03</v>
      </c>
      <c r="I12" s="68" t="str">
        <f>'Form 42 2A'!I10</f>
        <v>February 03</v>
      </c>
      <c r="J12" s="68" t="str">
        <f>'Form 42 2A'!J10</f>
        <v>March 03</v>
      </c>
      <c r="K12" s="68" t="str">
        <f>'Form 42 2A'!K10</f>
        <v>April 03</v>
      </c>
      <c r="L12" s="68" t="str">
        <f>'Form 42 2A'!L10</f>
        <v>May 03</v>
      </c>
      <c r="M12" s="68" t="str">
        <f>'Form 42 2A'!M10</f>
        <v>June 03</v>
      </c>
      <c r="N12" s="68" t="str">
        <f>'Form 42 2A'!N10</f>
        <v>July 03</v>
      </c>
      <c r="O12" s="68" t="str">
        <f>'Form 42 2A'!O10</f>
        <v>August 03</v>
      </c>
      <c r="P12" s="68" t="str">
        <f>'Form 42 2A'!P10</f>
        <v>September 03</v>
      </c>
      <c r="Q12" s="68" t="str">
        <f>'Form 42 2A'!Q10</f>
        <v>October 03</v>
      </c>
      <c r="R12" s="68" t="str">
        <f>'Form 42 2A'!R10</f>
        <v>November 03</v>
      </c>
      <c r="S12" s="68" t="str">
        <f>'Form 42 2A'!S10</f>
        <v>December 03</v>
      </c>
      <c r="T12" s="19" t="s">
        <v>8</v>
      </c>
    </row>
    <row r="13" spans="1:4" ht="15">
      <c r="A13" s="1"/>
      <c r="B13" s="1"/>
      <c r="C13" s="1"/>
      <c r="D13" s="27"/>
    </row>
    <row r="14" spans="1:2" ht="15">
      <c r="A14" s="30" t="s">
        <v>35</v>
      </c>
      <c r="B14" t="s">
        <v>64</v>
      </c>
    </row>
    <row r="15" spans="1:20" ht="15">
      <c r="A15" s="1"/>
      <c r="B15" s="1" t="s">
        <v>65</v>
      </c>
      <c r="C15" s="1"/>
      <c r="D15" s="1"/>
      <c r="E15" s="1"/>
      <c r="F15" s="1"/>
      <c r="G15" s="1"/>
      <c r="H15" s="49">
        <f>8816+4529</f>
        <v>13345</v>
      </c>
      <c r="I15" s="49">
        <f>85862+75812</f>
        <v>161674</v>
      </c>
      <c r="J15" s="49">
        <f>16932-23598</f>
        <v>-6666</v>
      </c>
      <c r="K15" s="49">
        <f>79139+39681</f>
        <v>118820</v>
      </c>
      <c r="L15" s="49">
        <f>11421+14623</f>
        <v>26044</v>
      </c>
      <c r="M15" s="49">
        <f>20219+138</f>
        <v>20357</v>
      </c>
      <c r="N15" s="49">
        <v>0</v>
      </c>
      <c r="O15" s="71">
        <v>0</v>
      </c>
      <c r="P15" s="49">
        <v>0</v>
      </c>
      <c r="Q15" s="49">
        <v>0</v>
      </c>
      <c r="R15" s="49">
        <v>0</v>
      </c>
      <c r="S15" s="49">
        <v>0</v>
      </c>
      <c r="T15" s="5"/>
    </row>
    <row r="16" spans="2:19" ht="15">
      <c r="B16" t="s">
        <v>66</v>
      </c>
      <c r="H16">
        <v>0</v>
      </c>
      <c r="I16">
        <v>0</v>
      </c>
      <c r="J16">
        <v>0</v>
      </c>
      <c r="K16">
        <v>0</v>
      </c>
      <c r="L16">
        <v>0</v>
      </c>
      <c r="M16">
        <v>0</v>
      </c>
      <c r="N16">
        <v>0</v>
      </c>
      <c r="O16">
        <v>0</v>
      </c>
      <c r="P16">
        <v>0</v>
      </c>
      <c r="Q16">
        <v>0</v>
      </c>
      <c r="R16">
        <v>0</v>
      </c>
      <c r="S16">
        <v>0</v>
      </c>
    </row>
    <row r="17" spans="2:19" ht="15">
      <c r="B17" t="s">
        <v>67</v>
      </c>
      <c r="H17">
        <v>0</v>
      </c>
      <c r="I17">
        <v>0</v>
      </c>
      <c r="J17">
        <v>0</v>
      </c>
      <c r="K17">
        <v>0</v>
      </c>
      <c r="L17">
        <v>0</v>
      </c>
      <c r="M17">
        <v>0</v>
      </c>
      <c r="N17">
        <v>0</v>
      </c>
      <c r="O17">
        <v>0</v>
      </c>
      <c r="P17">
        <v>0</v>
      </c>
      <c r="Q17">
        <v>0</v>
      </c>
      <c r="R17">
        <v>0</v>
      </c>
      <c r="S17">
        <v>0</v>
      </c>
    </row>
    <row r="18" spans="2:19" ht="15">
      <c r="B18" t="s">
        <v>68</v>
      </c>
      <c r="H18">
        <v>0</v>
      </c>
      <c r="I18">
        <v>0</v>
      </c>
      <c r="J18">
        <v>0</v>
      </c>
      <c r="K18">
        <v>0</v>
      </c>
      <c r="L18">
        <v>0</v>
      </c>
      <c r="M18">
        <v>0</v>
      </c>
      <c r="N18">
        <v>0</v>
      </c>
      <c r="O18">
        <v>0</v>
      </c>
      <c r="P18">
        <v>0</v>
      </c>
      <c r="Q18">
        <v>0</v>
      </c>
      <c r="R18">
        <v>0</v>
      </c>
      <c r="S18">
        <v>0</v>
      </c>
    </row>
    <row r="20" spans="1:19" ht="15">
      <c r="A20" s="31" t="s">
        <v>36</v>
      </c>
      <c r="B20" s="1" t="s">
        <v>69</v>
      </c>
      <c r="C20" s="1"/>
      <c r="D20" s="1"/>
      <c r="E20" s="1"/>
      <c r="F20" s="1"/>
      <c r="G20" s="5">
        <f>depreciation!Z1451</f>
        <v>129677</v>
      </c>
      <c r="H20">
        <f>+depreciation!Z1453</f>
        <v>134206</v>
      </c>
      <c r="I20">
        <f>+depreciation!Z1454</f>
        <v>210019</v>
      </c>
      <c r="J20">
        <f>+depreciation!Z1455</f>
        <v>186420</v>
      </c>
      <c r="K20" s="47">
        <f>+depreciation!Z1456</f>
        <v>226101</v>
      </c>
      <c r="L20" s="47">
        <f>+depreciation!Z1457</f>
        <v>240723</v>
      </c>
      <c r="M20" s="47">
        <f>+depreciation!Z1458</f>
        <v>240861</v>
      </c>
      <c r="N20" s="47">
        <f>+depreciation!Z1459</f>
        <v>240861</v>
      </c>
      <c r="O20" s="47">
        <f>+depreciation!Z1460</f>
        <v>240861</v>
      </c>
      <c r="P20" s="47">
        <f>+depreciation!Z1461</f>
        <v>240861</v>
      </c>
      <c r="Q20" s="47">
        <f>+depreciation!Z1462</f>
        <v>240861</v>
      </c>
      <c r="R20" s="47">
        <f>+depreciation!Z1463</f>
        <v>240861</v>
      </c>
      <c r="S20" s="47">
        <f>+depreciation!Z1464</f>
        <v>240861</v>
      </c>
    </row>
    <row r="21" spans="1:19" ht="15">
      <c r="A21" s="30" t="s">
        <v>38</v>
      </c>
      <c r="B21" t="s">
        <v>70</v>
      </c>
      <c r="G21">
        <f>-depreciation!AC1451</f>
        <v>-4838</v>
      </c>
      <c r="H21">
        <f>-H32+G21</f>
        <v>-5223</v>
      </c>
      <c r="I21">
        <f>-I32+H21</f>
        <v>-5725</v>
      </c>
      <c r="J21">
        <f aca="true" t="shared" si="0" ref="J21:S21">-J32+I21</f>
        <v>-6301</v>
      </c>
      <c r="K21">
        <f>-K32+J21</f>
        <v>-6894</v>
      </c>
      <c r="L21">
        <f t="shared" si="0"/>
        <v>-7558</v>
      </c>
      <c r="M21">
        <f t="shared" si="0"/>
        <v>-8243</v>
      </c>
      <c r="N21">
        <f t="shared" si="0"/>
        <v>-8928</v>
      </c>
      <c r="O21">
        <f t="shared" si="0"/>
        <v>-9613</v>
      </c>
      <c r="P21">
        <f t="shared" si="0"/>
        <v>-10298</v>
      </c>
      <c r="Q21">
        <f t="shared" si="0"/>
        <v>-10983</v>
      </c>
      <c r="R21">
        <f t="shared" si="0"/>
        <v>-11668</v>
      </c>
      <c r="S21">
        <f t="shared" si="0"/>
        <v>-12353</v>
      </c>
    </row>
    <row r="22" spans="1:19" ht="15">
      <c r="A22" s="31" t="s">
        <v>39</v>
      </c>
      <c r="B22" s="1" t="s">
        <v>71</v>
      </c>
      <c r="C22" s="1"/>
      <c r="D22" s="1"/>
      <c r="E22" s="1"/>
      <c r="F22" s="1"/>
      <c r="G22" s="54">
        <v>647757</v>
      </c>
      <c r="H22" s="54">
        <f>G22+8816</f>
        <v>656573</v>
      </c>
      <c r="I22" s="54">
        <f>H22+85862</f>
        <v>742435</v>
      </c>
      <c r="J22" s="54">
        <f>I22+16932</f>
        <v>759367</v>
      </c>
      <c r="K22" s="54">
        <f>J22+79139</f>
        <v>838506</v>
      </c>
      <c r="L22" s="54">
        <f>K22+11421</f>
        <v>849927</v>
      </c>
      <c r="M22" s="54">
        <f>L22+20219</f>
        <v>870146</v>
      </c>
      <c r="N22" s="54">
        <f aca="true" t="shared" si="1" ref="N22:S22">M22+N15</f>
        <v>870146</v>
      </c>
      <c r="O22" s="54">
        <f t="shared" si="1"/>
        <v>870146</v>
      </c>
      <c r="P22" s="54">
        <f t="shared" si="1"/>
        <v>870146</v>
      </c>
      <c r="Q22" s="54">
        <f t="shared" si="1"/>
        <v>870146</v>
      </c>
      <c r="R22" s="54">
        <f t="shared" si="1"/>
        <v>870146</v>
      </c>
      <c r="S22" s="54">
        <f t="shared" si="1"/>
        <v>870146</v>
      </c>
    </row>
    <row r="23" spans="1:20" ht="15">
      <c r="A23" s="31" t="s">
        <v>40</v>
      </c>
      <c r="B23" s="1" t="s">
        <v>72</v>
      </c>
      <c r="C23" s="1"/>
      <c r="D23" s="1"/>
      <c r="E23" s="1"/>
      <c r="F23" s="1"/>
      <c r="G23" s="26">
        <f aca="true" t="shared" si="2" ref="G23:S23">G20+G21+G22</f>
        <v>772596</v>
      </c>
      <c r="H23" s="17">
        <f t="shared" si="2"/>
        <v>785556</v>
      </c>
      <c r="I23" s="17">
        <f t="shared" si="2"/>
        <v>946729</v>
      </c>
      <c r="J23" s="17">
        <f t="shared" si="2"/>
        <v>939486</v>
      </c>
      <c r="K23" s="17">
        <f t="shared" si="2"/>
        <v>1057713</v>
      </c>
      <c r="L23" s="17">
        <f t="shared" si="2"/>
        <v>1083092</v>
      </c>
      <c r="M23" s="17">
        <f t="shared" si="2"/>
        <v>1102764</v>
      </c>
      <c r="N23" s="17">
        <f t="shared" si="2"/>
        <v>1102079</v>
      </c>
      <c r="O23" s="17">
        <f t="shared" si="2"/>
        <v>1101394</v>
      </c>
      <c r="P23" s="17">
        <f t="shared" si="2"/>
        <v>1100709</v>
      </c>
      <c r="Q23" s="17">
        <f t="shared" si="2"/>
        <v>1100024</v>
      </c>
      <c r="R23" s="17">
        <f t="shared" si="2"/>
        <v>1099339</v>
      </c>
      <c r="S23" s="17">
        <f t="shared" si="2"/>
        <v>1098654</v>
      </c>
      <c r="T23" s="16"/>
    </row>
    <row r="25" spans="1:19" ht="15">
      <c r="A25" s="30" t="s">
        <v>42</v>
      </c>
      <c r="B25" t="s">
        <v>73</v>
      </c>
      <c r="H25">
        <f aca="true" t="shared" si="3" ref="H25:S25">ROUND((+G23+H23)/2,0)</f>
        <v>779076</v>
      </c>
      <c r="I25">
        <f t="shared" si="3"/>
        <v>866143</v>
      </c>
      <c r="J25">
        <f t="shared" si="3"/>
        <v>943108</v>
      </c>
      <c r="K25">
        <f t="shared" si="3"/>
        <v>998600</v>
      </c>
      <c r="L25">
        <f t="shared" si="3"/>
        <v>1070403</v>
      </c>
      <c r="M25">
        <f t="shared" si="3"/>
        <v>1092928</v>
      </c>
      <c r="N25">
        <f t="shared" si="3"/>
        <v>1102422</v>
      </c>
      <c r="O25">
        <f t="shared" si="3"/>
        <v>1101737</v>
      </c>
      <c r="P25">
        <f t="shared" si="3"/>
        <v>1101052</v>
      </c>
      <c r="Q25">
        <f t="shared" si="3"/>
        <v>1100367</v>
      </c>
      <c r="R25">
        <f t="shared" si="3"/>
        <v>1099682</v>
      </c>
      <c r="S25">
        <f t="shared" si="3"/>
        <v>1098997</v>
      </c>
    </row>
    <row r="27" spans="1:2" ht="15">
      <c r="A27" s="30" t="s">
        <v>43</v>
      </c>
      <c r="B27" t="s">
        <v>74</v>
      </c>
    </row>
    <row r="28" spans="1:20" ht="15">
      <c r="A28" s="1"/>
      <c r="B28" s="1" t="s">
        <v>75</v>
      </c>
      <c r="C28" s="1"/>
      <c r="D28" s="1"/>
      <c r="E28" s="1"/>
      <c r="F28" s="1"/>
      <c r="G28" s="1"/>
      <c r="H28" s="1">
        <f aca="true" t="shared" si="4" ref="H28:S28">ROUND(+H25*(0.088238)/12,0)</f>
        <v>5729</v>
      </c>
      <c r="I28" s="1">
        <f t="shared" si="4"/>
        <v>6369</v>
      </c>
      <c r="J28" s="1">
        <f t="shared" si="4"/>
        <v>6935</v>
      </c>
      <c r="K28" s="1">
        <f t="shared" si="4"/>
        <v>7343</v>
      </c>
      <c r="L28" s="1">
        <f t="shared" si="4"/>
        <v>7871</v>
      </c>
      <c r="M28" s="1">
        <f t="shared" si="4"/>
        <v>8036</v>
      </c>
      <c r="N28" s="1">
        <f t="shared" si="4"/>
        <v>8106</v>
      </c>
      <c r="O28" s="1">
        <f t="shared" si="4"/>
        <v>8101</v>
      </c>
      <c r="P28" s="1">
        <f t="shared" si="4"/>
        <v>8096</v>
      </c>
      <c r="Q28" s="1">
        <f t="shared" si="4"/>
        <v>8091</v>
      </c>
      <c r="R28" s="1">
        <f t="shared" si="4"/>
        <v>8086</v>
      </c>
      <c r="S28" s="1">
        <f t="shared" si="4"/>
        <v>8081</v>
      </c>
      <c r="T28" s="5">
        <f>SUM(H28:S28)</f>
        <v>90844</v>
      </c>
    </row>
    <row r="29" spans="2:20" ht="15">
      <c r="B29" t="s">
        <v>76</v>
      </c>
      <c r="H29">
        <f aca="true" t="shared" si="5" ref="H29:S29">ROUND(+H25*(0.0282)/12,0)</f>
        <v>1831</v>
      </c>
      <c r="I29">
        <f t="shared" si="5"/>
        <v>2035</v>
      </c>
      <c r="J29">
        <f t="shared" si="5"/>
        <v>2216</v>
      </c>
      <c r="K29">
        <f t="shared" si="5"/>
        <v>2347</v>
      </c>
      <c r="L29">
        <f t="shared" si="5"/>
        <v>2515</v>
      </c>
      <c r="M29">
        <f t="shared" si="5"/>
        <v>2568</v>
      </c>
      <c r="N29">
        <f t="shared" si="5"/>
        <v>2591</v>
      </c>
      <c r="O29">
        <f t="shared" si="5"/>
        <v>2589</v>
      </c>
      <c r="P29">
        <f t="shared" si="5"/>
        <v>2587</v>
      </c>
      <c r="Q29">
        <f t="shared" si="5"/>
        <v>2586</v>
      </c>
      <c r="R29">
        <f t="shared" si="5"/>
        <v>2584</v>
      </c>
      <c r="S29">
        <f t="shared" si="5"/>
        <v>2583</v>
      </c>
      <c r="T29">
        <f>SUM(H29:S29)</f>
        <v>29032</v>
      </c>
    </row>
    <row r="31" spans="1:2" ht="15">
      <c r="A31" s="30" t="s">
        <v>44</v>
      </c>
      <c r="B31" t="s">
        <v>77</v>
      </c>
    </row>
    <row r="32" spans="2:20" ht="15">
      <c r="B32" t="s">
        <v>78</v>
      </c>
      <c r="H32" s="47">
        <f>+depreciation!AB1453</f>
        <v>385</v>
      </c>
      <c r="I32" s="47">
        <f>+depreciation!AB1454</f>
        <v>502</v>
      </c>
      <c r="J32" s="47">
        <f>+depreciation!AB1455</f>
        <v>576</v>
      </c>
      <c r="K32" s="47">
        <f>+depreciation!AB1456</f>
        <v>593</v>
      </c>
      <c r="L32" s="47">
        <f>+depreciation!AB1457</f>
        <v>664</v>
      </c>
      <c r="M32" s="47">
        <f>+depreciation!AB1458</f>
        <v>685</v>
      </c>
      <c r="N32" s="47">
        <f>+depreciation!AB1459</f>
        <v>685</v>
      </c>
      <c r="O32" s="47">
        <f>+depreciation!AB1460</f>
        <v>685</v>
      </c>
      <c r="P32" s="47">
        <f>+depreciation!AB1461</f>
        <v>685</v>
      </c>
      <c r="Q32" s="47">
        <f>+depreciation!AB1462</f>
        <v>685</v>
      </c>
      <c r="R32" s="47">
        <f>+depreciation!AB1463</f>
        <v>685</v>
      </c>
      <c r="S32" s="47">
        <f>+depreciation!AB1464</f>
        <v>685</v>
      </c>
      <c r="T32">
        <f>SUM(H32:S32)</f>
        <v>7515</v>
      </c>
    </row>
    <row r="33" spans="2:20" ht="15">
      <c r="B33" t="s">
        <v>79</v>
      </c>
      <c r="H33">
        <v>0</v>
      </c>
      <c r="I33">
        <v>0</v>
      </c>
      <c r="J33">
        <v>0</v>
      </c>
      <c r="K33">
        <v>0</v>
      </c>
      <c r="L33">
        <v>0</v>
      </c>
      <c r="M33">
        <v>0</v>
      </c>
      <c r="N33">
        <v>0</v>
      </c>
      <c r="O33">
        <v>0</v>
      </c>
      <c r="P33">
        <v>0</v>
      </c>
      <c r="Q33">
        <v>0</v>
      </c>
      <c r="R33">
        <v>0</v>
      </c>
      <c r="S33">
        <v>0</v>
      </c>
      <c r="T33">
        <f>SUM(H33:S33)</f>
        <v>0</v>
      </c>
    </row>
    <row r="34" spans="2:20" ht="15">
      <c r="B34" t="s">
        <v>80</v>
      </c>
      <c r="H34">
        <v>0</v>
      </c>
      <c r="I34">
        <v>0</v>
      </c>
      <c r="J34">
        <v>0</v>
      </c>
      <c r="K34">
        <v>0</v>
      </c>
      <c r="L34">
        <v>0</v>
      </c>
      <c r="M34">
        <v>0</v>
      </c>
      <c r="N34">
        <v>0</v>
      </c>
      <c r="O34">
        <v>0</v>
      </c>
      <c r="P34">
        <v>0</v>
      </c>
      <c r="Q34">
        <v>0</v>
      </c>
      <c r="R34">
        <v>0</v>
      </c>
      <c r="S34">
        <v>0</v>
      </c>
      <c r="T34">
        <f>SUM(H34:S34)</f>
        <v>0</v>
      </c>
    </row>
    <row r="35" spans="2:20" ht="15">
      <c r="B35" t="s">
        <v>81</v>
      </c>
      <c r="H35">
        <v>0</v>
      </c>
      <c r="I35">
        <v>0</v>
      </c>
      <c r="J35">
        <v>0</v>
      </c>
      <c r="K35">
        <v>0</v>
      </c>
      <c r="L35">
        <v>0</v>
      </c>
      <c r="M35">
        <v>0</v>
      </c>
      <c r="N35">
        <v>0</v>
      </c>
      <c r="O35">
        <v>0</v>
      </c>
      <c r="P35">
        <v>0</v>
      </c>
      <c r="Q35">
        <v>0</v>
      </c>
      <c r="R35">
        <v>0</v>
      </c>
      <c r="S35">
        <v>0</v>
      </c>
      <c r="T35">
        <f>SUM(H35:S35)</f>
        <v>0</v>
      </c>
    </row>
    <row r="36" spans="1:20" ht="15">
      <c r="A36" s="1"/>
      <c r="B36" s="1" t="s">
        <v>82</v>
      </c>
      <c r="C36" s="1"/>
      <c r="D36" s="1"/>
      <c r="E36" s="1"/>
      <c r="F36" s="1"/>
      <c r="G36" s="1"/>
      <c r="H36" s="6">
        <v>0</v>
      </c>
      <c r="I36" s="6">
        <v>0</v>
      </c>
      <c r="J36" s="6">
        <v>0</v>
      </c>
      <c r="K36" s="6">
        <v>0</v>
      </c>
      <c r="L36" s="6">
        <v>0</v>
      </c>
      <c r="M36" s="6">
        <v>0</v>
      </c>
      <c r="N36" s="6">
        <v>0</v>
      </c>
      <c r="O36" s="6">
        <v>0</v>
      </c>
      <c r="P36" s="6">
        <v>0</v>
      </c>
      <c r="Q36" s="6">
        <v>0</v>
      </c>
      <c r="R36" s="6">
        <v>0</v>
      </c>
      <c r="S36" s="6">
        <v>0</v>
      </c>
      <c r="T36" s="6">
        <f>SUM(H36:S36)</f>
        <v>0</v>
      </c>
    </row>
    <row r="38" spans="1:20" ht="15">
      <c r="A38" s="30" t="s">
        <v>45</v>
      </c>
      <c r="B38" t="s">
        <v>83</v>
      </c>
      <c r="H38">
        <f aca="true" t="shared" si="6" ref="H38:S38">ROUND(+H28+H29+H32+H33+H34+H35+H36,0)</f>
        <v>7945</v>
      </c>
      <c r="I38">
        <f t="shared" si="6"/>
        <v>8906</v>
      </c>
      <c r="J38">
        <f t="shared" si="6"/>
        <v>9727</v>
      </c>
      <c r="K38">
        <f t="shared" si="6"/>
        <v>10283</v>
      </c>
      <c r="L38">
        <f t="shared" si="6"/>
        <v>11050</v>
      </c>
      <c r="M38">
        <f t="shared" si="6"/>
        <v>11289</v>
      </c>
      <c r="N38">
        <f t="shared" si="6"/>
        <v>11382</v>
      </c>
      <c r="O38">
        <f t="shared" si="6"/>
        <v>11375</v>
      </c>
      <c r="P38">
        <f t="shared" si="6"/>
        <v>11368</v>
      </c>
      <c r="Q38">
        <f t="shared" si="6"/>
        <v>11362</v>
      </c>
      <c r="R38">
        <f t="shared" si="6"/>
        <v>11355</v>
      </c>
      <c r="S38">
        <f t="shared" si="6"/>
        <v>11349</v>
      </c>
      <c r="T38">
        <f>SUM(H38:S38)</f>
        <v>127391</v>
      </c>
    </row>
    <row r="39" spans="2:20" ht="15">
      <c r="B39" t="s">
        <v>84</v>
      </c>
      <c r="H39">
        <f aca="true" t="shared" si="7" ref="H39:S39">ROUND(+H38*1,0)</f>
        <v>7945</v>
      </c>
      <c r="I39">
        <f t="shared" si="7"/>
        <v>8906</v>
      </c>
      <c r="J39">
        <f t="shared" si="7"/>
        <v>9727</v>
      </c>
      <c r="K39">
        <f t="shared" si="7"/>
        <v>10283</v>
      </c>
      <c r="L39">
        <f t="shared" si="7"/>
        <v>11050</v>
      </c>
      <c r="M39">
        <f t="shared" si="7"/>
        <v>11289</v>
      </c>
      <c r="N39">
        <f t="shared" si="7"/>
        <v>11382</v>
      </c>
      <c r="O39">
        <f t="shared" si="7"/>
        <v>11375</v>
      </c>
      <c r="P39">
        <f t="shared" si="7"/>
        <v>11368</v>
      </c>
      <c r="Q39">
        <f t="shared" si="7"/>
        <v>11362</v>
      </c>
      <c r="R39">
        <f t="shared" si="7"/>
        <v>11355</v>
      </c>
      <c r="S39">
        <f t="shared" si="7"/>
        <v>11349</v>
      </c>
      <c r="T39">
        <f>SUM(H39:S39)</f>
        <v>127391</v>
      </c>
    </row>
    <row r="40" spans="2:20" ht="15">
      <c r="B40" t="s">
        <v>85</v>
      </c>
      <c r="H40">
        <f aca="true" t="shared" si="8" ref="H40:S40">ROUND(+H38*0,0)</f>
        <v>0</v>
      </c>
      <c r="I40">
        <f t="shared" si="8"/>
        <v>0</v>
      </c>
      <c r="J40">
        <f t="shared" si="8"/>
        <v>0</v>
      </c>
      <c r="K40">
        <f t="shared" si="8"/>
        <v>0</v>
      </c>
      <c r="L40">
        <f t="shared" si="8"/>
        <v>0</v>
      </c>
      <c r="M40">
        <f t="shared" si="8"/>
        <v>0</v>
      </c>
      <c r="N40">
        <f t="shared" si="8"/>
        <v>0</v>
      </c>
      <c r="O40">
        <f t="shared" si="8"/>
        <v>0</v>
      </c>
      <c r="P40">
        <f t="shared" si="8"/>
        <v>0</v>
      </c>
      <c r="Q40">
        <f t="shared" si="8"/>
        <v>0</v>
      </c>
      <c r="R40">
        <f t="shared" si="8"/>
        <v>0</v>
      </c>
      <c r="S40">
        <f t="shared" si="8"/>
        <v>0</v>
      </c>
      <c r="T40">
        <f>SUM(H40:S40)</f>
        <v>0</v>
      </c>
    </row>
    <row r="42" spans="1:20" ht="15">
      <c r="A42" s="31" t="s">
        <v>86</v>
      </c>
      <c r="B42" s="1" t="s">
        <v>87</v>
      </c>
      <c r="C42" s="1"/>
      <c r="D42" s="1"/>
      <c r="E42" s="1"/>
      <c r="F42" s="1"/>
      <c r="G42" s="24"/>
      <c r="H42" s="24">
        <f>'Form 42 5A'!H53</f>
        <v>0</v>
      </c>
      <c r="I42" s="24">
        <f>'Form 42 5A'!I53</f>
        <v>0</v>
      </c>
      <c r="J42" s="24">
        <f>'Form 42 5A'!J53</f>
        <v>0</v>
      </c>
      <c r="K42" s="24">
        <f>'Form 42 5A'!K53</f>
        <v>0</v>
      </c>
      <c r="L42" s="24">
        <f>'Form 42 5A'!L53</f>
        <v>0</v>
      </c>
      <c r="M42" s="24">
        <f>'Form 42 5A'!M53</f>
        <v>0</v>
      </c>
      <c r="N42" s="24">
        <f>'Form 42 5A'!N53</f>
        <v>0</v>
      </c>
      <c r="O42" s="24">
        <f>'Form 42 5A'!O53</f>
        <v>0</v>
      </c>
      <c r="P42" s="24">
        <f>'Form 42 5A'!P53</f>
        <v>0</v>
      </c>
      <c r="Q42" s="24">
        <f>'Form 42 5A'!Q53</f>
        <v>0</v>
      </c>
      <c r="R42" s="24">
        <f>'Form 42 5A'!R53</f>
        <v>0</v>
      </c>
      <c r="S42" s="24">
        <f>'Form 42 5A'!S53</f>
        <v>0</v>
      </c>
      <c r="T42" s="24"/>
    </row>
    <row r="43" spans="1:20" ht="15">
      <c r="A43" s="31" t="s">
        <v>88</v>
      </c>
      <c r="B43" s="1" t="s">
        <v>89</v>
      </c>
      <c r="C43" s="1"/>
      <c r="D43" s="1"/>
      <c r="E43" s="1"/>
      <c r="F43" s="1"/>
      <c r="G43" s="24"/>
      <c r="H43" s="24">
        <f>+'Form 42 5A'!H54</f>
        <v>0</v>
      </c>
      <c r="I43" s="24">
        <f>+'Form 42 5A'!I54</f>
        <v>0</v>
      </c>
      <c r="J43" s="24">
        <f>+'Form 42 5A'!J54</f>
        <v>0</v>
      </c>
      <c r="K43" s="24">
        <f>+'Form 42 5A'!K54</f>
        <v>0</v>
      </c>
      <c r="L43" s="24">
        <f>+'Form 42 5A'!L54</f>
        <v>0</v>
      </c>
      <c r="M43" s="24">
        <f>+'Form 42 5A'!M54</f>
        <v>0</v>
      </c>
      <c r="N43" s="24">
        <f>+'Form 42 5A'!N54</f>
        <v>0</v>
      </c>
      <c r="O43" s="24">
        <f>+'Form 42 5A'!O54</f>
        <v>0</v>
      </c>
      <c r="P43" s="24">
        <f>+'Form 42 5A'!P54</f>
        <v>0</v>
      </c>
      <c r="Q43" s="24">
        <f>+'Form 42 5A'!Q54</f>
        <v>0</v>
      </c>
      <c r="R43" s="24">
        <f>+'Form 42 5A'!R54</f>
        <v>0</v>
      </c>
      <c r="S43" s="24">
        <f>+'Form 42 5A'!S54</f>
        <v>0</v>
      </c>
      <c r="T43" s="24"/>
    </row>
    <row r="45" spans="1:20" ht="15">
      <c r="A45" s="30" t="s">
        <v>90</v>
      </c>
      <c r="B45" t="s">
        <v>91</v>
      </c>
      <c r="H45">
        <f aca="true" t="shared" si="9" ref="H45:S45">ROUND((+H39*H42),0)</f>
        <v>0</v>
      </c>
      <c r="I45">
        <f t="shared" si="9"/>
        <v>0</v>
      </c>
      <c r="J45">
        <f t="shared" si="9"/>
        <v>0</v>
      </c>
      <c r="K45">
        <f t="shared" si="9"/>
        <v>0</v>
      </c>
      <c r="L45">
        <f t="shared" si="9"/>
        <v>0</v>
      </c>
      <c r="M45">
        <f t="shared" si="9"/>
        <v>0</v>
      </c>
      <c r="N45">
        <f t="shared" si="9"/>
        <v>0</v>
      </c>
      <c r="O45">
        <f t="shared" si="9"/>
        <v>0</v>
      </c>
      <c r="P45">
        <f t="shared" si="9"/>
        <v>0</v>
      </c>
      <c r="Q45">
        <f t="shared" si="9"/>
        <v>0</v>
      </c>
      <c r="R45">
        <f t="shared" si="9"/>
        <v>0</v>
      </c>
      <c r="S45">
        <f t="shared" si="9"/>
        <v>0</v>
      </c>
      <c r="T45">
        <f>SUM(H45:S45)</f>
        <v>0</v>
      </c>
    </row>
    <row r="46" spans="1:20" ht="15">
      <c r="A46" s="31" t="s">
        <v>92</v>
      </c>
      <c r="B46" s="1" t="s">
        <v>93</v>
      </c>
      <c r="C46" s="1"/>
      <c r="D46" s="1"/>
      <c r="E46" s="1"/>
      <c r="F46" s="1"/>
      <c r="G46" s="1"/>
      <c r="H46" s="6">
        <f aca="true" t="shared" si="10" ref="H46:S46">(+H40*H43)</f>
        <v>0</v>
      </c>
      <c r="I46" s="6">
        <f t="shared" si="10"/>
        <v>0</v>
      </c>
      <c r="J46" s="6">
        <f t="shared" si="10"/>
        <v>0</v>
      </c>
      <c r="K46" s="6">
        <f t="shared" si="10"/>
        <v>0</v>
      </c>
      <c r="L46" s="6">
        <f t="shared" si="10"/>
        <v>0</v>
      </c>
      <c r="M46" s="6">
        <f t="shared" si="10"/>
        <v>0</v>
      </c>
      <c r="N46" s="6">
        <f t="shared" si="10"/>
        <v>0</v>
      </c>
      <c r="O46" s="6">
        <f t="shared" si="10"/>
        <v>0</v>
      </c>
      <c r="P46" s="6">
        <f t="shared" si="10"/>
        <v>0</v>
      </c>
      <c r="Q46" s="6">
        <f t="shared" si="10"/>
        <v>0</v>
      </c>
      <c r="R46" s="6">
        <f t="shared" si="10"/>
        <v>0</v>
      </c>
      <c r="S46" s="6">
        <f t="shared" si="10"/>
        <v>0</v>
      </c>
      <c r="T46" s="6">
        <f>SUM(H46:S46)</f>
        <v>0</v>
      </c>
    </row>
    <row r="47" spans="1:20" ht="15.75" thickBot="1">
      <c r="A47" s="31" t="s">
        <v>94</v>
      </c>
      <c r="B47" s="1" t="s">
        <v>95</v>
      </c>
      <c r="C47" s="1"/>
      <c r="D47" s="1"/>
      <c r="E47" s="1"/>
      <c r="F47" s="1"/>
      <c r="G47" s="1"/>
      <c r="H47" s="7">
        <f aca="true" t="shared" si="11" ref="H47:S47">H45+H46</f>
        <v>0</v>
      </c>
      <c r="I47" s="7">
        <f t="shared" si="11"/>
        <v>0</v>
      </c>
      <c r="J47" s="7">
        <f t="shared" si="11"/>
        <v>0</v>
      </c>
      <c r="K47" s="7">
        <f t="shared" si="11"/>
        <v>0</v>
      </c>
      <c r="L47" s="7">
        <f t="shared" si="11"/>
        <v>0</v>
      </c>
      <c r="M47" s="7">
        <f t="shared" si="11"/>
        <v>0</v>
      </c>
      <c r="N47" s="7">
        <f t="shared" si="11"/>
        <v>0</v>
      </c>
      <c r="O47" s="7">
        <f t="shared" si="11"/>
        <v>0</v>
      </c>
      <c r="P47" s="7">
        <f t="shared" si="11"/>
        <v>0</v>
      </c>
      <c r="Q47" s="7">
        <f t="shared" si="11"/>
        <v>0</v>
      </c>
      <c r="R47" s="7">
        <f t="shared" si="11"/>
        <v>0</v>
      </c>
      <c r="S47" s="7">
        <f t="shared" si="11"/>
        <v>0</v>
      </c>
      <c r="T47" s="7">
        <f>SUM(T45:T46)</f>
        <v>0</v>
      </c>
    </row>
    <row r="49" ht="15">
      <c r="A49" s="30" t="s">
        <v>31</v>
      </c>
    </row>
    <row r="50" spans="1:2" ht="15">
      <c r="A50" s="30" t="s">
        <v>96</v>
      </c>
      <c r="B50" t="s">
        <v>97</v>
      </c>
    </row>
    <row r="51" spans="1:2" ht="15">
      <c r="A51" s="30" t="s">
        <v>98</v>
      </c>
      <c r="B51" t="s">
        <v>99</v>
      </c>
    </row>
    <row r="52" spans="1:2" ht="15">
      <c r="A52" s="30" t="s">
        <v>100</v>
      </c>
      <c r="B52" t="s">
        <v>101</v>
      </c>
    </row>
  </sheetData>
  <printOptions/>
  <pageMargins left="0.75" right="0.75" top="1" bottom="1" header="0.5" footer="0.5"/>
  <pageSetup fitToHeight="1" fitToWidth="1" horizontalDpi="600" verticalDpi="600" orientation="landscape" scale="42" r:id="rId1"/>
</worksheet>
</file>

<file path=xl/worksheets/sheet29.xml><?xml version="1.0" encoding="utf-8"?>
<worksheet xmlns="http://schemas.openxmlformats.org/spreadsheetml/2006/main" xmlns:r="http://schemas.openxmlformats.org/officeDocument/2006/relationships">
  <sheetPr codeName="Sheet25" transitionEvaluation="1"/>
  <dimension ref="A1:IV1464"/>
  <sheetViews>
    <sheetView defaultGridColor="0" zoomScale="75" zoomScaleNormal="75" colorId="22" workbookViewId="0" topLeftCell="A1">
      <selection activeCell="A7" sqref="A7"/>
    </sheetView>
  </sheetViews>
  <sheetFormatPr defaultColWidth="9.77734375" defaultRowHeight="15"/>
  <cols>
    <col min="1" max="1" width="7.3359375" style="0" customWidth="1"/>
    <col min="2" max="2" width="14.77734375" style="0" bestFit="1" customWidth="1"/>
    <col min="3" max="3" width="10.3359375" style="0" customWidth="1"/>
    <col min="4" max="4" width="9.10546875" style="0" customWidth="1"/>
    <col min="5" max="5" width="13.88671875" style="0" customWidth="1"/>
    <col min="6" max="6" width="3.6640625" style="0" hidden="1" customWidth="1"/>
    <col min="7" max="7" width="9.77734375" style="0" customWidth="1"/>
    <col min="8" max="8" width="11.6640625" style="0" bestFit="1" customWidth="1"/>
    <col min="9" max="9" width="11.88671875" style="0" customWidth="1"/>
    <col min="10" max="10" width="24.10546875" style="0" bestFit="1" customWidth="1"/>
    <col min="11" max="11" width="11.6640625" style="0" bestFit="1" customWidth="1"/>
    <col min="12" max="12" width="1.99609375" style="0" hidden="1" customWidth="1"/>
    <col min="13" max="13" width="9.6640625" style="0" customWidth="1"/>
    <col min="14" max="14" width="11.4453125" style="0" bestFit="1" customWidth="1"/>
    <col min="15" max="15" width="10.3359375" style="0" customWidth="1"/>
    <col min="16" max="16" width="9.6640625" style="0" bestFit="1" customWidth="1"/>
    <col min="17" max="17" width="11.6640625" style="0" bestFit="1" customWidth="1"/>
    <col min="18" max="18" width="2.21484375" style="0" hidden="1" customWidth="1"/>
    <col min="19" max="19" width="11.88671875" style="0" bestFit="1" customWidth="1"/>
    <col min="20" max="20" width="8.77734375" style="0" customWidth="1"/>
    <col min="21" max="21" width="10.3359375" style="0" bestFit="1" customWidth="1"/>
    <col min="22" max="22" width="9.5546875" style="0" customWidth="1"/>
    <col min="23" max="23" width="8.21484375" style="0" customWidth="1"/>
    <col min="24" max="24" width="1.4375" style="0" hidden="1" customWidth="1"/>
    <col min="25" max="25" width="7.6640625" style="0" bestFit="1" customWidth="1"/>
    <col min="26" max="26" width="9.21484375" style="0" bestFit="1" customWidth="1"/>
    <col min="27" max="27" width="8.10546875" style="0" bestFit="1" customWidth="1"/>
    <col min="28" max="28" width="7.5546875" style="0" customWidth="1"/>
    <col min="29" max="29" width="8.6640625" style="0" customWidth="1"/>
  </cols>
  <sheetData>
    <row r="1" spans="1:16" ht="15">
      <c r="A1" s="72" t="s">
        <v>113</v>
      </c>
      <c r="G1" t="s">
        <v>114</v>
      </c>
      <c r="M1" t="s">
        <v>279</v>
      </c>
      <c r="P1" t="str">
        <f>A26</f>
        <v>6/95</v>
      </c>
    </row>
    <row r="2" spans="1:7" ht="15">
      <c r="A2" s="59"/>
      <c r="B2" s="59"/>
      <c r="C2" s="59"/>
      <c r="D2" s="59"/>
      <c r="E2" s="59"/>
      <c r="F2" s="59"/>
      <c r="G2" s="59"/>
    </row>
    <row r="3" spans="1:16" ht="15">
      <c r="A3" s="59"/>
      <c r="B3" s="60" t="s">
        <v>115</v>
      </c>
      <c r="C3" s="60" t="s">
        <v>116</v>
      </c>
      <c r="D3" s="60" t="s">
        <v>116</v>
      </c>
      <c r="E3" s="59"/>
      <c r="F3" s="59"/>
      <c r="G3" s="59"/>
      <c r="H3" s="29" t="s">
        <v>115</v>
      </c>
      <c r="I3" s="29" t="s">
        <v>116</v>
      </c>
      <c r="J3" s="29" t="s">
        <v>116</v>
      </c>
      <c r="N3" s="29" t="s">
        <v>115</v>
      </c>
      <c r="P3" s="29" t="s">
        <v>116</v>
      </c>
    </row>
    <row r="4" spans="1:17" ht="15">
      <c r="A4" s="59"/>
      <c r="B4" s="59"/>
      <c r="C4" s="60" t="s">
        <v>117</v>
      </c>
      <c r="D4" s="60" t="s">
        <v>118</v>
      </c>
      <c r="E4" s="60" t="s">
        <v>119</v>
      </c>
      <c r="F4" s="59"/>
      <c r="G4" s="59"/>
      <c r="I4" s="29" t="s">
        <v>117</v>
      </c>
      <c r="J4" s="29" t="s">
        <v>118</v>
      </c>
      <c r="K4" s="29" t="s">
        <v>119</v>
      </c>
      <c r="P4" s="29" t="s">
        <v>118</v>
      </c>
      <c r="Q4" s="29" t="s">
        <v>119</v>
      </c>
    </row>
    <row r="5" spans="1:7" ht="15">
      <c r="A5" s="59"/>
      <c r="B5" s="59"/>
      <c r="C5" s="59"/>
      <c r="D5" s="59"/>
      <c r="E5" s="59"/>
      <c r="F5" s="59"/>
      <c r="G5" s="59"/>
    </row>
    <row r="6" spans="1:17" ht="15">
      <c r="A6" s="59" t="s">
        <v>120</v>
      </c>
      <c r="B6" s="59">
        <v>2676217</v>
      </c>
      <c r="C6" s="61">
        <f>0.023/12</f>
        <v>0.0019166666666666666</v>
      </c>
      <c r="D6" s="59">
        <f>ROUND((B6*C6)/2,0)</f>
        <v>2565</v>
      </c>
      <c r="E6" s="59">
        <f>D6</f>
        <v>2565</v>
      </c>
      <c r="F6" s="59"/>
      <c r="G6" s="59" t="s">
        <v>120</v>
      </c>
      <c r="H6">
        <v>2341517</v>
      </c>
      <c r="I6" s="28">
        <f>0.026/12</f>
        <v>0.002166666666666667</v>
      </c>
      <c r="J6">
        <f>ROUND((H6*I6)/2,0)</f>
        <v>2537</v>
      </c>
      <c r="K6">
        <f>J6</f>
        <v>2537</v>
      </c>
      <c r="M6" t="s">
        <v>120</v>
      </c>
      <c r="N6">
        <f>B6+H6</f>
        <v>5017734</v>
      </c>
      <c r="O6" s="28"/>
      <c r="P6">
        <f>J6+D6</f>
        <v>5102</v>
      </c>
      <c r="Q6">
        <f>K6+E6</f>
        <v>5102</v>
      </c>
    </row>
    <row r="7" spans="3:15" ht="15">
      <c r="C7" s="28"/>
      <c r="I7" s="28"/>
      <c r="O7" s="28"/>
    </row>
    <row r="8" spans="1:17" ht="15">
      <c r="A8" t="s">
        <v>121</v>
      </c>
      <c r="B8">
        <f aca="true" t="shared" si="0" ref="B8:B19">$B$6</f>
        <v>2676217</v>
      </c>
      <c r="C8" s="28">
        <f aca="true" t="shared" si="1" ref="C8:C19">0.023/12</f>
        <v>0.0019166666666666666</v>
      </c>
      <c r="D8">
        <f aca="true" t="shared" si="2" ref="D8:D19">ROUND((B8*C8),0)</f>
        <v>5129</v>
      </c>
      <c r="E8">
        <f>ROUND(+E6+D8,0)</f>
        <v>7694</v>
      </c>
      <c r="G8" t="s">
        <v>121</v>
      </c>
      <c r="H8">
        <f aca="true" t="shared" si="3" ref="H8:H19">$H$6</f>
        <v>2341517</v>
      </c>
      <c r="I8" s="28">
        <f aca="true" t="shared" si="4" ref="I8:I19">0.026/12</f>
        <v>0.002166666666666667</v>
      </c>
      <c r="J8">
        <f aca="true" t="shared" si="5" ref="J8:J19">ROUND((H8*I8),0)</f>
        <v>5073</v>
      </c>
      <c r="K8">
        <f>ROUND(+K6+J8,0)</f>
        <v>7610</v>
      </c>
      <c r="M8" t="s">
        <v>121</v>
      </c>
      <c r="N8">
        <f aca="true" t="shared" si="6" ref="N8:N19">B8+H8</f>
        <v>5017734</v>
      </c>
      <c r="O8" s="28"/>
      <c r="P8">
        <f aca="true" t="shared" si="7" ref="P8:Q19">J8+D8</f>
        <v>10202</v>
      </c>
      <c r="Q8">
        <f t="shared" si="7"/>
        <v>15304</v>
      </c>
    </row>
    <row r="9" spans="1:17" ht="15">
      <c r="A9" t="s">
        <v>122</v>
      </c>
      <c r="B9">
        <f t="shared" si="0"/>
        <v>2676217</v>
      </c>
      <c r="C9" s="28">
        <f t="shared" si="1"/>
        <v>0.0019166666666666666</v>
      </c>
      <c r="D9">
        <f t="shared" si="2"/>
        <v>5129</v>
      </c>
      <c r="E9">
        <f aca="true" t="shared" si="8" ref="E9:E19">ROUND(+E8+D9,0)</f>
        <v>12823</v>
      </c>
      <c r="G9" t="s">
        <v>122</v>
      </c>
      <c r="H9">
        <f t="shared" si="3"/>
        <v>2341517</v>
      </c>
      <c r="I9" s="28">
        <f t="shared" si="4"/>
        <v>0.002166666666666667</v>
      </c>
      <c r="J9">
        <f t="shared" si="5"/>
        <v>5073</v>
      </c>
      <c r="K9">
        <f aca="true" t="shared" si="9" ref="K9:K19">ROUND(+K8+J9,0)</f>
        <v>12683</v>
      </c>
      <c r="M9" t="s">
        <v>122</v>
      </c>
      <c r="N9">
        <f t="shared" si="6"/>
        <v>5017734</v>
      </c>
      <c r="O9" s="28"/>
      <c r="P9">
        <f t="shared" si="7"/>
        <v>10202</v>
      </c>
      <c r="Q9">
        <f t="shared" si="7"/>
        <v>25506</v>
      </c>
    </row>
    <row r="10" spans="1:17" ht="15">
      <c r="A10" t="s">
        <v>123</v>
      </c>
      <c r="B10">
        <f t="shared" si="0"/>
        <v>2676217</v>
      </c>
      <c r="C10" s="28">
        <f t="shared" si="1"/>
        <v>0.0019166666666666666</v>
      </c>
      <c r="D10">
        <f t="shared" si="2"/>
        <v>5129</v>
      </c>
      <c r="E10">
        <f t="shared" si="8"/>
        <v>17952</v>
      </c>
      <c r="G10" t="s">
        <v>123</v>
      </c>
      <c r="H10">
        <f t="shared" si="3"/>
        <v>2341517</v>
      </c>
      <c r="I10" s="28">
        <f t="shared" si="4"/>
        <v>0.002166666666666667</v>
      </c>
      <c r="J10">
        <f t="shared" si="5"/>
        <v>5073</v>
      </c>
      <c r="K10">
        <f t="shared" si="9"/>
        <v>17756</v>
      </c>
      <c r="M10" t="s">
        <v>123</v>
      </c>
      <c r="N10">
        <f t="shared" si="6"/>
        <v>5017734</v>
      </c>
      <c r="O10" s="28"/>
      <c r="P10">
        <f t="shared" si="7"/>
        <v>10202</v>
      </c>
      <c r="Q10">
        <f t="shared" si="7"/>
        <v>35708</v>
      </c>
    </row>
    <row r="11" spans="1:17" ht="15">
      <c r="A11" t="s">
        <v>124</v>
      </c>
      <c r="B11">
        <f t="shared" si="0"/>
        <v>2676217</v>
      </c>
      <c r="C11" s="28">
        <f t="shared" si="1"/>
        <v>0.0019166666666666666</v>
      </c>
      <c r="D11">
        <f t="shared" si="2"/>
        <v>5129</v>
      </c>
      <c r="E11">
        <f t="shared" si="8"/>
        <v>23081</v>
      </c>
      <c r="G11" t="s">
        <v>124</v>
      </c>
      <c r="H11">
        <f t="shared" si="3"/>
        <v>2341517</v>
      </c>
      <c r="I11" s="28">
        <f t="shared" si="4"/>
        <v>0.002166666666666667</v>
      </c>
      <c r="J11">
        <f t="shared" si="5"/>
        <v>5073</v>
      </c>
      <c r="K11">
        <f t="shared" si="9"/>
        <v>22829</v>
      </c>
      <c r="M11" t="s">
        <v>124</v>
      </c>
      <c r="N11">
        <f t="shared" si="6"/>
        <v>5017734</v>
      </c>
      <c r="O11" s="28"/>
      <c r="P11">
        <f t="shared" si="7"/>
        <v>10202</v>
      </c>
      <c r="Q11">
        <f t="shared" si="7"/>
        <v>45910</v>
      </c>
    </row>
    <row r="12" spans="1:17" ht="15">
      <c r="A12" t="s">
        <v>125</v>
      </c>
      <c r="B12">
        <f t="shared" si="0"/>
        <v>2676217</v>
      </c>
      <c r="C12" s="28">
        <f t="shared" si="1"/>
        <v>0.0019166666666666666</v>
      </c>
      <c r="D12">
        <f t="shared" si="2"/>
        <v>5129</v>
      </c>
      <c r="E12">
        <f t="shared" si="8"/>
        <v>28210</v>
      </c>
      <c r="G12" t="s">
        <v>125</v>
      </c>
      <c r="H12">
        <f t="shared" si="3"/>
        <v>2341517</v>
      </c>
      <c r="I12" s="28">
        <f t="shared" si="4"/>
        <v>0.002166666666666667</v>
      </c>
      <c r="J12">
        <f t="shared" si="5"/>
        <v>5073</v>
      </c>
      <c r="K12">
        <f t="shared" si="9"/>
        <v>27902</v>
      </c>
      <c r="M12" t="s">
        <v>125</v>
      </c>
      <c r="N12">
        <f t="shared" si="6"/>
        <v>5017734</v>
      </c>
      <c r="O12" s="28"/>
      <c r="P12">
        <f t="shared" si="7"/>
        <v>10202</v>
      </c>
      <c r="Q12">
        <f t="shared" si="7"/>
        <v>56112</v>
      </c>
    </row>
    <row r="13" spans="1:17" ht="15">
      <c r="A13" t="s">
        <v>126</v>
      </c>
      <c r="B13">
        <f t="shared" si="0"/>
        <v>2676217</v>
      </c>
      <c r="C13" s="28">
        <f t="shared" si="1"/>
        <v>0.0019166666666666666</v>
      </c>
      <c r="D13">
        <f t="shared" si="2"/>
        <v>5129</v>
      </c>
      <c r="E13">
        <f t="shared" si="8"/>
        <v>33339</v>
      </c>
      <c r="G13" t="s">
        <v>126</v>
      </c>
      <c r="H13">
        <f t="shared" si="3"/>
        <v>2341517</v>
      </c>
      <c r="I13" s="28">
        <f t="shared" si="4"/>
        <v>0.002166666666666667</v>
      </c>
      <c r="J13">
        <f t="shared" si="5"/>
        <v>5073</v>
      </c>
      <c r="K13">
        <f t="shared" si="9"/>
        <v>32975</v>
      </c>
      <c r="M13" t="s">
        <v>126</v>
      </c>
      <c r="N13">
        <f t="shared" si="6"/>
        <v>5017734</v>
      </c>
      <c r="O13" s="28"/>
      <c r="P13">
        <f t="shared" si="7"/>
        <v>10202</v>
      </c>
      <c r="Q13">
        <f t="shared" si="7"/>
        <v>66314</v>
      </c>
    </row>
    <row r="14" spans="1:17" ht="15">
      <c r="A14" t="s">
        <v>127</v>
      </c>
      <c r="B14">
        <f t="shared" si="0"/>
        <v>2676217</v>
      </c>
      <c r="C14" s="28">
        <f t="shared" si="1"/>
        <v>0.0019166666666666666</v>
      </c>
      <c r="D14">
        <f t="shared" si="2"/>
        <v>5129</v>
      </c>
      <c r="E14">
        <f t="shared" si="8"/>
        <v>38468</v>
      </c>
      <c r="G14" t="s">
        <v>127</v>
      </c>
      <c r="H14">
        <f t="shared" si="3"/>
        <v>2341517</v>
      </c>
      <c r="I14" s="28">
        <f t="shared" si="4"/>
        <v>0.002166666666666667</v>
      </c>
      <c r="J14">
        <f t="shared" si="5"/>
        <v>5073</v>
      </c>
      <c r="K14">
        <f t="shared" si="9"/>
        <v>38048</v>
      </c>
      <c r="M14" t="s">
        <v>127</v>
      </c>
      <c r="N14">
        <f t="shared" si="6"/>
        <v>5017734</v>
      </c>
      <c r="O14" s="28"/>
      <c r="P14">
        <f t="shared" si="7"/>
        <v>10202</v>
      </c>
      <c r="Q14">
        <f t="shared" si="7"/>
        <v>76516</v>
      </c>
    </row>
    <row r="15" spans="1:17" ht="15">
      <c r="A15" t="s">
        <v>128</v>
      </c>
      <c r="B15">
        <f t="shared" si="0"/>
        <v>2676217</v>
      </c>
      <c r="C15" s="28">
        <f t="shared" si="1"/>
        <v>0.0019166666666666666</v>
      </c>
      <c r="D15">
        <f t="shared" si="2"/>
        <v>5129</v>
      </c>
      <c r="E15">
        <f t="shared" si="8"/>
        <v>43597</v>
      </c>
      <c r="G15" t="s">
        <v>128</v>
      </c>
      <c r="H15">
        <f t="shared" si="3"/>
        <v>2341517</v>
      </c>
      <c r="I15" s="28">
        <f t="shared" si="4"/>
        <v>0.002166666666666667</v>
      </c>
      <c r="J15">
        <f t="shared" si="5"/>
        <v>5073</v>
      </c>
      <c r="K15">
        <f t="shared" si="9"/>
        <v>43121</v>
      </c>
      <c r="M15" t="s">
        <v>128</v>
      </c>
      <c r="N15">
        <f t="shared" si="6"/>
        <v>5017734</v>
      </c>
      <c r="O15" s="28"/>
      <c r="P15">
        <f t="shared" si="7"/>
        <v>10202</v>
      </c>
      <c r="Q15">
        <f t="shared" si="7"/>
        <v>86718</v>
      </c>
    </row>
    <row r="16" spans="1:17" ht="15">
      <c r="A16" t="s">
        <v>129</v>
      </c>
      <c r="B16">
        <f t="shared" si="0"/>
        <v>2676217</v>
      </c>
      <c r="C16" s="28">
        <f t="shared" si="1"/>
        <v>0.0019166666666666666</v>
      </c>
      <c r="D16">
        <f t="shared" si="2"/>
        <v>5129</v>
      </c>
      <c r="E16">
        <f t="shared" si="8"/>
        <v>48726</v>
      </c>
      <c r="G16" t="s">
        <v>129</v>
      </c>
      <c r="H16">
        <f t="shared" si="3"/>
        <v>2341517</v>
      </c>
      <c r="I16" s="28">
        <f t="shared" si="4"/>
        <v>0.002166666666666667</v>
      </c>
      <c r="J16">
        <f t="shared" si="5"/>
        <v>5073</v>
      </c>
      <c r="K16">
        <f t="shared" si="9"/>
        <v>48194</v>
      </c>
      <c r="M16" t="s">
        <v>129</v>
      </c>
      <c r="N16">
        <f t="shared" si="6"/>
        <v>5017734</v>
      </c>
      <c r="O16" s="28"/>
      <c r="P16">
        <f t="shared" si="7"/>
        <v>10202</v>
      </c>
      <c r="Q16">
        <f t="shared" si="7"/>
        <v>96920</v>
      </c>
    </row>
    <row r="17" spans="1:17" ht="15">
      <c r="A17" t="s">
        <v>130</v>
      </c>
      <c r="B17">
        <f t="shared" si="0"/>
        <v>2676217</v>
      </c>
      <c r="C17" s="28">
        <f t="shared" si="1"/>
        <v>0.0019166666666666666</v>
      </c>
      <c r="D17">
        <f t="shared" si="2"/>
        <v>5129</v>
      </c>
      <c r="E17">
        <f t="shared" si="8"/>
        <v>53855</v>
      </c>
      <c r="G17" t="s">
        <v>130</v>
      </c>
      <c r="H17">
        <f t="shared" si="3"/>
        <v>2341517</v>
      </c>
      <c r="I17" s="28">
        <f t="shared" si="4"/>
        <v>0.002166666666666667</v>
      </c>
      <c r="J17">
        <f t="shared" si="5"/>
        <v>5073</v>
      </c>
      <c r="K17">
        <f t="shared" si="9"/>
        <v>53267</v>
      </c>
      <c r="M17" t="s">
        <v>130</v>
      </c>
      <c r="N17">
        <f t="shared" si="6"/>
        <v>5017734</v>
      </c>
      <c r="O17" s="28"/>
      <c r="P17">
        <f t="shared" si="7"/>
        <v>10202</v>
      </c>
      <c r="Q17">
        <f t="shared" si="7"/>
        <v>107122</v>
      </c>
    </row>
    <row r="18" spans="1:17" ht="15">
      <c r="A18" t="s">
        <v>131</v>
      </c>
      <c r="B18">
        <f t="shared" si="0"/>
        <v>2676217</v>
      </c>
      <c r="C18" s="28">
        <f t="shared" si="1"/>
        <v>0.0019166666666666666</v>
      </c>
      <c r="D18">
        <f t="shared" si="2"/>
        <v>5129</v>
      </c>
      <c r="E18">
        <f t="shared" si="8"/>
        <v>58984</v>
      </c>
      <c r="G18" t="s">
        <v>131</v>
      </c>
      <c r="H18">
        <f t="shared" si="3"/>
        <v>2341517</v>
      </c>
      <c r="I18" s="28">
        <f t="shared" si="4"/>
        <v>0.002166666666666667</v>
      </c>
      <c r="J18">
        <f t="shared" si="5"/>
        <v>5073</v>
      </c>
      <c r="K18">
        <f t="shared" si="9"/>
        <v>58340</v>
      </c>
      <c r="M18" t="s">
        <v>131</v>
      </c>
      <c r="N18">
        <f t="shared" si="6"/>
        <v>5017734</v>
      </c>
      <c r="O18" s="28"/>
      <c r="P18">
        <f t="shared" si="7"/>
        <v>10202</v>
      </c>
      <c r="Q18">
        <f t="shared" si="7"/>
        <v>117324</v>
      </c>
    </row>
    <row r="19" spans="1:17" ht="15">
      <c r="A19" t="s">
        <v>132</v>
      </c>
      <c r="B19">
        <f t="shared" si="0"/>
        <v>2676217</v>
      </c>
      <c r="C19" s="28">
        <f t="shared" si="1"/>
        <v>0.0019166666666666666</v>
      </c>
      <c r="D19">
        <f t="shared" si="2"/>
        <v>5129</v>
      </c>
      <c r="E19">
        <f t="shared" si="8"/>
        <v>64113</v>
      </c>
      <c r="G19" t="s">
        <v>132</v>
      </c>
      <c r="H19">
        <f t="shared" si="3"/>
        <v>2341517</v>
      </c>
      <c r="I19" s="28">
        <f t="shared" si="4"/>
        <v>0.002166666666666667</v>
      </c>
      <c r="J19">
        <f t="shared" si="5"/>
        <v>5073</v>
      </c>
      <c r="K19">
        <f t="shared" si="9"/>
        <v>63413</v>
      </c>
      <c r="M19" t="s">
        <v>132</v>
      </c>
      <c r="N19">
        <f t="shared" si="6"/>
        <v>5017734</v>
      </c>
      <c r="O19" s="28"/>
      <c r="P19">
        <f t="shared" si="7"/>
        <v>10202</v>
      </c>
      <c r="Q19">
        <f t="shared" si="7"/>
        <v>127526</v>
      </c>
    </row>
    <row r="20" spans="9:15" ht="15">
      <c r="I20" s="28"/>
      <c r="O20" s="28"/>
    </row>
    <row r="21" spans="1:17" ht="15">
      <c r="A21" t="s">
        <v>133</v>
      </c>
      <c r="B21">
        <f aca="true" t="shared" si="10" ref="B21:B32">$B$6</f>
        <v>2676217</v>
      </c>
      <c r="C21" s="28">
        <f aca="true" t="shared" si="11" ref="C21:C32">0.023/12</f>
        <v>0.0019166666666666666</v>
      </c>
      <c r="D21">
        <f aca="true" t="shared" si="12" ref="D21:D32">ROUND((B21*C21),0)</f>
        <v>5129</v>
      </c>
      <c r="E21">
        <f>ROUND(+E19+D21,0)</f>
        <v>69242</v>
      </c>
      <c r="G21" t="s">
        <v>133</v>
      </c>
      <c r="H21">
        <f aca="true" t="shared" si="13" ref="H21:H32">$H$6</f>
        <v>2341517</v>
      </c>
      <c r="I21" s="28">
        <f aca="true" t="shared" si="14" ref="I21:I32">0.026/12</f>
        <v>0.002166666666666667</v>
      </c>
      <c r="J21">
        <f aca="true" t="shared" si="15" ref="J21:J32">ROUND((H21*I21),0)</f>
        <v>5073</v>
      </c>
      <c r="K21">
        <f>ROUND(+K19+J21,0)</f>
        <v>68486</v>
      </c>
      <c r="M21" t="s">
        <v>133</v>
      </c>
      <c r="N21">
        <f aca="true" t="shared" si="16" ref="N21:N32">B21+H21</f>
        <v>5017734</v>
      </c>
      <c r="O21" s="28"/>
      <c r="P21">
        <f aca="true" t="shared" si="17" ref="P21:Q32">J21+D21</f>
        <v>10202</v>
      </c>
      <c r="Q21">
        <f t="shared" si="17"/>
        <v>137728</v>
      </c>
    </row>
    <row r="22" spans="1:17" ht="15">
      <c r="A22" t="s">
        <v>134</v>
      </c>
      <c r="B22">
        <f t="shared" si="10"/>
        <v>2676217</v>
      </c>
      <c r="C22" s="28">
        <f t="shared" si="11"/>
        <v>0.0019166666666666666</v>
      </c>
      <c r="D22">
        <f t="shared" si="12"/>
        <v>5129</v>
      </c>
      <c r="E22">
        <f aca="true" t="shared" si="18" ref="E22:E32">ROUND(+E21+D22,0)</f>
        <v>74371</v>
      </c>
      <c r="G22" t="s">
        <v>134</v>
      </c>
      <c r="H22">
        <f t="shared" si="13"/>
        <v>2341517</v>
      </c>
      <c r="I22" s="28">
        <f t="shared" si="14"/>
        <v>0.002166666666666667</v>
      </c>
      <c r="J22">
        <f t="shared" si="15"/>
        <v>5073</v>
      </c>
      <c r="K22">
        <f aca="true" t="shared" si="19" ref="K22:K32">ROUND(+K21+J22,0)</f>
        <v>73559</v>
      </c>
      <c r="M22" t="s">
        <v>134</v>
      </c>
      <c r="N22">
        <f t="shared" si="16"/>
        <v>5017734</v>
      </c>
      <c r="O22" s="28"/>
      <c r="P22">
        <f t="shared" si="17"/>
        <v>10202</v>
      </c>
      <c r="Q22">
        <f t="shared" si="17"/>
        <v>147930</v>
      </c>
    </row>
    <row r="23" spans="1:17" ht="15">
      <c r="A23" t="s">
        <v>135</v>
      </c>
      <c r="B23">
        <f t="shared" si="10"/>
        <v>2676217</v>
      </c>
      <c r="C23" s="28">
        <f t="shared" si="11"/>
        <v>0.0019166666666666666</v>
      </c>
      <c r="D23">
        <f t="shared" si="12"/>
        <v>5129</v>
      </c>
      <c r="E23">
        <f t="shared" si="18"/>
        <v>79500</v>
      </c>
      <c r="G23" t="s">
        <v>135</v>
      </c>
      <c r="H23">
        <f t="shared" si="13"/>
        <v>2341517</v>
      </c>
      <c r="I23" s="28">
        <f t="shared" si="14"/>
        <v>0.002166666666666667</v>
      </c>
      <c r="J23">
        <f t="shared" si="15"/>
        <v>5073</v>
      </c>
      <c r="K23">
        <f t="shared" si="19"/>
        <v>78632</v>
      </c>
      <c r="M23" t="s">
        <v>135</v>
      </c>
      <c r="N23">
        <f t="shared" si="16"/>
        <v>5017734</v>
      </c>
      <c r="O23" s="28"/>
      <c r="P23">
        <f t="shared" si="17"/>
        <v>10202</v>
      </c>
      <c r="Q23">
        <f t="shared" si="17"/>
        <v>158132</v>
      </c>
    </row>
    <row r="24" spans="1:17" ht="15">
      <c r="A24" t="s">
        <v>136</v>
      </c>
      <c r="B24">
        <f t="shared" si="10"/>
        <v>2676217</v>
      </c>
      <c r="C24" s="28">
        <f t="shared" si="11"/>
        <v>0.0019166666666666666</v>
      </c>
      <c r="D24">
        <f t="shared" si="12"/>
        <v>5129</v>
      </c>
      <c r="E24">
        <f t="shared" si="18"/>
        <v>84629</v>
      </c>
      <c r="G24" t="s">
        <v>136</v>
      </c>
      <c r="H24">
        <f t="shared" si="13"/>
        <v>2341517</v>
      </c>
      <c r="I24" s="28">
        <f t="shared" si="14"/>
        <v>0.002166666666666667</v>
      </c>
      <c r="J24">
        <f t="shared" si="15"/>
        <v>5073</v>
      </c>
      <c r="K24">
        <f t="shared" si="19"/>
        <v>83705</v>
      </c>
      <c r="M24" t="s">
        <v>136</v>
      </c>
      <c r="N24">
        <f t="shared" si="16"/>
        <v>5017734</v>
      </c>
      <c r="O24" s="28"/>
      <c r="P24">
        <f t="shared" si="17"/>
        <v>10202</v>
      </c>
      <c r="Q24">
        <f t="shared" si="17"/>
        <v>168334</v>
      </c>
    </row>
    <row r="25" spans="1:17" ht="15">
      <c r="A25" t="s">
        <v>137</v>
      </c>
      <c r="B25">
        <f t="shared" si="10"/>
        <v>2676217</v>
      </c>
      <c r="C25" s="28">
        <f t="shared" si="11"/>
        <v>0.0019166666666666666</v>
      </c>
      <c r="D25">
        <f t="shared" si="12"/>
        <v>5129</v>
      </c>
      <c r="E25">
        <f t="shared" si="18"/>
        <v>89758</v>
      </c>
      <c r="G25" t="s">
        <v>137</v>
      </c>
      <c r="H25">
        <f t="shared" si="13"/>
        <v>2341517</v>
      </c>
      <c r="I25" s="28">
        <f t="shared" si="14"/>
        <v>0.002166666666666667</v>
      </c>
      <c r="J25">
        <f t="shared" si="15"/>
        <v>5073</v>
      </c>
      <c r="K25">
        <f t="shared" si="19"/>
        <v>88778</v>
      </c>
      <c r="M25" t="s">
        <v>137</v>
      </c>
      <c r="N25">
        <f t="shared" si="16"/>
        <v>5017734</v>
      </c>
      <c r="O25" s="28"/>
      <c r="P25">
        <f t="shared" si="17"/>
        <v>10202</v>
      </c>
      <c r="Q25">
        <f t="shared" si="17"/>
        <v>178536</v>
      </c>
    </row>
    <row r="26" spans="1:17" ht="15">
      <c r="A26" t="s">
        <v>138</v>
      </c>
      <c r="B26">
        <f t="shared" si="10"/>
        <v>2676217</v>
      </c>
      <c r="C26" s="28">
        <f t="shared" si="11"/>
        <v>0.0019166666666666666</v>
      </c>
      <c r="D26">
        <f t="shared" si="12"/>
        <v>5129</v>
      </c>
      <c r="E26">
        <f t="shared" si="18"/>
        <v>94887</v>
      </c>
      <c r="G26" t="s">
        <v>138</v>
      </c>
      <c r="H26">
        <f t="shared" si="13"/>
        <v>2341517</v>
      </c>
      <c r="I26" s="28">
        <f t="shared" si="14"/>
        <v>0.002166666666666667</v>
      </c>
      <c r="J26">
        <f t="shared" si="15"/>
        <v>5073</v>
      </c>
      <c r="K26">
        <f t="shared" si="19"/>
        <v>93851</v>
      </c>
      <c r="M26" t="s">
        <v>138</v>
      </c>
      <c r="N26">
        <f t="shared" si="16"/>
        <v>5017734</v>
      </c>
      <c r="O26" s="28"/>
      <c r="P26">
        <f t="shared" si="17"/>
        <v>10202</v>
      </c>
      <c r="Q26">
        <f t="shared" si="17"/>
        <v>188738</v>
      </c>
    </row>
    <row r="27" spans="1:17" ht="15">
      <c r="A27" t="s">
        <v>139</v>
      </c>
      <c r="B27">
        <f t="shared" si="10"/>
        <v>2676217</v>
      </c>
      <c r="C27" s="28">
        <f t="shared" si="11"/>
        <v>0.0019166666666666666</v>
      </c>
      <c r="D27">
        <f t="shared" si="12"/>
        <v>5129</v>
      </c>
      <c r="E27">
        <f t="shared" si="18"/>
        <v>100016</v>
      </c>
      <c r="G27" t="s">
        <v>139</v>
      </c>
      <c r="H27">
        <f t="shared" si="13"/>
        <v>2341517</v>
      </c>
      <c r="I27" s="28">
        <f t="shared" si="14"/>
        <v>0.002166666666666667</v>
      </c>
      <c r="J27">
        <f t="shared" si="15"/>
        <v>5073</v>
      </c>
      <c r="K27">
        <f t="shared" si="19"/>
        <v>98924</v>
      </c>
      <c r="M27" t="s">
        <v>139</v>
      </c>
      <c r="N27">
        <f t="shared" si="16"/>
        <v>5017734</v>
      </c>
      <c r="O27" s="28"/>
      <c r="P27">
        <f t="shared" si="17"/>
        <v>10202</v>
      </c>
      <c r="Q27">
        <f t="shared" si="17"/>
        <v>198940</v>
      </c>
    </row>
    <row r="28" spans="1:17" ht="15">
      <c r="A28" t="s">
        <v>140</v>
      </c>
      <c r="B28">
        <f t="shared" si="10"/>
        <v>2676217</v>
      </c>
      <c r="C28" s="28">
        <f t="shared" si="11"/>
        <v>0.0019166666666666666</v>
      </c>
      <c r="D28">
        <f t="shared" si="12"/>
        <v>5129</v>
      </c>
      <c r="E28">
        <f t="shared" si="18"/>
        <v>105145</v>
      </c>
      <c r="G28" t="s">
        <v>140</v>
      </c>
      <c r="H28">
        <f t="shared" si="13"/>
        <v>2341517</v>
      </c>
      <c r="I28" s="28">
        <f t="shared" si="14"/>
        <v>0.002166666666666667</v>
      </c>
      <c r="J28">
        <f t="shared" si="15"/>
        <v>5073</v>
      </c>
      <c r="K28">
        <f t="shared" si="19"/>
        <v>103997</v>
      </c>
      <c r="M28" t="s">
        <v>140</v>
      </c>
      <c r="N28">
        <f t="shared" si="16"/>
        <v>5017734</v>
      </c>
      <c r="O28" s="28"/>
      <c r="P28">
        <f t="shared" si="17"/>
        <v>10202</v>
      </c>
      <c r="Q28">
        <f t="shared" si="17"/>
        <v>209142</v>
      </c>
    </row>
    <row r="29" spans="1:17" ht="15">
      <c r="A29" t="s">
        <v>141</v>
      </c>
      <c r="B29">
        <f t="shared" si="10"/>
        <v>2676217</v>
      </c>
      <c r="C29" s="28">
        <f t="shared" si="11"/>
        <v>0.0019166666666666666</v>
      </c>
      <c r="D29">
        <f t="shared" si="12"/>
        <v>5129</v>
      </c>
      <c r="E29">
        <f t="shared" si="18"/>
        <v>110274</v>
      </c>
      <c r="G29" t="s">
        <v>141</v>
      </c>
      <c r="H29">
        <f t="shared" si="13"/>
        <v>2341517</v>
      </c>
      <c r="I29" s="28">
        <f t="shared" si="14"/>
        <v>0.002166666666666667</v>
      </c>
      <c r="J29">
        <f t="shared" si="15"/>
        <v>5073</v>
      </c>
      <c r="K29">
        <f t="shared" si="19"/>
        <v>109070</v>
      </c>
      <c r="M29" t="s">
        <v>141</v>
      </c>
      <c r="N29">
        <f t="shared" si="16"/>
        <v>5017734</v>
      </c>
      <c r="O29" s="28"/>
      <c r="P29">
        <f t="shared" si="17"/>
        <v>10202</v>
      </c>
      <c r="Q29">
        <f t="shared" si="17"/>
        <v>219344</v>
      </c>
    </row>
    <row r="30" spans="1:17" ht="15">
      <c r="A30" t="s">
        <v>142</v>
      </c>
      <c r="B30">
        <f t="shared" si="10"/>
        <v>2676217</v>
      </c>
      <c r="C30" s="28">
        <f t="shared" si="11"/>
        <v>0.0019166666666666666</v>
      </c>
      <c r="D30">
        <f t="shared" si="12"/>
        <v>5129</v>
      </c>
      <c r="E30">
        <f t="shared" si="18"/>
        <v>115403</v>
      </c>
      <c r="G30" t="s">
        <v>142</v>
      </c>
      <c r="H30">
        <f t="shared" si="13"/>
        <v>2341517</v>
      </c>
      <c r="I30" s="28">
        <f t="shared" si="14"/>
        <v>0.002166666666666667</v>
      </c>
      <c r="J30">
        <f t="shared" si="15"/>
        <v>5073</v>
      </c>
      <c r="K30">
        <f t="shared" si="19"/>
        <v>114143</v>
      </c>
      <c r="M30" t="s">
        <v>142</v>
      </c>
      <c r="N30">
        <f t="shared" si="16"/>
        <v>5017734</v>
      </c>
      <c r="O30" s="28"/>
      <c r="P30">
        <f t="shared" si="17"/>
        <v>10202</v>
      </c>
      <c r="Q30">
        <f t="shared" si="17"/>
        <v>229546</v>
      </c>
    </row>
    <row r="31" spans="1:17" ht="15">
      <c r="A31" t="s">
        <v>143</v>
      </c>
      <c r="B31">
        <f t="shared" si="10"/>
        <v>2676217</v>
      </c>
      <c r="C31" s="28">
        <f t="shared" si="11"/>
        <v>0.0019166666666666666</v>
      </c>
      <c r="D31">
        <f t="shared" si="12"/>
        <v>5129</v>
      </c>
      <c r="E31">
        <f t="shared" si="18"/>
        <v>120532</v>
      </c>
      <c r="G31" t="s">
        <v>143</v>
      </c>
      <c r="H31">
        <f t="shared" si="13"/>
        <v>2341517</v>
      </c>
      <c r="I31" s="28">
        <f t="shared" si="14"/>
        <v>0.002166666666666667</v>
      </c>
      <c r="J31">
        <f t="shared" si="15"/>
        <v>5073</v>
      </c>
      <c r="K31">
        <f t="shared" si="19"/>
        <v>119216</v>
      </c>
      <c r="M31" t="s">
        <v>143</v>
      </c>
      <c r="N31">
        <f t="shared" si="16"/>
        <v>5017734</v>
      </c>
      <c r="O31" s="28"/>
      <c r="P31">
        <f t="shared" si="17"/>
        <v>10202</v>
      </c>
      <c r="Q31">
        <f t="shared" si="17"/>
        <v>239748</v>
      </c>
    </row>
    <row r="32" spans="1:17" ht="15">
      <c r="A32" t="s">
        <v>144</v>
      </c>
      <c r="B32">
        <f t="shared" si="10"/>
        <v>2676217</v>
      </c>
      <c r="C32" s="28">
        <f t="shared" si="11"/>
        <v>0.0019166666666666666</v>
      </c>
      <c r="D32">
        <f t="shared" si="12"/>
        <v>5129</v>
      </c>
      <c r="E32">
        <f t="shared" si="18"/>
        <v>125661</v>
      </c>
      <c r="G32" t="s">
        <v>144</v>
      </c>
      <c r="H32">
        <f t="shared" si="13"/>
        <v>2341517</v>
      </c>
      <c r="I32" s="28">
        <f t="shared" si="14"/>
        <v>0.002166666666666667</v>
      </c>
      <c r="J32">
        <f t="shared" si="15"/>
        <v>5073</v>
      </c>
      <c r="K32">
        <f t="shared" si="19"/>
        <v>124289</v>
      </c>
      <c r="M32" t="s">
        <v>144</v>
      </c>
      <c r="N32">
        <f t="shared" si="16"/>
        <v>5017734</v>
      </c>
      <c r="O32" s="28"/>
      <c r="P32">
        <f t="shared" si="17"/>
        <v>10202</v>
      </c>
      <c r="Q32">
        <f t="shared" si="17"/>
        <v>249950</v>
      </c>
    </row>
    <row r="33" ht="15">
      <c r="O33" s="28"/>
    </row>
    <row r="34" spans="1:17" ht="15">
      <c r="A34" t="s">
        <v>145</v>
      </c>
      <c r="B34">
        <f aca="true" t="shared" si="20" ref="B34:B45">$B$6</f>
        <v>2676217</v>
      </c>
      <c r="C34" s="28">
        <f aca="true" t="shared" si="21" ref="C34:C45">0.033/12</f>
        <v>0.0027500000000000003</v>
      </c>
      <c r="D34">
        <f aca="true" t="shared" si="22" ref="D34:D45">ROUND((B34*C34),0)</f>
        <v>7360</v>
      </c>
      <c r="E34">
        <f>ROUND(+E32+D34,0)</f>
        <v>133021</v>
      </c>
      <c r="G34" t="s">
        <v>145</v>
      </c>
      <c r="H34">
        <f aca="true" t="shared" si="23" ref="H34:H45">$H$6</f>
        <v>2341517</v>
      </c>
      <c r="I34" s="28">
        <f aca="true" t="shared" si="24" ref="I34:I45">0.032/12</f>
        <v>0.0026666666666666666</v>
      </c>
      <c r="J34">
        <f aca="true" t="shared" si="25" ref="J34:J45">ROUND((H34*I34),0)</f>
        <v>6244</v>
      </c>
      <c r="K34">
        <f>ROUND(+K32+J34,0)</f>
        <v>130533</v>
      </c>
      <c r="M34" t="s">
        <v>145</v>
      </c>
      <c r="N34">
        <f aca="true" t="shared" si="26" ref="N34:N45">B34+H34</f>
        <v>5017734</v>
      </c>
      <c r="O34" s="28"/>
      <c r="P34">
        <f aca="true" t="shared" si="27" ref="P34:Q45">J34+D34</f>
        <v>13604</v>
      </c>
      <c r="Q34">
        <f t="shared" si="27"/>
        <v>263554</v>
      </c>
    </row>
    <row r="35" spans="1:17" ht="15">
      <c r="A35" t="s">
        <v>146</v>
      </c>
      <c r="B35">
        <f t="shared" si="20"/>
        <v>2676217</v>
      </c>
      <c r="C35" s="28">
        <f t="shared" si="21"/>
        <v>0.0027500000000000003</v>
      </c>
      <c r="D35">
        <f t="shared" si="22"/>
        <v>7360</v>
      </c>
      <c r="E35">
        <f aca="true" t="shared" si="28" ref="E35:E45">ROUND(+E34+D35,0)</f>
        <v>140381</v>
      </c>
      <c r="G35" t="s">
        <v>146</v>
      </c>
      <c r="H35">
        <f t="shared" si="23"/>
        <v>2341517</v>
      </c>
      <c r="I35" s="28">
        <f t="shared" si="24"/>
        <v>0.0026666666666666666</v>
      </c>
      <c r="J35">
        <f t="shared" si="25"/>
        <v>6244</v>
      </c>
      <c r="K35">
        <f aca="true" t="shared" si="29" ref="K35:K45">ROUND(+K34+J35,0)</f>
        <v>136777</v>
      </c>
      <c r="M35" t="s">
        <v>146</v>
      </c>
      <c r="N35">
        <f t="shared" si="26"/>
        <v>5017734</v>
      </c>
      <c r="O35" s="28"/>
      <c r="P35">
        <f t="shared" si="27"/>
        <v>13604</v>
      </c>
      <c r="Q35">
        <f t="shared" si="27"/>
        <v>277158</v>
      </c>
    </row>
    <row r="36" spans="1:17" ht="15">
      <c r="A36" t="s">
        <v>147</v>
      </c>
      <c r="B36">
        <f t="shared" si="20"/>
        <v>2676217</v>
      </c>
      <c r="C36" s="28">
        <f t="shared" si="21"/>
        <v>0.0027500000000000003</v>
      </c>
      <c r="D36">
        <f t="shared" si="22"/>
        <v>7360</v>
      </c>
      <c r="E36">
        <f t="shared" si="28"/>
        <v>147741</v>
      </c>
      <c r="G36" t="s">
        <v>147</v>
      </c>
      <c r="H36">
        <f t="shared" si="23"/>
        <v>2341517</v>
      </c>
      <c r="I36" s="28">
        <f t="shared" si="24"/>
        <v>0.0026666666666666666</v>
      </c>
      <c r="J36">
        <f t="shared" si="25"/>
        <v>6244</v>
      </c>
      <c r="K36">
        <f t="shared" si="29"/>
        <v>143021</v>
      </c>
      <c r="M36" t="s">
        <v>147</v>
      </c>
      <c r="N36">
        <f t="shared" si="26"/>
        <v>5017734</v>
      </c>
      <c r="O36" s="28"/>
      <c r="P36">
        <f t="shared" si="27"/>
        <v>13604</v>
      </c>
      <c r="Q36">
        <f t="shared" si="27"/>
        <v>290762</v>
      </c>
    </row>
    <row r="37" spans="1:17" ht="15">
      <c r="A37" t="s">
        <v>148</v>
      </c>
      <c r="B37">
        <f t="shared" si="20"/>
        <v>2676217</v>
      </c>
      <c r="C37" s="28">
        <f t="shared" si="21"/>
        <v>0.0027500000000000003</v>
      </c>
      <c r="D37">
        <f t="shared" si="22"/>
        <v>7360</v>
      </c>
      <c r="E37">
        <f t="shared" si="28"/>
        <v>155101</v>
      </c>
      <c r="G37" t="s">
        <v>148</v>
      </c>
      <c r="H37">
        <f t="shared" si="23"/>
        <v>2341517</v>
      </c>
      <c r="I37" s="28">
        <f t="shared" si="24"/>
        <v>0.0026666666666666666</v>
      </c>
      <c r="J37">
        <f t="shared" si="25"/>
        <v>6244</v>
      </c>
      <c r="K37">
        <f t="shared" si="29"/>
        <v>149265</v>
      </c>
      <c r="M37" t="s">
        <v>148</v>
      </c>
      <c r="N37">
        <f t="shared" si="26"/>
        <v>5017734</v>
      </c>
      <c r="O37" s="28"/>
      <c r="P37">
        <f t="shared" si="27"/>
        <v>13604</v>
      </c>
      <c r="Q37">
        <f t="shared" si="27"/>
        <v>304366</v>
      </c>
    </row>
    <row r="38" spans="1:17" ht="15">
      <c r="A38" t="s">
        <v>149</v>
      </c>
      <c r="B38">
        <f t="shared" si="20"/>
        <v>2676217</v>
      </c>
      <c r="C38" s="28">
        <f t="shared" si="21"/>
        <v>0.0027500000000000003</v>
      </c>
      <c r="D38">
        <f t="shared" si="22"/>
        <v>7360</v>
      </c>
      <c r="E38">
        <f t="shared" si="28"/>
        <v>162461</v>
      </c>
      <c r="G38" t="s">
        <v>149</v>
      </c>
      <c r="H38">
        <f t="shared" si="23"/>
        <v>2341517</v>
      </c>
      <c r="I38" s="28">
        <f t="shared" si="24"/>
        <v>0.0026666666666666666</v>
      </c>
      <c r="J38">
        <f t="shared" si="25"/>
        <v>6244</v>
      </c>
      <c r="K38">
        <f t="shared" si="29"/>
        <v>155509</v>
      </c>
      <c r="M38" t="s">
        <v>149</v>
      </c>
      <c r="N38">
        <f t="shared" si="26"/>
        <v>5017734</v>
      </c>
      <c r="O38" s="28"/>
      <c r="P38">
        <f t="shared" si="27"/>
        <v>13604</v>
      </c>
      <c r="Q38">
        <f t="shared" si="27"/>
        <v>317970</v>
      </c>
    </row>
    <row r="39" spans="1:17" ht="15">
      <c r="A39" t="s">
        <v>150</v>
      </c>
      <c r="B39">
        <f t="shared" si="20"/>
        <v>2676217</v>
      </c>
      <c r="C39" s="28">
        <f t="shared" si="21"/>
        <v>0.0027500000000000003</v>
      </c>
      <c r="D39">
        <f t="shared" si="22"/>
        <v>7360</v>
      </c>
      <c r="E39">
        <f t="shared" si="28"/>
        <v>169821</v>
      </c>
      <c r="G39" t="s">
        <v>150</v>
      </c>
      <c r="H39">
        <f t="shared" si="23"/>
        <v>2341517</v>
      </c>
      <c r="I39" s="28">
        <f t="shared" si="24"/>
        <v>0.0026666666666666666</v>
      </c>
      <c r="J39">
        <f t="shared" si="25"/>
        <v>6244</v>
      </c>
      <c r="K39">
        <f t="shared" si="29"/>
        <v>161753</v>
      </c>
      <c r="M39" t="s">
        <v>150</v>
      </c>
      <c r="N39">
        <f t="shared" si="26"/>
        <v>5017734</v>
      </c>
      <c r="O39" s="28"/>
      <c r="P39">
        <f t="shared" si="27"/>
        <v>13604</v>
      </c>
      <c r="Q39">
        <f t="shared" si="27"/>
        <v>331574</v>
      </c>
    </row>
    <row r="40" spans="1:17" ht="15">
      <c r="A40" t="s">
        <v>151</v>
      </c>
      <c r="B40">
        <f t="shared" si="20"/>
        <v>2676217</v>
      </c>
      <c r="C40" s="28">
        <f t="shared" si="21"/>
        <v>0.0027500000000000003</v>
      </c>
      <c r="D40">
        <f t="shared" si="22"/>
        <v>7360</v>
      </c>
      <c r="E40">
        <f t="shared" si="28"/>
        <v>177181</v>
      </c>
      <c r="G40" t="s">
        <v>151</v>
      </c>
      <c r="H40">
        <f t="shared" si="23"/>
        <v>2341517</v>
      </c>
      <c r="I40" s="28">
        <f t="shared" si="24"/>
        <v>0.0026666666666666666</v>
      </c>
      <c r="J40">
        <f t="shared" si="25"/>
        <v>6244</v>
      </c>
      <c r="K40">
        <f t="shared" si="29"/>
        <v>167997</v>
      </c>
      <c r="M40" t="s">
        <v>151</v>
      </c>
      <c r="N40">
        <f t="shared" si="26"/>
        <v>5017734</v>
      </c>
      <c r="O40" s="28"/>
      <c r="P40">
        <f t="shared" si="27"/>
        <v>13604</v>
      </c>
      <c r="Q40">
        <f t="shared" si="27"/>
        <v>345178</v>
      </c>
    </row>
    <row r="41" spans="1:17" ht="15">
      <c r="A41" t="s">
        <v>152</v>
      </c>
      <c r="B41">
        <f t="shared" si="20"/>
        <v>2676217</v>
      </c>
      <c r="C41" s="28">
        <f t="shared" si="21"/>
        <v>0.0027500000000000003</v>
      </c>
      <c r="D41">
        <f t="shared" si="22"/>
        <v>7360</v>
      </c>
      <c r="E41">
        <f t="shared" si="28"/>
        <v>184541</v>
      </c>
      <c r="G41" t="s">
        <v>152</v>
      </c>
      <c r="H41">
        <f t="shared" si="23"/>
        <v>2341517</v>
      </c>
      <c r="I41" s="28">
        <f t="shared" si="24"/>
        <v>0.0026666666666666666</v>
      </c>
      <c r="J41">
        <f t="shared" si="25"/>
        <v>6244</v>
      </c>
      <c r="K41">
        <f t="shared" si="29"/>
        <v>174241</v>
      </c>
      <c r="M41" t="s">
        <v>152</v>
      </c>
      <c r="N41">
        <f t="shared" si="26"/>
        <v>5017734</v>
      </c>
      <c r="O41" s="28"/>
      <c r="P41">
        <f t="shared" si="27"/>
        <v>13604</v>
      </c>
      <c r="Q41">
        <f t="shared" si="27"/>
        <v>358782</v>
      </c>
    </row>
    <row r="42" spans="1:17" ht="15">
      <c r="A42" t="s">
        <v>153</v>
      </c>
      <c r="B42">
        <f t="shared" si="20"/>
        <v>2676217</v>
      </c>
      <c r="C42" s="28">
        <f t="shared" si="21"/>
        <v>0.0027500000000000003</v>
      </c>
      <c r="D42">
        <f t="shared" si="22"/>
        <v>7360</v>
      </c>
      <c r="E42">
        <f t="shared" si="28"/>
        <v>191901</v>
      </c>
      <c r="G42" t="s">
        <v>153</v>
      </c>
      <c r="H42">
        <f t="shared" si="23"/>
        <v>2341517</v>
      </c>
      <c r="I42" s="28">
        <f t="shared" si="24"/>
        <v>0.0026666666666666666</v>
      </c>
      <c r="J42">
        <f t="shared" si="25"/>
        <v>6244</v>
      </c>
      <c r="K42">
        <f t="shared" si="29"/>
        <v>180485</v>
      </c>
      <c r="M42" t="s">
        <v>153</v>
      </c>
      <c r="N42">
        <f t="shared" si="26"/>
        <v>5017734</v>
      </c>
      <c r="O42" s="28"/>
      <c r="P42">
        <f t="shared" si="27"/>
        <v>13604</v>
      </c>
      <c r="Q42">
        <f t="shared" si="27"/>
        <v>372386</v>
      </c>
    </row>
    <row r="43" spans="1:17" ht="15">
      <c r="A43" t="s">
        <v>154</v>
      </c>
      <c r="B43">
        <f t="shared" si="20"/>
        <v>2676217</v>
      </c>
      <c r="C43" s="28">
        <f t="shared" si="21"/>
        <v>0.0027500000000000003</v>
      </c>
      <c r="D43">
        <f t="shared" si="22"/>
        <v>7360</v>
      </c>
      <c r="E43">
        <f t="shared" si="28"/>
        <v>199261</v>
      </c>
      <c r="G43" t="s">
        <v>154</v>
      </c>
      <c r="H43">
        <f t="shared" si="23"/>
        <v>2341517</v>
      </c>
      <c r="I43" s="28">
        <f t="shared" si="24"/>
        <v>0.0026666666666666666</v>
      </c>
      <c r="J43">
        <f t="shared" si="25"/>
        <v>6244</v>
      </c>
      <c r="K43">
        <f t="shared" si="29"/>
        <v>186729</v>
      </c>
      <c r="M43" t="s">
        <v>154</v>
      </c>
      <c r="N43">
        <f t="shared" si="26"/>
        <v>5017734</v>
      </c>
      <c r="O43" s="28"/>
      <c r="P43">
        <f t="shared" si="27"/>
        <v>13604</v>
      </c>
      <c r="Q43">
        <f t="shared" si="27"/>
        <v>385990</v>
      </c>
    </row>
    <row r="44" spans="1:17" ht="15">
      <c r="A44" t="s">
        <v>155</v>
      </c>
      <c r="B44">
        <f t="shared" si="20"/>
        <v>2676217</v>
      </c>
      <c r="C44" s="28">
        <f t="shared" si="21"/>
        <v>0.0027500000000000003</v>
      </c>
      <c r="D44">
        <f t="shared" si="22"/>
        <v>7360</v>
      </c>
      <c r="E44">
        <f t="shared" si="28"/>
        <v>206621</v>
      </c>
      <c r="G44" t="s">
        <v>155</v>
      </c>
      <c r="H44">
        <f t="shared" si="23"/>
        <v>2341517</v>
      </c>
      <c r="I44" s="28">
        <f t="shared" si="24"/>
        <v>0.0026666666666666666</v>
      </c>
      <c r="J44">
        <f t="shared" si="25"/>
        <v>6244</v>
      </c>
      <c r="K44">
        <f t="shared" si="29"/>
        <v>192973</v>
      </c>
      <c r="M44" t="s">
        <v>155</v>
      </c>
      <c r="N44">
        <f t="shared" si="26"/>
        <v>5017734</v>
      </c>
      <c r="O44" s="28"/>
      <c r="P44">
        <f t="shared" si="27"/>
        <v>13604</v>
      </c>
      <c r="Q44">
        <f t="shared" si="27"/>
        <v>399594</v>
      </c>
    </row>
    <row r="45" spans="1:17" ht="15">
      <c r="A45" t="s">
        <v>156</v>
      </c>
      <c r="B45">
        <f t="shared" si="20"/>
        <v>2676217</v>
      </c>
      <c r="C45" s="28">
        <f t="shared" si="21"/>
        <v>0.0027500000000000003</v>
      </c>
      <c r="D45">
        <f t="shared" si="22"/>
        <v>7360</v>
      </c>
      <c r="E45">
        <f t="shared" si="28"/>
        <v>213981</v>
      </c>
      <c r="G45" t="s">
        <v>156</v>
      </c>
      <c r="H45">
        <f t="shared" si="23"/>
        <v>2341517</v>
      </c>
      <c r="I45" s="28">
        <f t="shared" si="24"/>
        <v>0.0026666666666666666</v>
      </c>
      <c r="J45">
        <f t="shared" si="25"/>
        <v>6244</v>
      </c>
      <c r="K45">
        <f t="shared" si="29"/>
        <v>199217</v>
      </c>
      <c r="M45" t="s">
        <v>156</v>
      </c>
      <c r="N45">
        <f t="shared" si="26"/>
        <v>5017734</v>
      </c>
      <c r="O45" s="28"/>
      <c r="P45">
        <f t="shared" si="27"/>
        <v>13604</v>
      </c>
      <c r="Q45">
        <f t="shared" si="27"/>
        <v>413198</v>
      </c>
    </row>
    <row r="46" spans="9:15" ht="15">
      <c r="I46" s="28"/>
      <c r="O46" s="28"/>
    </row>
    <row r="47" spans="1:17" ht="15">
      <c r="A47" t="s">
        <v>157</v>
      </c>
      <c r="B47">
        <f aca="true" t="shared" si="30" ref="B47:B58">$B$6</f>
        <v>2676217</v>
      </c>
      <c r="C47" s="28">
        <f aca="true" t="shared" si="31" ref="C47:C62">0.033/12</f>
        <v>0.0027500000000000003</v>
      </c>
      <c r="D47">
        <f aca="true" t="shared" si="32" ref="D47:D62">ROUND((B47*C47),0)</f>
        <v>7360</v>
      </c>
      <c r="E47">
        <f>ROUND(+E45+D47,0)</f>
        <v>221341</v>
      </c>
      <c r="G47" t="s">
        <v>157</v>
      </c>
      <c r="H47">
        <f aca="true" t="shared" si="33" ref="H47:H58">$H$6</f>
        <v>2341517</v>
      </c>
      <c r="I47" s="28">
        <f aca="true" t="shared" si="34" ref="I47:I62">0.032/12</f>
        <v>0.0026666666666666666</v>
      </c>
      <c r="J47">
        <f aca="true" t="shared" si="35" ref="J47:J62">ROUND((H47*I47),0)</f>
        <v>6244</v>
      </c>
      <c r="K47">
        <f>ROUND(+K45+J47,0)</f>
        <v>205461</v>
      </c>
      <c r="M47" t="s">
        <v>157</v>
      </c>
      <c r="N47">
        <f aca="true" t="shared" si="36" ref="N47:N62">B47+H47</f>
        <v>5017734</v>
      </c>
      <c r="O47" s="28"/>
      <c r="P47">
        <f aca="true" t="shared" si="37" ref="P47:Q62">J47+D47</f>
        <v>13604</v>
      </c>
      <c r="Q47">
        <f t="shared" si="37"/>
        <v>426802</v>
      </c>
    </row>
    <row r="48" spans="1:17" ht="15">
      <c r="A48" t="s">
        <v>158</v>
      </c>
      <c r="B48">
        <f t="shared" si="30"/>
        <v>2676217</v>
      </c>
      <c r="C48" s="28">
        <f t="shared" si="31"/>
        <v>0.0027500000000000003</v>
      </c>
      <c r="D48">
        <f t="shared" si="32"/>
        <v>7360</v>
      </c>
      <c r="E48">
        <f aca="true" t="shared" si="38" ref="E48:E58">ROUND(+E47+D48,0)</f>
        <v>228701</v>
      </c>
      <c r="G48" t="s">
        <v>158</v>
      </c>
      <c r="H48">
        <f t="shared" si="33"/>
        <v>2341517</v>
      </c>
      <c r="I48" s="28">
        <f t="shared" si="34"/>
        <v>0.0026666666666666666</v>
      </c>
      <c r="J48">
        <f t="shared" si="35"/>
        <v>6244</v>
      </c>
      <c r="K48">
        <f aca="true" t="shared" si="39" ref="K48:K58">ROUND(+K47+J48,0)</f>
        <v>211705</v>
      </c>
      <c r="M48" t="s">
        <v>158</v>
      </c>
      <c r="N48">
        <f t="shared" si="36"/>
        <v>5017734</v>
      </c>
      <c r="O48" s="28"/>
      <c r="P48">
        <f t="shared" si="37"/>
        <v>13604</v>
      </c>
      <c r="Q48">
        <f t="shared" si="37"/>
        <v>440406</v>
      </c>
    </row>
    <row r="49" spans="1:17" ht="15">
      <c r="A49" t="s">
        <v>159</v>
      </c>
      <c r="B49">
        <f t="shared" si="30"/>
        <v>2676217</v>
      </c>
      <c r="C49" s="28">
        <f t="shared" si="31"/>
        <v>0.0027500000000000003</v>
      </c>
      <c r="D49">
        <f t="shared" si="32"/>
        <v>7360</v>
      </c>
      <c r="E49">
        <f t="shared" si="38"/>
        <v>236061</v>
      </c>
      <c r="G49" t="s">
        <v>159</v>
      </c>
      <c r="H49">
        <f t="shared" si="33"/>
        <v>2341517</v>
      </c>
      <c r="I49" s="28">
        <f t="shared" si="34"/>
        <v>0.0026666666666666666</v>
      </c>
      <c r="J49">
        <f t="shared" si="35"/>
        <v>6244</v>
      </c>
      <c r="K49">
        <f t="shared" si="39"/>
        <v>217949</v>
      </c>
      <c r="M49" t="s">
        <v>159</v>
      </c>
      <c r="N49">
        <f t="shared" si="36"/>
        <v>5017734</v>
      </c>
      <c r="O49" s="28"/>
      <c r="P49">
        <f t="shared" si="37"/>
        <v>13604</v>
      </c>
      <c r="Q49">
        <f t="shared" si="37"/>
        <v>454010</v>
      </c>
    </row>
    <row r="50" spans="1:17" ht="15">
      <c r="A50" t="s">
        <v>160</v>
      </c>
      <c r="B50">
        <f t="shared" si="30"/>
        <v>2676217</v>
      </c>
      <c r="C50" s="28">
        <f t="shared" si="31"/>
        <v>0.0027500000000000003</v>
      </c>
      <c r="D50">
        <f t="shared" si="32"/>
        <v>7360</v>
      </c>
      <c r="E50">
        <f t="shared" si="38"/>
        <v>243421</v>
      </c>
      <c r="G50" t="s">
        <v>160</v>
      </c>
      <c r="H50">
        <f t="shared" si="33"/>
        <v>2341517</v>
      </c>
      <c r="I50" s="28">
        <f t="shared" si="34"/>
        <v>0.0026666666666666666</v>
      </c>
      <c r="J50">
        <f t="shared" si="35"/>
        <v>6244</v>
      </c>
      <c r="K50">
        <f t="shared" si="39"/>
        <v>224193</v>
      </c>
      <c r="M50" t="s">
        <v>160</v>
      </c>
      <c r="N50">
        <f t="shared" si="36"/>
        <v>5017734</v>
      </c>
      <c r="O50" s="28"/>
      <c r="P50">
        <f t="shared" si="37"/>
        <v>13604</v>
      </c>
      <c r="Q50">
        <f t="shared" si="37"/>
        <v>467614</v>
      </c>
    </row>
    <row r="51" spans="1:17" ht="15">
      <c r="A51" t="s">
        <v>161</v>
      </c>
      <c r="B51">
        <f t="shared" si="30"/>
        <v>2676217</v>
      </c>
      <c r="C51" s="28">
        <f t="shared" si="31"/>
        <v>0.0027500000000000003</v>
      </c>
      <c r="D51">
        <f t="shared" si="32"/>
        <v>7360</v>
      </c>
      <c r="E51">
        <f t="shared" si="38"/>
        <v>250781</v>
      </c>
      <c r="G51" t="s">
        <v>161</v>
      </c>
      <c r="H51">
        <f t="shared" si="33"/>
        <v>2341517</v>
      </c>
      <c r="I51" s="28">
        <f t="shared" si="34"/>
        <v>0.0026666666666666666</v>
      </c>
      <c r="J51">
        <f t="shared" si="35"/>
        <v>6244</v>
      </c>
      <c r="K51">
        <f t="shared" si="39"/>
        <v>230437</v>
      </c>
      <c r="M51" t="s">
        <v>161</v>
      </c>
      <c r="N51">
        <f t="shared" si="36"/>
        <v>5017734</v>
      </c>
      <c r="O51" s="28"/>
      <c r="P51">
        <f t="shared" si="37"/>
        <v>13604</v>
      </c>
      <c r="Q51">
        <f t="shared" si="37"/>
        <v>481218</v>
      </c>
    </row>
    <row r="52" spans="1:17" ht="15">
      <c r="A52" t="s">
        <v>162</v>
      </c>
      <c r="B52">
        <f t="shared" si="30"/>
        <v>2676217</v>
      </c>
      <c r="C52" s="28">
        <f t="shared" si="31"/>
        <v>0.0027500000000000003</v>
      </c>
      <c r="D52">
        <f t="shared" si="32"/>
        <v>7360</v>
      </c>
      <c r="E52">
        <f t="shared" si="38"/>
        <v>258141</v>
      </c>
      <c r="G52" t="s">
        <v>162</v>
      </c>
      <c r="H52">
        <f t="shared" si="33"/>
        <v>2341517</v>
      </c>
      <c r="I52" s="28">
        <f t="shared" si="34"/>
        <v>0.0026666666666666666</v>
      </c>
      <c r="J52">
        <f t="shared" si="35"/>
        <v>6244</v>
      </c>
      <c r="K52">
        <f t="shared" si="39"/>
        <v>236681</v>
      </c>
      <c r="M52" t="s">
        <v>162</v>
      </c>
      <c r="N52">
        <f t="shared" si="36"/>
        <v>5017734</v>
      </c>
      <c r="O52" s="28"/>
      <c r="P52">
        <f t="shared" si="37"/>
        <v>13604</v>
      </c>
      <c r="Q52">
        <f t="shared" si="37"/>
        <v>494822</v>
      </c>
    </row>
    <row r="53" spans="1:17" ht="15">
      <c r="A53" t="s">
        <v>163</v>
      </c>
      <c r="B53">
        <f t="shared" si="30"/>
        <v>2676217</v>
      </c>
      <c r="C53" s="28">
        <f t="shared" si="31"/>
        <v>0.0027500000000000003</v>
      </c>
      <c r="D53">
        <f t="shared" si="32"/>
        <v>7360</v>
      </c>
      <c r="E53">
        <f t="shared" si="38"/>
        <v>265501</v>
      </c>
      <c r="G53" t="s">
        <v>163</v>
      </c>
      <c r="H53">
        <f t="shared" si="33"/>
        <v>2341517</v>
      </c>
      <c r="I53" s="28">
        <f t="shared" si="34"/>
        <v>0.0026666666666666666</v>
      </c>
      <c r="J53">
        <f t="shared" si="35"/>
        <v>6244</v>
      </c>
      <c r="K53">
        <f t="shared" si="39"/>
        <v>242925</v>
      </c>
      <c r="M53" t="s">
        <v>163</v>
      </c>
      <c r="N53">
        <f t="shared" si="36"/>
        <v>5017734</v>
      </c>
      <c r="O53" s="28"/>
      <c r="P53">
        <f t="shared" si="37"/>
        <v>13604</v>
      </c>
      <c r="Q53">
        <f t="shared" si="37"/>
        <v>508426</v>
      </c>
    </row>
    <row r="54" spans="1:17" ht="15">
      <c r="A54" t="s">
        <v>164</v>
      </c>
      <c r="B54">
        <f t="shared" si="30"/>
        <v>2676217</v>
      </c>
      <c r="C54" s="28">
        <f t="shared" si="31"/>
        <v>0.0027500000000000003</v>
      </c>
      <c r="D54">
        <f t="shared" si="32"/>
        <v>7360</v>
      </c>
      <c r="E54">
        <f t="shared" si="38"/>
        <v>272861</v>
      </c>
      <c r="G54" t="s">
        <v>164</v>
      </c>
      <c r="H54">
        <f t="shared" si="33"/>
        <v>2341517</v>
      </c>
      <c r="I54" s="28">
        <f t="shared" si="34"/>
        <v>0.0026666666666666666</v>
      </c>
      <c r="J54">
        <f t="shared" si="35"/>
        <v>6244</v>
      </c>
      <c r="K54">
        <f t="shared" si="39"/>
        <v>249169</v>
      </c>
      <c r="M54" t="s">
        <v>164</v>
      </c>
      <c r="N54">
        <f t="shared" si="36"/>
        <v>5017734</v>
      </c>
      <c r="O54" s="28"/>
      <c r="P54">
        <f t="shared" si="37"/>
        <v>13604</v>
      </c>
      <c r="Q54">
        <f t="shared" si="37"/>
        <v>522030</v>
      </c>
    </row>
    <row r="55" spans="1:17" ht="15">
      <c r="A55" t="s">
        <v>165</v>
      </c>
      <c r="B55">
        <f t="shared" si="30"/>
        <v>2676217</v>
      </c>
      <c r="C55" s="28">
        <f t="shared" si="31"/>
        <v>0.0027500000000000003</v>
      </c>
      <c r="D55">
        <f t="shared" si="32"/>
        <v>7360</v>
      </c>
      <c r="E55">
        <f t="shared" si="38"/>
        <v>280221</v>
      </c>
      <c r="G55" t="s">
        <v>165</v>
      </c>
      <c r="H55">
        <f t="shared" si="33"/>
        <v>2341517</v>
      </c>
      <c r="I55" s="28">
        <f t="shared" si="34"/>
        <v>0.0026666666666666666</v>
      </c>
      <c r="J55">
        <f t="shared" si="35"/>
        <v>6244</v>
      </c>
      <c r="K55">
        <f t="shared" si="39"/>
        <v>255413</v>
      </c>
      <c r="M55" t="s">
        <v>165</v>
      </c>
      <c r="N55">
        <f t="shared" si="36"/>
        <v>5017734</v>
      </c>
      <c r="O55" s="28"/>
      <c r="P55">
        <f t="shared" si="37"/>
        <v>13604</v>
      </c>
      <c r="Q55">
        <f t="shared" si="37"/>
        <v>535634</v>
      </c>
    </row>
    <row r="56" spans="1:17" ht="15">
      <c r="A56" t="s">
        <v>166</v>
      </c>
      <c r="B56">
        <f t="shared" si="30"/>
        <v>2676217</v>
      </c>
      <c r="C56" s="28">
        <f t="shared" si="31"/>
        <v>0.0027500000000000003</v>
      </c>
      <c r="D56">
        <f t="shared" si="32"/>
        <v>7360</v>
      </c>
      <c r="E56">
        <f t="shared" si="38"/>
        <v>287581</v>
      </c>
      <c r="G56" t="s">
        <v>166</v>
      </c>
      <c r="H56">
        <f t="shared" si="33"/>
        <v>2341517</v>
      </c>
      <c r="I56" s="28">
        <f t="shared" si="34"/>
        <v>0.0026666666666666666</v>
      </c>
      <c r="J56">
        <f t="shared" si="35"/>
        <v>6244</v>
      </c>
      <c r="K56">
        <f t="shared" si="39"/>
        <v>261657</v>
      </c>
      <c r="M56" t="s">
        <v>166</v>
      </c>
      <c r="N56">
        <f t="shared" si="36"/>
        <v>5017734</v>
      </c>
      <c r="O56" s="28"/>
      <c r="P56">
        <f t="shared" si="37"/>
        <v>13604</v>
      </c>
      <c r="Q56">
        <f t="shared" si="37"/>
        <v>549238</v>
      </c>
    </row>
    <row r="57" spans="1:17" ht="15">
      <c r="A57" t="s">
        <v>167</v>
      </c>
      <c r="B57">
        <f t="shared" si="30"/>
        <v>2676217</v>
      </c>
      <c r="C57" s="28">
        <f t="shared" si="31"/>
        <v>0.0027500000000000003</v>
      </c>
      <c r="D57">
        <f t="shared" si="32"/>
        <v>7360</v>
      </c>
      <c r="E57">
        <f t="shared" si="38"/>
        <v>294941</v>
      </c>
      <c r="G57" t="s">
        <v>167</v>
      </c>
      <c r="H57">
        <f t="shared" si="33"/>
        <v>2341517</v>
      </c>
      <c r="I57" s="28">
        <f t="shared" si="34"/>
        <v>0.0026666666666666666</v>
      </c>
      <c r="J57">
        <f t="shared" si="35"/>
        <v>6244</v>
      </c>
      <c r="K57">
        <f t="shared" si="39"/>
        <v>267901</v>
      </c>
      <c r="M57" t="s">
        <v>167</v>
      </c>
      <c r="N57">
        <f t="shared" si="36"/>
        <v>5017734</v>
      </c>
      <c r="O57" s="28"/>
      <c r="P57">
        <f t="shared" si="37"/>
        <v>13604</v>
      </c>
      <c r="Q57">
        <f t="shared" si="37"/>
        <v>562842</v>
      </c>
    </row>
    <row r="58" spans="1:17" ht="15">
      <c r="A58" t="s">
        <v>168</v>
      </c>
      <c r="B58">
        <f t="shared" si="30"/>
        <v>2676217</v>
      </c>
      <c r="C58" s="28">
        <f t="shared" si="31"/>
        <v>0.0027500000000000003</v>
      </c>
      <c r="D58">
        <f t="shared" si="32"/>
        <v>7360</v>
      </c>
      <c r="E58">
        <f t="shared" si="38"/>
        <v>302301</v>
      </c>
      <c r="G58" t="s">
        <v>168</v>
      </c>
      <c r="H58">
        <f t="shared" si="33"/>
        <v>2341517</v>
      </c>
      <c r="I58" s="28">
        <f t="shared" si="34"/>
        <v>0.0026666666666666666</v>
      </c>
      <c r="J58">
        <f t="shared" si="35"/>
        <v>6244</v>
      </c>
      <c r="K58">
        <f t="shared" si="39"/>
        <v>274145</v>
      </c>
      <c r="M58" t="s">
        <v>168</v>
      </c>
      <c r="N58">
        <f t="shared" si="36"/>
        <v>5017734</v>
      </c>
      <c r="O58" s="28"/>
      <c r="P58">
        <f t="shared" si="37"/>
        <v>13604</v>
      </c>
      <c r="Q58">
        <f t="shared" si="37"/>
        <v>576446</v>
      </c>
    </row>
    <row r="59" spans="3:15" ht="15">
      <c r="C59" s="28"/>
      <c r="O59" s="28"/>
    </row>
    <row r="60" spans="1:17" ht="15">
      <c r="A60" t="s">
        <v>169</v>
      </c>
      <c r="B60">
        <f aca="true" t="shared" si="40" ref="B60:B71">$B$6</f>
        <v>2676217</v>
      </c>
      <c r="C60" s="28">
        <f t="shared" si="31"/>
        <v>0.0027500000000000003</v>
      </c>
      <c r="D60">
        <f t="shared" si="32"/>
        <v>7360</v>
      </c>
      <c r="E60">
        <f>ROUND(+E58+D60,0)</f>
        <v>309661</v>
      </c>
      <c r="G60" t="s">
        <v>169</v>
      </c>
      <c r="H60">
        <f aca="true" t="shared" si="41" ref="H60:H71">$H$6</f>
        <v>2341517</v>
      </c>
      <c r="I60" s="28">
        <f t="shared" si="34"/>
        <v>0.0026666666666666666</v>
      </c>
      <c r="J60">
        <f t="shared" si="35"/>
        <v>6244</v>
      </c>
      <c r="K60">
        <f>ROUND(+K58+J60,0)</f>
        <v>280389</v>
      </c>
      <c r="M60" t="s">
        <v>169</v>
      </c>
      <c r="N60">
        <f t="shared" si="36"/>
        <v>5017734</v>
      </c>
      <c r="O60" s="28"/>
      <c r="P60">
        <f t="shared" si="37"/>
        <v>13604</v>
      </c>
      <c r="Q60">
        <f t="shared" si="37"/>
        <v>590050</v>
      </c>
    </row>
    <row r="61" spans="1:17" ht="15">
      <c r="A61" t="s">
        <v>170</v>
      </c>
      <c r="B61">
        <f t="shared" si="40"/>
        <v>2676217</v>
      </c>
      <c r="C61" s="28">
        <f t="shared" si="31"/>
        <v>0.0027500000000000003</v>
      </c>
      <c r="D61">
        <f t="shared" si="32"/>
        <v>7360</v>
      </c>
      <c r="E61">
        <f aca="true" t="shared" si="42" ref="E61:E71">ROUND(+E60+D61,0)</f>
        <v>317021</v>
      </c>
      <c r="G61" t="s">
        <v>170</v>
      </c>
      <c r="H61">
        <f t="shared" si="41"/>
        <v>2341517</v>
      </c>
      <c r="I61" s="28">
        <f t="shared" si="34"/>
        <v>0.0026666666666666666</v>
      </c>
      <c r="J61">
        <f t="shared" si="35"/>
        <v>6244</v>
      </c>
      <c r="K61">
        <f aca="true" t="shared" si="43" ref="K61:K71">ROUND(+K60+J61,0)</f>
        <v>286633</v>
      </c>
      <c r="M61" t="s">
        <v>170</v>
      </c>
      <c r="N61">
        <f t="shared" si="36"/>
        <v>5017734</v>
      </c>
      <c r="O61" s="28"/>
      <c r="P61">
        <f t="shared" si="37"/>
        <v>13604</v>
      </c>
      <c r="Q61">
        <f t="shared" si="37"/>
        <v>603654</v>
      </c>
    </row>
    <row r="62" spans="1:17" ht="15">
      <c r="A62" t="s">
        <v>171</v>
      </c>
      <c r="B62">
        <f t="shared" si="40"/>
        <v>2676217</v>
      </c>
      <c r="C62" s="28">
        <f t="shared" si="31"/>
        <v>0.0027500000000000003</v>
      </c>
      <c r="D62">
        <f t="shared" si="32"/>
        <v>7360</v>
      </c>
      <c r="E62">
        <f t="shared" si="42"/>
        <v>324381</v>
      </c>
      <c r="G62" t="s">
        <v>171</v>
      </c>
      <c r="H62">
        <f t="shared" si="41"/>
        <v>2341517</v>
      </c>
      <c r="I62" s="28">
        <f t="shared" si="34"/>
        <v>0.0026666666666666666</v>
      </c>
      <c r="J62">
        <f t="shared" si="35"/>
        <v>6244</v>
      </c>
      <c r="K62">
        <f t="shared" si="43"/>
        <v>292877</v>
      </c>
      <c r="M62" t="s">
        <v>171</v>
      </c>
      <c r="N62">
        <f t="shared" si="36"/>
        <v>5017734</v>
      </c>
      <c r="O62" s="28"/>
      <c r="P62">
        <f t="shared" si="37"/>
        <v>13604</v>
      </c>
      <c r="Q62">
        <f t="shared" si="37"/>
        <v>617258</v>
      </c>
    </row>
    <row r="63" spans="1:17" ht="15">
      <c r="A63" t="s">
        <v>172</v>
      </c>
      <c r="B63">
        <f t="shared" si="40"/>
        <v>2676217</v>
      </c>
      <c r="C63" s="28">
        <f aca="true" t="shared" si="44" ref="C63:C71">0.033/12</f>
        <v>0.0027500000000000003</v>
      </c>
      <c r="D63">
        <f aca="true" t="shared" si="45" ref="D63:D71">ROUND((B63*C63),0)</f>
        <v>7360</v>
      </c>
      <c r="E63">
        <f t="shared" si="42"/>
        <v>331741</v>
      </c>
      <c r="G63" t="s">
        <v>172</v>
      </c>
      <c r="H63">
        <f t="shared" si="41"/>
        <v>2341517</v>
      </c>
      <c r="I63" s="28">
        <f aca="true" t="shared" si="46" ref="I63:I71">0.032/12</f>
        <v>0.0026666666666666666</v>
      </c>
      <c r="J63">
        <f aca="true" t="shared" si="47" ref="J63:J71">ROUND((H63*I63),0)</f>
        <v>6244</v>
      </c>
      <c r="K63">
        <f t="shared" si="43"/>
        <v>299121</v>
      </c>
      <c r="M63" t="s">
        <v>172</v>
      </c>
      <c r="N63">
        <f aca="true" t="shared" si="48" ref="N63:N71">B63+H63</f>
        <v>5017734</v>
      </c>
      <c r="O63" s="28"/>
      <c r="P63">
        <f aca="true" t="shared" si="49" ref="P63:Q71">J63+D63</f>
        <v>13604</v>
      </c>
      <c r="Q63">
        <f t="shared" si="49"/>
        <v>630862</v>
      </c>
    </row>
    <row r="64" spans="1:17" ht="15">
      <c r="A64" t="s">
        <v>173</v>
      </c>
      <c r="B64">
        <f t="shared" si="40"/>
        <v>2676217</v>
      </c>
      <c r="C64" s="28">
        <f t="shared" si="44"/>
        <v>0.0027500000000000003</v>
      </c>
      <c r="D64">
        <f t="shared" si="45"/>
        <v>7360</v>
      </c>
      <c r="E64">
        <f t="shared" si="42"/>
        <v>339101</v>
      </c>
      <c r="G64" t="s">
        <v>173</v>
      </c>
      <c r="H64">
        <f t="shared" si="41"/>
        <v>2341517</v>
      </c>
      <c r="I64" s="28">
        <f t="shared" si="46"/>
        <v>0.0026666666666666666</v>
      </c>
      <c r="J64">
        <f t="shared" si="47"/>
        <v>6244</v>
      </c>
      <c r="K64">
        <f t="shared" si="43"/>
        <v>305365</v>
      </c>
      <c r="M64" t="s">
        <v>173</v>
      </c>
      <c r="N64">
        <f t="shared" si="48"/>
        <v>5017734</v>
      </c>
      <c r="O64" s="28"/>
      <c r="P64">
        <f t="shared" si="49"/>
        <v>13604</v>
      </c>
      <c r="Q64">
        <f t="shared" si="49"/>
        <v>644466</v>
      </c>
    </row>
    <row r="65" spans="1:17" ht="15">
      <c r="A65" t="s">
        <v>174</v>
      </c>
      <c r="B65">
        <f t="shared" si="40"/>
        <v>2676217</v>
      </c>
      <c r="C65" s="28">
        <f t="shared" si="44"/>
        <v>0.0027500000000000003</v>
      </c>
      <c r="D65">
        <f t="shared" si="45"/>
        <v>7360</v>
      </c>
      <c r="E65">
        <f t="shared" si="42"/>
        <v>346461</v>
      </c>
      <c r="G65" t="s">
        <v>174</v>
      </c>
      <c r="H65">
        <f t="shared" si="41"/>
        <v>2341517</v>
      </c>
      <c r="I65" s="28">
        <f t="shared" si="46"/>
        <v>0.0026666666666666666</v>
      </c>
      <c r="J65">
        <f t="shared" si="47"/>
        <v>6244</v>
      </c>
      <c r="K65">
        <f t="shared" si="43"/>
        <v>311609</v>
      </c>
      <c r="M65" t="s">
        <v>174</v>
      </c>
      <c r="N65">
        <f t="shared" si="48"/>
        <v>5017734</v>
      </c>
      <c r="O65" s="28"/>
      <c r="P65">
        <f t="shared" si="49"/>
        <v>13604</v>
      </c>
      <c r="Q65">
        <f t="shared" si="49"/>
        <v>658070</v>
      </c>
    </row>
    <row r="66" spans="1:17" ht="15">
      <c r="A66" t="s">
        <v>175</v>
      </c>
      <c r="B66">
        <f t="shared" si="40"/>
        <v>2676217</v>
      </c>
      <c r="C66" s="28">
        <f t="shared" si="44"/>
        <v>0.0027500000000000003</v>
      </c>
      <c r="D66">
        <f t="shared" si="45"/>
        <v>7360</v>
      </c>
      <c r="E66">
        <f t="shared" si="42"/>
        <v>353821</v>
      </c>
      <c r="G66" t="s">
        <v>175</v>
      </c>
      <c r="H66">
        <f t="shared" si="41"/>
        <v>2341517</v>
      </c>
      <c r="I66" s="28">
        <f t="shared" si="46"/>
        <v>0.0026666666666666666</v>
      </c>
      <c r="J66">
        <f t="shared" si="47"/>
        <v>6244</v>
      </c>
      <c r="K66">
        <f t="shared" si="43"/>
        <v>317853</v>
      </c>
      <c r="M66" t="s">
        <v>175</v>
      </c>
      <c r="N66">
        <f t="shared" si="48"/>
        <v>5017734</v>
      </c>
      <c r="O66" s="28"/>
      <c r="P66">
        <f t="shared" si="49"/>
        <v>13604</v>
      </c>
      <c r="Q66">
        <f t="shared" si="49"/>
        <v>671674</v>
      </c>
    </row>
    <row r="67" spans="1:17" ht="15">
      <c r="A67" t="s">
        <v>176</v>
      </c>
      <c r="B67">
        <f t="shared" si="40"/>
        <v>2676217</v>
      </c>
      <c r="C67" s="28">
        <f t="shared" si="44"/>
        <v>0.0027500000000000003</v>
      </c>
      <c r="D67">
        <f t="shared" si="45"/>
        <v>7360</v>
      </c>
      <c r="E67">
        <f t="shared" si="42"/>
        <v>361181</v>
      </c>
      <c r="G67" t="s">
        <v>176</v>
      </c>
      <c r="H67">
        <f t="shared" si="41"/>
        <v>2341517</v>
      </c>
      <c r="I67" s="28">
        <f t="shared" si="46"/>
        <v>0.0026666666666666666</v>
      </c>
      <c r="J67">
        <f t="shared" si="47"/>
        <v>6244</v>
      </c>
      <c r="K67">
        <f t="shared" si="43"/>
        <v>324097</v>
      </c>
      <c r="M67" t="s">
        <v>176</v>
      </c>
      <c r="N67">
        <f t="shared" si="48"/>
        <v>5017734</v>
      </c>
      <c r="O67" s="28"/>
      <c r="P67">
        <f t="shared" si="49"/>
        <v>13604</v>
      </c>
      <c r="Q67">
        <f t="shared" si="49"/>
        <v>685278</v>
      </c>
    </row>
    <row r="68" spans="1:17" ht="15">
      <c r="A68" t="s">
        <v>177</v>
      </c>
      <c r="B68">
        <f t="shared" si="40"/>
        <v>2676217</v>
      </c>
      <c r="C68" s="28">
        <f t="shared" si="44"/>
        <v>0.0027500000000000003</v>
      </c>
      <c r="D68">
        <f t="shared" si="45"/>
        <v>7360</v>
      </c>
      <c r="E68">
        <f t="shared" si="42"/>
        <v>368541</v>
      </c>
      <c r="G68" t="s">
        <v>177</v>
      </c>
      <c r="H68">
        <f t="shared" si="41"/>
        <v>2341517</v>
      </c>
      <c r="I68" s="28">
        <f t="shared" si="46"/>
        <v>0.0026666666666666666</v>
      </c>
      <c r="J68">
        <f t="shared" si="47"/>
        <v>6244</v>
      </c>
      <c r="K68">
        <f t="shared" si="43"/>
        <v>330341</v>
      </c>
      <c r="M68" t="s">
        <v>177</v>
      </c>
      <c r="N68">
        <f t="shared" si="48"/>
        <v>5017734</v>
      </c>
      <c r="O68" s="28"/>
      <c r="P68">
        <f t="shared" si="49"/>
        <v>13604</v>
      </c>
      <c r="Q68">
        <f t="shared" si="49"/>
        <v>698882</v>
      </c>
    </row>
    <row r="69" spans="1:17" ht="15">
      <c r="A69" t="s">
        <v>178</v>
      </c>
      <c r="B69">
        <f t="shared" si="40"/>
        <v>2676217</v>
      </c>
      <c r="C69" s="28">
        <f t="shared" si="44"/>
        <v>0.0027500000000000003</v>
      </c>
      <c r="D69">
        <f t="shared" si="45"/>
        <v>7360</v>
      </c>
      <c r="E69">
        <f t="shared" si="42"/>
        <v>375901</v>
      </c>
      <c r="G69" t="s">
        <v>178</v>
      </c>
      <c r="H69">
        <f t="shared" si="41"/>
        <v>2341517</v>
      </c>
      <c r="I69" s="28">
        <f t="shared" si="46"/>
        <v>0.0026666666666666666</v>
      </c>
      <c r="J69">
        <f t="shared" si="47"/>
        <v>6244</v>
      </c>
      <c r="K69">
        <f t="shared" si="43"/>
        <v>336585</v>
      </c>
      <c r="M69" t="s">
        <v>178</v>
      </c>
      <c r="N69">
        <f t="shared" si="48"/>
        <v>5017734</v>
      </c>
      <c r="O69" s="28"/>
      <c r="P69">
        <f t="shared" si="49"/>
        <v>13604</v>
      </c>
      <c r="Q69">
        <f t="shared" si="49"/>
        <v>712486</v>
      </c>
    </row>
    <row r="70" spans="1:17" ht="15">
      <c r="A70" t="s">
        <v>179</v>
      </c>
      <c r="B70">
        <f t="shared" si="40"/>
        <v>2676217</v>
      </c>
      <c r="C70" s="28">
        <f t="shared" si="44"/>
        <v>0.0027500000000000003</v>
      </c>
      <c r="D70">
        <f t="shared" si="45"/>
        <v>7360</v>
      </c>
      <c r="E70">
        <f t="shared" si="42"/>
        <v>383261</v>
      </c>
      <c r="G70" t="s">
        <v>179</v>
      </c>
      <c r="H70">
        <f t="shared" si="41"/>
        <v>2341517</v>
      </c>
      <c r="I70" s="28">
        <f t="shared" si="46"/>
        <v>0.0026666666666666666</v>
      </c>
      <c r="J70">
        <f t="shared" si="47"/>
        <v>6244</v>
      </c>
      <c r="K70">
        <f t="shared" si="43"/>
        <v>342829</v>
      </c>
      <c r="M70" t="s">
        <v>179</v>
      </c>
      <c r="N70">
        <f t="shared" si="48"/>
        <v>5017734</v>
      </c>
      <c r="O70" s="28"/>
      <c r="P70">
        <f t="shared" si="49"/>
        <v>13604</v>
      </c>
      <c r="Q70">
        <f t="shared" si="49"/>
        <v>726090</v>
      </c>
    </row>
    <row r="71" spans="1:17" ht="15">
      <c r="A71" t="s">
        <v>180</v>
      </c>
      <c r="B71">
        <f t="shared" si="40"/>
        <v>2676217</v>
      </c>
      <c r="C71" s="28">
        <f t="shared" si="44"/>
        <v>0.0027500000000000003</v>
      </c>
      <c r="D71">
        <f t="shared" si="45"/>
        <v>7360</v>
      </c>
      <c r="E71">
        <f t="shared" si="42"/>
        <v>390621</v>
      </c>
      <c r="G71" t="s">
        <v>180</v>
      </c>
      <c r="H71">
        <f t="shared" si="41"/>
        <v>2341517</v>
      </c>
      <c r="I71" s="28">
        <f t="shared" si="46"/>
        <v>0.0026666666666666666</v>
      </c>
      <c r="J71">
        <f t="shared" si="47"/>
        <v>6244</v>
      </c>
      <c r="K71">
        <f t="shared" si="43"/>
        <v>349073</v>
      </c>
      <c r="M71" t="s">
        <v>180</v>
      </c>
      <c r="N71">
        <f t="shared" si="48"/>
        <v>5017734</v>
      </c>
      <c r="O71" s="28"/>
      <c r="P71">
        <f t="shared" si="49"/>
        <v>13604</v>
      </c>
      <c r="Q71">
        <f t="shared" si="49"/>
        <v>739694</v>
      </c>
    </row>
    <row r="72" spans="3:15" ht="15">
      <c r="C72" s="28"/>
      <c r="O72" s="28"/>
    </row>
    <row r="73" spans="1:17" ht="15">
      <c r="A73" t="s">
        <v>181</v>
      </c>
      <c r="B73">
        <f aca="true" t="shared" si="50" ref="B73:B97">$B$6</f>
        <v>2676217</v>
      </c>
      <c r="C73" s="28">
        <f>0.035/12</f>
        <v>0.002916666666666667</v>
      </c>
      <c r="D73">
        <f aca="true" t="shared" si="51" ref="D73:D110">ROUND((B73*C73),0)</f>
        <v>7806</v>
      </c>
      <c r="E73">
        <f>ROUND(+E71+D73,0)</f>
        <v>398427</v>
      </c>
      <c r="G73" t="s">
        <v>181</v>
      </c>
      <c r="H73">
        <f aca="true" t="shared" si="52" ref="H73:H123">$H$6</f>
        <v>2341517</v>
      </c>
      <c r="I73" s="28">
        <f>0.033/12</f>
        <v>0.0027500000000000003</v>
      </c>
      <c r="J73">
        <f aca="true" t="shared" si="53" ref="J73:J110">ROUND((H73*I73),0)</f>
        <v>6439</v>
      </c>
      <c r="K73">
        <f>ROUND(+K71+J73,0)</f>
        <v>355512</v>
      </c>
      <c r="M73" t="s">
        <v>181</v>
      </c>
      <c r="N73">
        <f aca="true" t="shared" si="54" ref="N73:N110">B73+H73</f>
        <v>5017734</v>
      </c>
      <c r="O73" s="28"/>
      <c r="P73">
        <f aca="true" t="shared" si="55" ref="P73:Q88">J73+D73</f>
        <v>14245</v>
      </c>
      <c r="Q73">
        <f t="shared" si="55"/>
        <v>753939</v>
      </c>
    </row>
    <row r="74" spans="1:17" ht="15">
      <c r="A74" t="s">
        <v>182</v>
      </c>
      <c r="B74">
        <f t="shared" si="50"/>
        <v>2676217</v>
      </c>
      <c r="C74" s="28">
        <f aca="true" t="shared" si="56" ref="C74:C123">0.035/12</f>
        <v>0.002916666666666667</v>
      </c>
      <c r="D74">
        <f t="shared" si="51"/>
        <v>7806</v>
      </c>
      <c r="E74">
        <f aca="true" t="shared" si="57" ref="E74:E84">ROUND(+E73+D74,0)</f>
        <v>406233</v>
      </c>
      <c r="G74" t="s">
        <v>182</v>
      </c>
      <c r="H74">
        <f t="shared" si="52"/>
        <v>2341517</v>
      </c>
      <c r="I74" s="28">
        <f aca="true" t="shared" si="58" ref="I74:I123">0.033/12</f>
        <v>0.0027500000000000003</v>
      </c>
      <c r="J74">
        <f t="shared" si="53"/>
        <v>6439</v>
      </c>
      <c r="K74">
        <f aca="true" t="shared" si="59" ref="K74:K84">ROUND(+K73+J74,0)</f>
        <v>361951</v>
      </c>
      <c r="M74" t="s">
        <v>182</v>
      </c>
      <c r="N74">
        <f t="shared" si="54"/>
        <v>5017734</v>
      </c>
      <c r="O74" s="28"/>
      <c r="P74">
        <f t="shared" si="55"/>
        <v>14245</v>
      </c>
      <c r="Q74">
        <f t="shared" si="55"/>
        <v>768184</v>
      </c>
    </row>
    <row r="75" spans="1:17" ht="15">
      <c r="A75" t="s">
        <v>183</v>
      </c>
      <c r="B75">
        <f t="shared" si="50"/>
        <v>2676217</v>
      </c>
      <c r="C75" s="28">
        <f t="shared" si="56"/>
        <v>0.002916666666666667</v>
      </c>
      <c r="D75">
        <f t="shared" si="51"/>
        <v>7806</v>
      </c>
      <c r="E75">
        <f t="shared" si="57"/>
        <v>414039</v>
      </c>
      <c r="G75" t="s">
        <v>183</v>
      </c>
      <c r="H75">
        <f t="shared" si="52"/>
        <v>2341517</v>
      </c>
      <c r="I75" s="28">
        <f t="shared" si="58"/>
        <v>0.0027500000000000003</v>
      </c>
      <c r="J75">
        <f t="shared" si="53"/>
        <v>6439</v>
      </c>
      <c r="K75">
        <f t="shared" si="59"/>
        <v>368390</v>
      </c>
      <c r="M75" t="s">
        <v>183</v>
      </c>
      <c r="N75">
        <f t="shared" si="54"/>
        <v>5017734</v>
      </c>
      <c r="O75" s="28"/>
      <c r="P75">
        <f t="shared" si="55"/>
        <v>14245</v>
      </c>
      <c r="Q75">
        <f t="shared" si="55"/>
        <v>782429</v>
      </c>
    </row>
    <row r="76" spans="1:17" ht="15">
      <c r="A76" t="s">
        <v>184</v>
      </c>
      <c r="B76">
        <f t="shared" si="50"/>
        <v>2676217</v>
      </c>
      <c r="C76" s="28">
        <f t="shared" si="56"/>
        <v>0.002916666666666667</v>
      </c>
      <c r="D76">
        <f t="shared" si="51"/>
        <v>7806</v>
      </c>
      <c r="E76">
        <f t="shared" si="57"/>
        <v>421845</v>
      </c>
      <c r="G76" t="s">
        <v>184</v>
      </c>
      <c r="H76">
        <f t="shared" si="52"/>
        <v>2341517</v>
      </c>
      <c r="I76" s="28">
        <f t="shared" si="58"/>
        <v>0.0027500000000000003</v>
      </c>
      <c r="J76">
        <f t="shared" si="53"/>
        <v>6439</v>
      </c>
      <c r="K76">
        <f t="shared" si="59"/>
        <v>374829</v>
      </c>
      <c r="M76" t="s">
        <v>184</v>
      </c>
      <c r="N76">
        <f t="shared" si="54"/>
        <v>5017734</v>
      </c>
      <c r="O76" s="28"/>
      <c r="P76">
        <f t="shared" si="55"/>
        <v>14245</v>
      </c>
      <c r="Q76">
        <f t="shared" si="55"/>
        <v>796674</v>
      </c>
    </row>
    <row r="77" spans="1:17" ht="15">
      <c r="A77" t="s">
        <v>185</v>
      </c>
      <c r="B77">
        <f t="shared" si="50"/>
        <v>2676217</v>
      </c>
      <c r="C77" s="28">
        <f t="shared" si="56"/>
        <v>0.002916666666666667</v>
      </c>
      <c r="D77">
        <f t="shared" si="51"/>
        <v>7806</v>
      </c>
      <c r="E77">
        <f t="shared" si="57"/>
        <v>429651</v>
      </c>
      <c r="G77" t="s">
        <v>185</v>
      </c>
      <c r="H77">
        <f t="shared" si="52"/>
        <v>2341517</v>
      </c>
      <c r="I77" s="28">
        <f t="shared" si="58"/>
        <v>0.0027500000000000003</v>
      </c>
      <c r="J77">
        <f t="shared" si="53"/>
        <v>6439</v>
      </c>
      <c r="K77">
        <f t="shared" si="59"/>
        <v>381268</v>
      </c>
      <c r="M77" t="s">
        <v>185</v>
      </c>
      <c r="N77">
        <f t="shared" si="54"/>
        <v>5017734</v>
      </c>
      <c r="O77" s="28"/>
      <c r="P77">
        <f t="shared" si="55"/>
        <v>14245</v>
      </c>
      <c r="Q77">
        <f t="shared" si="55"/>
        <v>810919</v>
      </c>
    </row>
    <row r="78" spans="1:17" ht="15">
      <c r="A78" t="s">
        <v>186</v>
      </c>
      <c r="B78">
        <f t="shared" si="50"/>
        <v>2676217</v>
      </c>
      <c r="C78" s="28">
        <f t="shared" si="56"/>
        <v>0.002916666666666667</v>
      </c>
      <c r="D78">
        <f t="shared" si="51"/>
        <v>7806</v>
      </c>
      <c r="E78">
        <f t="shared" si="57"/>
        <v>437457</v>
      </c>
      <c r="G78" t="s">
        <v>186</v>
      </c>
      <c r="H78">
        <f t="shared" si="52"/>
        <v>2341517</v>
      </c>
      <c r="I78" s="28">
        <f t="shared" si="58"/>
        <v>0.0027500000000000003</v>
      </c>
      <c r="J78">
        <f t="shared" si="53"/>
        <v>6439</v>
      </c>
      <c r="K78">
        <f t="shared" si="59"/>
        <v>387707</v>
      </c>
      <c r="M78" t="s">
        <v>186</v>
      </c>
      <c r="N78">
        <f t="shared" si="54"/>
        <v>5017734</v>
      </c>
      <c r="O78" s="28"/>
      <c r="P78">
        <f t="shared" si="55"/>
        <v>14245</v>
      </c>
      <c r="Q78">
        <f t="shared" si="55"/>
        <v>825164</v>
      </c>
    </row>
    <row r="79" spans="1:17" ht="15">
      <c r="A79" t="s">
        <v>187</v>
      </c>
      <c r="B79">
        <f t="shared" si="50"/>
        <v>2676217</v>
      </c>
      <c r="C79" s="28">
        <f t="shared" si="56"/>
        <v>0.002916666666666667</v>
      </c>
      <c r="D79">
        <f t="shared" si="51"/>
        <v>7806</v>
      </c>
      <c r="E79">
        <f t="shared" si="57"/>
        <v>445263</v>
      </c>
      <c r="G79" t="s">
        <v>187</v>
      </c>
      <c r="H79">
        <f t="shared" si="52"/>
        <v>2341517</v>
      </c>
      <c r="I79" s="28">
        <f t="shared" si="58"/>
        <v>0.0027500000000000003</v>
      </c>
      <c r="J79">
        <f t="shared" si="53"/>
        <v>6439</v>
      </c>
      <c r="K79">
        <f t="shared" si="59"/>
        <v>394146</v>
      </c>
      <c r="M79" t="s">
        <v>187</v>
      </c>
      <c r="N79">
        <f t="shared" si="54"/>
        <v>5017734</v>
      </c>
      <c r="O79" s="28"/>
      <c r="P79">
        <f t="shared" si="55"/>
        <v>14245</v>
      </c>
      <c r="Q79">
        <f t="shared" si="55"/>
        <v>839409</v>
      </c>
    </row>
    <row r="80" spans="1:17" ht="15">
      <c r="A80" t="s">
        <v>188</v>
      </c>
      <c r="B80">
        <f t="shared" si="50"/>
        <v>2676217</v>
      </c>
      <c r="C80" s="28">
        <f t="shared" si="56"/>
        <v>0.002916666666666667</v>
      </c>
      <c r="D80">
        <f t="shared" si="51"/>
        <v>7806</v>
      </c>
      <c r="E80">
        <f t="shared" si="57"/>
        <v>453069</v>
      </c>
      <c r="G80" t="s">
        <v>188</v>
      </c>
      <c r="H80">
        <f t="shared" si="52"/>
        <v>2341517</v>
      </c>
      <c r="I80" s="28">
        <f t="shared" si="58"/>
        <v>0.0027500000000000003</v>
      </c>
      <c r="J80">
        <f t="shared" si="53"/>
        <v>6439</v>
      </c>
      <c r="K80">
        <f t="shared" si="59"/>
        <v>400585</v>
      </c>
      <c r="M80" t="s">
        <v>188</v>
      </c>
      <c r="N80">
        <f t="shared" si="54"/>
        <v>5017734</v>
      </c>
      <c r="O80" s="28"/>
      <c r="P80">
        <f t="shared" si="55"/>
        <v>14245</v>
      </c>
      <c r="Q80">
        <f t="shared" si="55"/>
        <v>853654</v>
      </c>
    </row>
    <row r="81" spans="1:17" ht="15">
      <c r="A81" t="s">
        <v>189</v>
      </c>
      <c r="B81">
        <f t="shared" si="50"/>
        <v>2676217</v>
      </c>
      <c r="C81" s="28">
        <f t="shared" si="56"/>
        <v>0.002916666666666667</v>
      </c>
      <c r="D81">
        <f t="shared" si="51"/>
        <v>7806</v>
      </c>
      <c r="E81">
        <f t="shared" si="57"/>
        <v>460875</v>
      </c>
      <c r="G81" t="s">
        <v>189</v>
      </c>
      <c r="H81">
        <f t="shared" si="52"/>
        <v>2341517</v>
      </c>
      <c r="I81" s="28">
        <f t="shared" si="58"/>
        <v>0.0027500000000000003</v>
      </c>
      <c r="J81">
        <f t="shared" si="53"/>
        <v>6439</v>
      </c>
      <c r="K81">
        <f t="shared" si="59"/>
        <v>407024</v>
      </c>
      <c r="M81" t="s">
        <v>189</v>
      </c>
      <c r="N81">
        <f t="shared" si="54"/>
        <v>5017734</v>
      </c>
      <c r="O81" s="28"/>
      <c r="P81">
        <f t="shared" si="55"/>
        <v>14245</v>
      </c>
      <c r="Q81">
        <f t="shared" si="55"/>
        <v>867899</v>
      </c>
    </row>
    <row r="82" spans="1:17" ht="15">
      <c r="A82" t="s">
        <v>190</v>
      </c>
      <c r="B82">
        <f t="shared" si="50"/>
        <v>2676217</v>
      </c>
      <c r="C82" s="28">
        <f t="shared" si="56"/>
        <v>0.002916666666666667</v>
      </c>
      <c r="D82">
        <f t="shared" si="51"/>
        <v>7806</v>
      </c>
      <c r="E82">
        <f t="shared" si="57"/>
        <v>468681</v>
      </c>
      <c r="G82" t="s">
        <v>190</v>
      </c>
      <c r="H82">
        <f t="shared" si="52"/>
        <v>2341517</v>
      </c>
      <c r="I82" s="28">
        <f t="shared" si="58"/>
        <v>0.0027500000000000003</v>
      </c>
      <c r="J82">
        <f t="shared" si="53"/>
        <v>6439</v>
      </c>
      <c r="K82">
        <f t="shared" si="59"/>
        <v>413463</v>
      </c>
      <c r="M82" t="s">
        <v>190</v>
      </c>
      <c r="N82">
        <f t="shared" si="54"/>
        <v>5017734</v>
      </c>
      <c r="O82" s="28"/>
      <c r="P82">
        <f t="shared" si="55"/>
        <v>14245</v>
      </c>
      <c r="Q82">
        <f t="shared" si="55"/>
        <v>882144</v>
      </c>
    </row>
    <row r="83" spans="1:17" ht="15">
      <c r="A83" t="s">
        <v>191</v>
      </c>
      <c r="B83">
        <f t="shared" si="50"/>
        <v>2676217</v>
      </c>
      <c r="C83" s="28">
        <f t="shared" si="56"/>
        <v>0.002916666666666667</v>
      </c>
      <c r="D83">
        <f t="shared" si="51"/>
        <v>7806</v>
      </c>
      <c r="E83">
        <f t="shared" si="57"/>
        <v>476487</v>
      </c>
      <c r="G83" t="s">
        <v>191</v>
      </c>
      <c r="H83">
        <f t="shared" si="52"/>
        <v>2341517</v>
      </c>
      <c r="I83" s="28">
        <f t="shared" si="58"/>
        <v>0.0027500000000000003</v>
      </c>
      <c r="J83">
        <f t="shared" si="53"/>
        <v>6439</v>
      </c>
      <c r="K83">
        <f t="shared" si="59"/>
        <v>419902</v>
      </c>
      <c r="M83" t="s">
        <v>191</v>
      </c>
      <c r="N83">
        <f t="shared" si="54"/>
        <v>5017734</v>
      </c>
      <c r="O83" s="28"/>
      <c r="P83">
        <f t="shared" si="55"/>
        <v>14245</v>
      </c>
      <c r="Q83">
        <f t="shared" si="55"/>
        <v>896389</v>
      </c>
    </row>
    <row r="84" spans="1:17" ht="15">
      <c r="A84" t="s">
        <v>192</v>
      </c>
      <c r="B84">
        <f t="shared" si="50"/>
        <v>2676217</v>
      </c>
      <c r="C84" s="28">
        <f t="shared" si="56"/>
        <v>0.002916666666666667</v>
      </c>
      <c r="D84">
        <f t="shared" si="51"/>
        <v>7806</v>
      </c>
      <c r="E84">
        <f t="shared" si="57"/>
        <v>484293</v>
      </c>
      <c r="G84" t="s">
        <v>192</v>
      </c>
      <c r="H84">
        <f t="shared" si="52"/>
        <v>2341517</v>
      </c>
      <c r="I84" s="28">
        <f t="shared" si="58"/>
        <v>0.0027500000000000003</v>
      </c>
      <c r="J84">
        <f t="shared" si="53"/>
        <v>6439</v>
      </c>
      <c r="K84">
        <f t="shared" si="59"/>
        <v>426341</v>
      </c>
      <c r="M84" t="s">
        <v>192</v>
      </c>
      <c r="N84">
        <f t="shared" si="54"/>
        <v>5017734</v>
      </c>
      <c r="O84" s="28"/>
      <c r="P84" s="58">
        <f>J84+D84</f>
        <v>14245</v>
      </c>
      <c r="Q84">
        <f t="shared" si="55"/>
        <v>910634</v>
      </c>
    </row>
    <row r="85" spans="3:15" ht="15">
      <c r="C85" s="28"/>
      <c r="O85" s="28"/>
    </row>
    <row r="86" spans="1:17" ht="15">
      <c r="A86" s="43" t="s">
        <v>288</v>
      </c>
      <c r="B86">
        <f t="shared" si="50"/>
        <v>2676217</v>
      </c>
      <c r="C86" s="28">
        <f t="shared" si="56"/>
        <v>0.002916666666666667</v>
      </c>
      <c r="D86">
        <f t="shared" si="51"/>
        <v>7806</v>
      </c>
      <c r="E86">
        <f>ROUND(+E84+D86,0)</f>
        <v>492099</v>
      </c>
      <c r="G86" s="43" t="s">
        <v>288</v>
      </c>
      <c r="H86">
        <f t="shared" si="52"/>
        <v>2341517</v>
      </c>
      <c r="I86" s="28">
        <f t="shared" si="58"/>
        <v>0.0027500000000000003</v>
      </c>
      <c r="J86">
        <f t="shared" si="53"/>
        <v>6439</v>
      </c>
      <c r="K86">
        <f>ROUND(+K84+J86,0)</f>
        <v>432780</v>
      </c>
      <c r="M86" s="43" t="s">
        <v>288</v>
      </c>
      <c r="N86">
        <f t="shared" si="54"/>
        <v>5017734</v>
      </c>
      <c r="O86" s="28"/>
      <c r="P86" s="58">
        <f>J86+D86</f>
        <v>14245</v>
      </c>
      <c r="Q86">
        <f t="shared" si="55"/>
        <v>924879</v>
      </c>
    </row>
    <row r="87" spans="1:17" ht="15">
      <c r="A87" s="43" t="s">
        <v>289</v>
      </c>
      <c r="B87">
        <f t="shared" si="50"/>
        <v>2676217</v>
      </c>
      <c r="C87" s="28">
        <f t="shared" si="56"/>
        <v>0.002916666666666667</v>
      </c>
      <c r="D87">
        <f t="shared" si="51"/>
        <v>7806</v>
      </c>
      <c r="E87">
        <f>ROUND(+E86+D87,0)</f>
        <v>499905</v>
      </c>
      <c r="G87" s="43" t="s">
        <v>289</v>
      </c>
      <c r="H87">
        <f t="shared" si="52"/>
        <v>2341517</v>
      </c>
      <c r="I87" s="28">
        <f t="shared" si="58"/>
        <v>0.0027500000000000003</v>
      </c>
      <c r="J87">
        <f t="shared" si="53"/>
        <v>6439</v>
      </c>
      <c r="K87">
        <f>ROUND(+K86+J87,0)</f>
        <v>439219</v>
      </c>
      <c r="M87" s="43" t="s">
        <v>289</v>
      </c>
      <c r="N87">
        <f t="shared" si="54"/>
        <v>5017734</v>
      </c>
      <c r="O87" s="28"/>
      <c r="P87" s="58">
        <f aca="true" t="shared" si="60" ref="P87:Q110">J87+D87</f>
        <v>14245</v>
      </c>
      <c r="Q87">
        <f t="shared" si="55"/>
        <v>939124</v>
      </c>
    </row>
    <row r="88" spans="1:17" ht="15">
      <c r="A88" s="43" t="s">
        <v>290</v>
      </c>
      <c r="B88">
        <f t="shared" si="50"/>
        <v>2676217</v>
      </c>
      <c r="C88" s="28">
        <f t="shared" si="56"/>
        <v>0.002916666666666667</v>
      </c>
      <c r="D88">
        <f t="shared" si="51"/>
        <v>7806</v>
      </c>
      <c r="E88">
        <f aca="true" t="shared" si="61" ref="E88:E97">ROUND(+E87+D88,0)</f>
        <v>507711</v>
      </c>
      <c r="G88" s="43" t="s">
        <v>290</v>
      </c>
      <c r="H88">
        <f t="shared" si="52"/>
        <v>2341517</v>
      </c>
      <c r="I88" s="28">
        <f t="shared" si="58"/>
        <v>0.0027500000000000003</v>
      </c>
      <c r="J88">
        <f t="shared" si="53"/>
        <v>6439</v>
      </c>
      <c r="K88">
        <f aca="true" t="shared" si="62" ref="K88:K97">ROUND(+K87+J88,0)</f>
        <v>445658</v>
      </c>
      <c r="M88" s="43" t="s">
        <v>290</v>
      </c>
      <c r="N88">
        <f t="shared" si="54"/>
        <v>5017734</v>
      </c>
      <c r="O88" s="28"/>
      <c r="P88" s="58">
        <f t="shared" si="60"/>
        <v>14245</v>
      </c>
      <c r="Q88">
        <f t="shared" si="55"/>
        <v>953369</v>
      </c>
    </row>
    <row r="89" spans="1:17" ht="15">
      <c r="A89" s="43" t="s">
        <v>291</v>
      </c>
      <c r="B89">
        <f t="shared" si="50"/>
        <v>2676217</v>
      </c>
      <c r="C89" s="28">
        <f t="shared" si="56"/>
        <v>0.002916666666666667</v>
      </c>
      <c r="D89">
        <f t="shared" si="51"/>
        <v>7806</v>
      </c>
      <c r="E89">
        <f t="shared" si="61"/>
        <v>515517</v>
      </c>
      <c r="G89" s="43" t="s">
        <v>291</v>
      </c>
      <c r="H89">
        <f t="shared" si="52"/>
        <v>2341517</v>
      </c>
      <c r="I89" s="28">
        <f t="shared" si="58"/>
        <v>0.0027500000000000003</v>
      </c>
      <c r="J89">
        <f t="shared" si="53"/>
        <v>6439</v>
      </c>
      <c r="K89">
        <f t="shared" si="62"/>
        <v>452097</v>
      </c>
      <c r="M89" s="43" t="s">
        <v>291</v>
      </c>
      <c r="N89">
        <f t="shared" si="54"/>
        <v>5017734</v>
      </c>
      <c r="O89" s="28"/>
      <c r="P89" s="58">
        <f t="shared" si="60"/>
        <v>14245</v>
      </c>
      <c r="Q89">
        <f aca="true" t="shared" si="63" ref="Q89:Q97">K89+E89</f>
        <v>967614</v>
      </c>
    </row>
    <row r="90" spans="1:17" ht="15">
      <c r="A90" s="43" t="s">
        <v>292</v>
      </c>
      <c r="B90">
        <f t="shared" si="50"/>
        <v>2676217</v>
      </c>
      <c r="C90" s="28">
        <f t="shared" si="56"/>
        <v>0.002916666666666667</v>
      </c>
      <c r="D90">
        <f t="shared" si="51"/>
        <v>7806</v>
      </c>
      <c r="E90">
        <f t="shared" si="61"/>
        <v>523323</v>
      </c>
      <c r="G90" s="43" t="s">
        <v>292</v>
      </c>
      <c r="H90">
        <f t="shared" si="52"/>
        <v>2341517</v>
      </c>
      <c r="I90" s="28">
        <f t="shared" si="58"/>
        <v>0.0027500000000000003</v>
      </c>
      <c r="J90">
        <f t="shared" si="53"/>
        <v>6439</v>
      </c>
      <c r="K90">
        <f t="shared" si="62"/>
        <v>458536</v>
      </c>
      <c r="M90" s="43" t="s">
        <v>292</v>
      </c>
      <c r="N90">
        <f t="shared" si="54"/>
        <v>5017734</v>
      </c>
      <c r="P90" s="58">
        <f t="shared" si="60"/>
        <v>14245</v>
      </c>
      <c r="Q90">
        <f t="shared" si="63"/>
        <v>981859</v>
      </c>
    </row>
    <row r="91" spans="1:17" ht="15">
      <c r="A91" s="43" t="s">
        <v>293</v>
      </c>
      <c r="B91">
        <f t="shared" si="50"/>
        <v>2676217</v>
      </c>
      <c r="C91" s="28">
        <f t="shared" si="56"/>
        <v>0.002916666666666667</v>
      </c>
      <c r="D91">
        <f t="shared" si="51"/>
        <v>7806</v>
      </c>
      <c r="E91">
        <f t="shared" si="61"/>
        <v>531129</v>
      </c>
      <c r="G91" s="43" t="s">
        <v>293</v>
      </c>
      <c r="H91">
        <f t="shared" si="52"/>
        <v>2341517</v>
      </c>
      <c r="I91" s="28">
        <f t="shared" si="58"/>
        <v>0.0027500000000000003</v>
      </c>
      <c r="J91">
        <f t="shared" si="53"/>
        <v>6439</v>
      </c>
      <c r="K91">
        <f t="shared" si="62"/>
        <v>464975</v>
      </c>
      <c r="M91" s="43" t="s">
        <v>293</v>
      </c>
      <c r="N91">
        <f t="shared" si="54"/>
        <v>5017734</v>
      </c>
      <c r="P91" s="58">
        <f t="shared" si="60"/>
        <v>14245</v>
      </c>
      <c r="Q91">
        <f t="shared" si="63"/>
        <v>996104</v>
      </c>
    </row>
    <row r="92" spans="1:17" ht="15">
      <c r="A92" s="43" t="s">
        <v>294</v>
      </c>
      <c r="B92">
        <f t="shared" si="50"/>
        <v>2676217</v>
      </c>
      <c r="C92" s="28">
        <f t="shared" si="56"/>
        <v>0.002916666666666667</v>
      </c>
      <c r="D92">
        <f t="shared" si="51"/>
        <v>7806</v>
      </c>
      <c r="E92">
        <f t="shared" si="61"/>
        <v>538935</v>
      </c>
      <c r="G92" s="43" t="s">
        <v>294</v>
      </c>
      <c r="H92">
        <f t="shared" si="52"/>
        <v>2341517</v>
      </c>
      <c r="I92" s="28">
        <f t="shared" si="58"/>
        <v>0.0027500000000000003</v>
      </c>
      <c r="J92">
        <f t="shared" si="53"/>
        <v>6439</v>
      </c>
      <c r="K92">
        <f t="shared" si="62"/>
        <v>471414</v>
      </c>
      <c r="M92" s="43" t="s">
        <v>294</v>
      </c>
      <c r="N92">
        <f t="shared" si="54"/>
        <v>5017734</v>
      </c>
      <c r="P92" s="58">
        <f t="shared" si="60"/>
        <v>14245</v>
      </c>
      <c r="Q92">
        <f t="shared" si="63"/>
        <v>1010349</v>
      </c>
    </row>
    <row r="93" spans="1:17" ht="15">
      <c r="A93" s="43" t="s">
        <v>295</v>
      </c>
      <c r="B93">
        <f t="shared" si="50"/>
        <v>2676217</v>
      </c>
      <c r="C93" s="28">
        <f t="shared" si="56"/>
        <v>0.002916666666666667</v>
      </c>
      <c r="D93">
        <f t="shared" si="51"/>
        <v>7806</v>
      </c>
      <c r="E93">
        <f t="shared" si="61"/>
        <v>546741</v>
      </c>
      <c r="G93" s="43" t="s">
        <v>295</v>
      </c>
      <c r="H93">
        <f t="shared" si="52"/>
        <v>2341517</v>
      </c>
      <c r="I93" s="28">
        <f t="shared" si="58"/>
        <v>0.0027500000000000003</v>
      </c>
      <c r="J93">
        <f t="shared" si="53"/>
        <v>6439</v>
      </c>
      <c r="K93">
        <f t="shared" si="62"/>
        <v>477853</v>
      </c>
      <c r="M93" s="43" t="s">
        <v>295</v>
      </c>
      <c r="N93">
        <f t="shared" si="54"/>
        <v>5017734</v>
      </c>
      <c r="P93" s="58">
        <f t="shared" si="60"/>
        <v>14245</v>
      </c>
      <c r="Q93">
        <f t="shared" si="63"/>
        <v>1024594</v>
      </c>
    </row>
    <row r="94" spans="1:17" ht="15">
      <c r="A94" s="43" t="s">
        <v>296</v>
      </c>
      <c r="B94">
        <f t="shared" si="50"/>
        <v>2676217</v>
      </c>
      <c r="C94" s="28">
        <f t="shared" si="56"/>
        <v>0.002916666666666667</v>
      </c>
      <c r="D94">
        <f t="shared" si="51"/>
        <v>7806</v>
      </c>
      <c r="E94">
        <f t="shared" si="61"/>
        <v>554547</v>
      </c>
      <c r="G94" s="43" t="s">
        <v>296</v>
      </c>
      <c r="H94">
        <f t="shared" si="52"/>
        <v>2341517</v>
      </c>
      <c r="I94" s="28">
        <f t="shared" si="58"/>
        <v>0.0027500000000000003</v>
      </c>
      <c r="J94">
        <f t="shared" si="53"/>
        <v>6439</v>
      </c>
      <c r="K94">
        <f t="shared" si="62"/>
        <v>484292</v>
      </c>
      <c r="M94" s="43" t="s">
        <v>296</v>
      </c>
      <c r="N94">
        <f t="shared" si="54"/>
        <v>5017734</v>
      </c>
      <c r="P94" s="58">
        <f t="shared" si="60"/>
        <v>14245</v>
      </c>
      <c r="Q94">
        <f t="shared" si="63"/>
        <v>1038839</v>
      </c>
    </row>
    <row r="95" spans="1:17" ht="15">
      <c r="A95" s="43" t="s">
        <v>297</v>
      </c>
      <c r="B95">
        <f t="shared" si="50"/>
        <v>2676217</v>
      </c>
      <c r="C95" s="28">
        <f t="shared" si="56"/>
        <v>0.002916666666666667</v>
      </c>
      <c r="D95">
        <f t="shared" si="51"/>
        <v>7806</v>
      </c>
      <c r="E95">
        <f t="shared" si="61"/>
        <v>562353</v>
      </c>
      <c r="G95" s="43" t="s">
        <v>297</v>
      </c>
      <c r="H95">
        <f t="shared" si="52"/>
        <v>2341517</v>
      </c>
      <c r="I95" s="28">
        <f t="shared" si="58"/>
        <v>0.0027500000000000003</v>
      </c>
      <c r="J95">
        <f t="shared" si="53"/>
        <v>6439</v>
      </c>
      <c r="K95">
        <f t="shared" si="62"/>
        <v>490731</v>
      </c>
      <c r="M95" s="43" t="s">
        <v>297</v>
      </c>
      <c r="N95">
        <f t="shared" si="54"/>
        <v>5017734</v>
      </c>
      <c r="P95" s="58">
        <f t="shared" si="60"/>
        <v>14245</v>
      </c>
      <c r="Q95">
        <f t="shared" si="63"/>
        <v>1053084</v>
      </c>
    </row>
    <row r="96" spans="1:17" ht="15">
      <c r="A96" s="43" t="s">
        <v>298</v>
      </c>
      <c r="B96">
        <f t="shared" si="50"/>
        <v>2676217</v>
      </c>
      <c r="C96" s="28">
        <f t="shared" si="56"/>
        <v>0.002916666666666667</v>
      </c>
      <c r="D96">
        <f t="shared" si="51"/>
        <v>7806</v>
      </c>
      <c r="E96">
        <f t="shared" si="61"/>
        <v>570159</v>
      </c>
      <c r="G96" s="43" t="s">
        <v>298</v>
      </c>
      <c r="H96">
        <f t="shared" si="52"/>
        <v>2341517</v>
      </c>
      <c r="I96" s="28">
        <f t="shared" si="58"/>
        <v>0.0027500000000000003</v>
      </c>
      <c r="J96">
        <f t="shared" si="53"/>
        <v>6439</v>
      </c>
      <c r="K96">
        <f t="shared" si="62"/>
        <v>497170</v>
      </c>
      <c r="M96" s="43" t="s">
        <v>298</v>
      </c>
      <c r="N96">
        <f t="shared" si="54"/>
        <v>5017734</v>
      </c>
      <c r="P96" s="58">
        <f t="shared" si="60"/>
        <v>14245</v>
      </c>
      <c r="Q96">
        <f t="shared" si="63"/>
        <v>1067329</v>
      </c>
    </row>
    <row r="97" spans="1:17" ht="15">
      <c r="A97" s="43" t="s">
        <v>299</v>
      </c>
      <c r="B97">
        <f t="shared" si="50"/>
        <v>2676217</v>
      </c>
      <c r="C97" s="28">
        <f t="shared" si="56"/>
        <v>0.002916666666666667</v>
      </c>
      <c r="D97">
        <f t="shared" si="51"/>
        <v>7806</v>
      </c>
      <c r="E97">
        <f t="shared" si="61"/>
        <v>577965</v>
      </c>
      <c r="G97" s="43" t="s">
        <v>299</v>
      </c>
      <c r="H97">
        <f t="shared" si="52"/>
        <v>2341517</v>
      </c>
      <c r="I97" s="28">
        <f t="shared" si="58"/>
        <v>0.0027500000000000003</v>
      </c>
      <c r="J97">
        <f t="shared" si="53"/>
        <v>6439</v>
      </c>
      <c r="K97">
        <f t="shared" si="62"/>
        <v>503609</v>
      </c>
      <c r="M97" s="43" t="s">
        <v>299</v>
      </c>
      <c r="N97">
        <f t="shared" si="54"/>
        <v>5017734</v>
      </c>
      <c r="P97" s="58">
        <f t="shared" si="60"/>
        <v>14245</v>
      </c>
      <c r="Q97">
        <f t="shared" si="63"/>
        <v>1081574</v>
      </c>
    </row>
    <row r="99" spans="1:17" ht="15">
      <c r="A99" s="43" t="s">
        <v>357</v>
      </c>
      <c r="B99">
        <f>$B$6</f>
        <v>2676217</v>
      </c>
      <c r="C99" s="28">
        <f t="shared" si="56"/>
        <v>0.002916666666666667</v>
      </c>
      <c r="D99">
        <f t="shared" si="51"/>
        <v>7806</v>
      </c>
      <c r="E99">
        <f>ROUND(+E97+D99,0)</f>
        <v>585771</v>
      </c>
      <c r="G99" s="43" t="s">
        <v>357</v>
      </c>
      <c r="H99">
        <f t="shared" si="52"/>
        <v>2341517</v>
      </c>
      <c r="I99" s="28">
        <f t="shared" si="58"/>
        <v>0.0027500000000000003</v>
      </c>
      <c r="J99">
        <f t="shared" si="53"/>
        <v>6439</v>
      </c>
      <c r="K99">
        <f>ROUND(+K97+J99,0)</f>
        <v>510048</v>
      </c>
      <c r="M99" s="43" t="s">
        <v>357</v>
      </c>
      <c r="N99">
        <f t="shared" si="54"/>
        <v>5017734</v>
      </c>
      <c r="P99" s="58">
        <f t="shared" si="60"/>
        <v>14245</v>
      </c>
      <c r="Q99">
        <f t="shared" si="60"/>
        <v>1095819</v>
      </c>
    </row>
    <row r="100" spans="1:17" ht="15">
      <c r="A100" s="43" t="s">
        <v>358</v>
      </c>
      <c r="B100">
        <f aca="true" t="shared" si="64" ref="B100:B110">$B$6</f>
        <v>2676217</v>
      </c>
      <c r="C100" s="28">
        <f t="shared" si="56"/>
        <v>0.002916666666666667</v>
      </c>
      <c r="D100">
        <f t="shared" si="51"/>
        <v>7806</v>
      </c>
      <c r="E100">
        <f>ROUND(+E99+D100,0)</f>
        <v>593577</v>
      </c>
      <c r="G100" s="43" t="s">
        <v>358</v>
      </c>
      <c r="H100">
        <f t="shared" si="52"/>
        <v>2341517</v>
      </c>
      <c r="I100" s="28">
        <f t="shared" si="58"/>
        <v>0.0027500000000000003</v>
      </c>
      <c r="J100">
        <f t="shared" si="53"/>
        <v>6439</v>
      </c>
      <c r="K100">
        <f>ROUND(+K99+J100,0)</f>
        <v>516487</v>
      </c>
      <c r="M100" s="43" t="s">
        <v>358</v>
      </c>
      <c r="N100">
        <f t="shared" si="54"/>
        <v>5017734</v>
      </c>
      <c r="P100" s="58">
        <f t="shared" si="60"/>
        <v>14245</v>
      </c>
      <c r="Q100">
        <f t="shared" si="60"/>
        <v>1110064</v>
      </c>
    </row>
    <row r="101" spans="1:17" ht="15">
      <c r="A101" s="43" t="s">
        <v>359</v>
      </c>
      <c r="B101">
        <f t="shared" si="64"/>
        <v>2676217</v>
      </c>
      <c r="C101" s="28">
        <f t="shared" si="56"/>
        <v>0.002916666666666667</v>
      </c>
      <c r="D101">
        <f t="shared" si="51"/>
        <v>7806</v>
      </c>
      <c r="E101">
        <f aca="true" t="shared" si="65" ref="E101:E110">ROUND(+E100+D101,0)</f>
        <v>601383</v>
      </c>
      <c r="G101" s="43" t="s">
        <v>359</v>
      </c>
      <c r="H101">
        <f t="shared" si="52"/>
        <v>2341517</v>
      </c>
      <c r="I101" s="28">
        <f t="shared" si="58"/>
        <v>0.0027500000000000003</v>
      </c>
      <c r="J101">
        <f t="shared" si="53"/>
        <v>6439</v>
      </c>
      <c r="K101">
        <f aca="true" t="shared" si="66" ref="K101:K110">ROUND(+K100+J101,0)</f>
        <v>522926</v>
      </c>
      <c r="M101" s="43" t="s">
        <v>359</v>
      </c>
      <c r="N101">
        <f t="shared" si="54"/>
        <v>5017734</v>
      </c>
      <c r="P101" s="58">
        <f t="shared" si="60"/>
        <v>14245</v>
      </c>
      <c r="Q101">
        <f t="shared" si="60"/>
        <v>1124309</v>
      </c>
    </row>
    <row r="102" spans="1:17" ht="15">
      <c r="A102" s="43" t="s">
        <v>360</v>
      </c>
      <c r="B102">
        <f t="shared" si="64"/>
        <v>2676217</v>
      </c>
      <c r="C102" s="28">
        <f t="shared" si="56"/>
        <v>0.002916666666666667</v>
      </c>
      <c r="D102">
        <f t="shared" si="51"/>
        <v>7806</v>
      </c>
      <c r="E102">
        <f t="shared" si="65"/>
        <v>609189</v>
      </c>
      <c r="G102" s="43" t="s">
        <v>360</v>
      </c>
      <c r="H102">
        <f t="shared" si="52"/>
        <v>2341517</v>
      </c>
      <c r="I102" s="28">
        <f t="shared" si="58"/>
        <v>0.0027500000000000003</v>
      </c>
      <c r="J102">
        <f t="shared" si="53"/>
        <v>6439</v>
      </c>
      <c r="K102">
        <f t="shared" si="66"/>
        <v>529365</v>
      </c>
      <c r="M102" s="43" t="s">
        <v>360</v>
      </c>
      <c r="N102">
        <f t="shared" si="54"/>
        <v>5017734</v>
      </c>
      <c r="P102" s="58">
        <f t="shared" si="60"/>
        <v>14245</v>
      </c>
      <c r="Q102">
        <f t="shared" si="60"/>
        <v>1138554</v>
      </c>
    </row>
    <row r="103" spans="1:17" ht="15">
      <c r="A103" s="43" t="s">
        <v>361</v>
      </c>
      <c r="B103">
        <f t="shared" si="64"/>
        <v>2676217</v>
      </c>
      <c r="C103" s="28">
        <f t="shared" si="56"/>
        <v>0.002916666666666667</v>
      </c>
      <c r="D103">
        <f t="shared" si="51"/>
        <v>7806</v>
      </c>
      <c r="E103">
        <f t="shared" si="65"/>
        <v>616995</v>
      </c>
      <c r="G103" s="43" t="s">
        <v>361</v>
      </c>
      <c r="H103">
        <f t="shared" si="52"/>
        <v>2341517</v>
      </c>
      <c r="I103" s="28">
        <f t="shared" si="58"/>
        <v>0.0027500000000000003</v>
      </c>
      <c r="J103">
        <f t="shared" si="53"/>
        <v>6439</v>
      </c>
      <c r="K103">
        <f t="shared" si="66"/>
        <v>535804</v>
      </c>
      <c r="M103" s="43" t="s">
        <v>361</v>
      </c>
      <c r="N103">
        <f t="shared" si="54"/>
        <v>5017734</v>
      </c>
      <c r="P103" s="58">
        <f t="shared" si="60"/>
        <v>14245</v>
      </c>
      <c r="Q103">
        <f t="shared" si="60"/>
        <v>1152799</v>
      </c>
    </row>
    <row r="104" spans="1:17" ht="15">
      <c r="A104" s="43" t="s">
        <v>362</v>
      </c>
      <c r="B104">
        <f t="shared" si="64"/>
        <v>2676217</v>
      </c>
      <c r="C104" s="28">
        <f t="shared" si="56"/>
        <v>0.002916666666666667</v>
      </c>
      <c r="D104">
        <f t="shared" si="51"/>
        <v>7806</v>
      </c>
      <c r="E104">
        <f t="shared" si="65"/>
        <v>624801</v>
      </c>
      <c r="G104" s="43" t="s">
        <v>362</v>
      </c>
      <c r="H104">
        <f t="shared" si="52"/>
        <v>2341517</v>
      </c>
      <c r="I104" s="28">
        <f t="shared" si="58"/>
        <v>0.0027500000000000003</v>
      </c>
      <c r="J104">
        <f t="shared" si="53"/>
        <v>6439</v>
      </c>
      <c r="K104">
        <f t="shared" si="66"/>
        <v>542243</v>
      </c>
      <c r="M104" s="43" t="s">
        <v>362</v>
      </c>
      <c r="N104">
        <f t="shared" si="54"/>
        <v>5017734</v>
      </c>
      <c r="P104" s="58">
        <f t="shared" si="60"/>
        <v>14245</v>
      </c>
      <c r="Q104">
        <f t="shared" si="60"/>
        <v>1167044</v>
      </c>
    </row>
    <row r="105" spans="1:17" ht="15">
      <c r="A105" s="43" t="s">
        <v>363</v>
      </c>
      <c r="B105">
        <f t="shared" si="64"/>
        <v>2676217</v>
      </c>
      <c r="C105" s="28">
        <f t="shared" si="56"/>
        <v>0.002916666666666667</v>
      </c>
      <c r="D105">
        <f t="shared" si="51"/>
        <v>7806</v>
      </c>
      <c r="E105">
        <f t="shared" si="65"/>
        <v>632607</v>
      </c>
      <c r="G105" s="43" t="s">
        <v>363</v>
      </c>
      <c r="H105">
        <f t="shared" si="52"/>
        <v>2341517</v>
      </c>
      <c r="I105" s="28">
        <f t="shared" si="58"/>
        <v>0.0027500000000000003</v>
      </c>
      <c r="J105">
        <f t="shared" si="53"/>
        <v>6439</v>
      </c>
      <c r="K105">
        <f t="shared" si="66"/>
        <v>548682</v>
      </c>
      <c r="M105" s="43" t="s">
        <v>363</v>
      </c>
      <c r="N105">
        <f t="shared" si="54"/>
        <v>5017734</v>
      </c>
      <c r="P105" s="58">
        <f t="shared" si="60"/>
        <v>14245</v>
      </c>
      <c r="Q105">
        <f t="shared" si="60"/>
        <v>1181289</v>
      </c>
    </row>
    <row r="106" spans="1:17" ht="15">
      <c r="A106" s="43" t="s">
        <v>364</v>
      </c>
      <c r="B106">
        <f t="shared" si="64"/>
        <v>2676217</v>
      </c>
      <c r="C106" s="28">
        <f t="shared" si="56"/>
        <v>0.002916666666666667</v>
      </c>
      <c r="D106">
        <f t="shared" si="51"/>
        <v>7806</v>
      </c>
      <c r="E106">
        <f t="shared" si="65"/>
        <v>640413</v>
      </c>
      <c r="G106" s="43" t="s">
        <v>364</v>
      </c>
      <c r="H106">
        <f t="shared" si="52"/>
        <v>2341517</v>
      </c>
      <c r="I106" s="28">
        <f t="shared" si="58"/>
        <v>0.0027500000000000003</v>
      </c>
      <c r="J106">
        <f t="shared" si="53"/>
        <v>6439</v>
      </c>
      <c r="K106">
        <f t="shared" si="66"/>
        <v>555121</v>
      </c>
      <c r="M106" s="43" t="s">
        <v>364</v>
      </c>
      <c r="N106">
        <f t="shared" si="54"/>
        <v>5017734</v>
      </c>
      <c r="P106" s="58">
        <f t="shared" si="60"/>
        <v>14245</v>
      </c>
      <c r="Q106">
        <f t="shared" si="60"/>
        <v>1195534</v>
      </c>
    </row>
    <row r="107" spans="1:17" ht="15">
      <c r="A107" s="43" t="s">
        <v>365</v>
      </c>
      <c r="B107">
        <f t="shared" si="64"/>
        <v>2676217</v>
      </c>
      <c r="C107" s="28">
        <f t="shared" si="56"/>
        <v>0.002916666666666667</v>
      </c>
      <c r="D107">
        <f t="shared" si="51"/>
        <v>7806</v>
      </c>
      <c r="E107">
        <f t="shared" si="65"/>
        <v>648219</v>
      </c>
      <c r="G107" s="43" t="s">
        <v>365</v>
      </c>
      <c r="H107">
        <f t="shared" si="52"/>
        <v>2341517</v>
      </c>
      <c r="I107" s="28">
        <f t="shared" si="58"/>
        <v>0.0027500000000000003</v>
      </c>
      <c r="J107">
        <f t="shared" si="53"/>
        <v>6439</v>
      </c>
      <c r="K107">
        <f t="shared" si="66"/>
        <v>561560</v>
      </c>
      <c r="M107" s="43" t="s">
        <v>365</v>
      </c>
      <c r="N107">
        <f t="shared" si="54"/>
        <v>5017734</v>
      </c>
      <c r="P107" s="58">
        <f t="shared" si="60"/>
        <v>14245</v>
      </c>
      <c r="Q107">
        <f t="shared" si="60"/>
        <v>1209779</v>
      </c>
    </row>
    <row r="108" spans="1:17" ht="15">
      <c r="A108" s="43" t="s">
        <v>366</v>
      </c>
      <c r="B108">
        <f t="shared" si="64"/>
        <v>2676217</v>
      </c>
      <c r="C108" s="28">
        <f t="shared" si="56"/>
        <v>0.002916666666666667</v>
      </c>
      <c r="D108">
        <f t="shared" si="51"/>
        <v>7806</v>
      </c>
      <c r="E108">
        <f t="shared" si="65"/>
        <v>656025</v>
      </c>
      <c r="G108" s="43" t="s">
        <v>366</v>
      </c>
      <c r="H108">
        <f t="shared" si="52"/>
        <v>2341517</v>
      </c>
      <c r="I108" s="28">
        <f t="shared" si="58"/>
        <v>0.0027500000000000003</v>
      </c>
      <c r="J108">
        <f t="shared" si="53"/>
        <v>6439</v>
      </c>
      <c r="K108">
        <f t="shared" si="66"/>
        <v>567999</v>
      </c>
      <c r="M108" s="43" t="s">
        <v>366</v>
      </c>
      <c r="N108">
        <f t="shared" si="54"/>
        <v>5017734</v>
      </c>
      <c r="P108" s="58">
        <f t="shared" si="60"/>
        <v>14245</v>
      </c>
      <c r="Q108">
        <f t="shared" si="60"/>
        <v>1224024</v>
      </c>
    </row>
    <row r="109" spans="1:17" ht="15">
      <c r="A109" s="43" t="s">
        <v>367</v>
      </c>
      <c r="B109">
        <f t="shared" si="64"/>
        <v>2676217</v>
      </c>
      <c r="C109" s="28">
        <f t="shared" si="56"/>
        <v>0.002916666666666667</v>
      </c>
      <c r="D109">
        <f t="shared" si="51"/>
        <v>7806</v>
      </c>
      <c r="E109">
        <f t="shared" si="65"/>
        <v>663831</v>
      </c>
      <c r="G109" s="43" t="s">
        <v>367</v>
      </c>
      <c r="H109">
        <f t="shared" si="52"/>
        <v>2341517</v>
      </c>
      <c r="I109" s="28">
        <f t="shared" si="58"/>
        <v>0.0027500000000000003</v>
      </c>
      <c r="J109">
        <f t="shared" si="53"/>
        <v>6439</v>
      </c>
      <c r="K109">
        <f t="shared" si="66"/>
        <v>574438</v>
      </c>
      <c r="M109" s="43" t="s">
        <v>367</v>
      </c>
      <c r="N109">
        <f t="shared" si="54"/>
        <v>5017734</v>
      </c>
      <c r="P109" s="58">
        <f t="shared" si="60"/>
        <v>14245</v>
      </c>
      <c r="Q109">
        <f t="shared" si="60"/>
        <v>1238269</v>
      </c>
    </row>
    <row r="110" spans="1:17" ht="15">
      <c r="A110" s="43" t="s">
        <v>368</v>
      </c>
      <c r="B110">
        <f t="shared" si="64"/>
        <v>2676217</v>
      </c>
      <c r="C110" s="28">
        <f t="shared" si="56"/>
        <v>0.002916666666666667</v>
      </c>
      <c r="D110">
        <f t="shared" si="51"/>
        <v>7806</v>
      </c>
      <c r="E110">
        <f t="shared" si="65"/>
        <v>671637</v>
      </c>
      <c r="G110" s="43" t="s">
        <v>368</v>
      </c>
      <c r="H110">
        <f t="shared" si="52"/>
        <v>2341517</v>
      </c>
      <c r="I110" s="28">
        <f t="shared" si="58"/>
        <v>0.0027500000000000003</v>
      </c>
      <c r="J110">
        <f t="shared" si="53"/>
        <v>6439</v>
      </c>
      <c r="K110">
        <f t="shared" si="66"/>
        <v>580877</v>
      </c>
      <c r="M110" s="43" t="s">
        <v>368</v>
      </c>
      <c r="N110">
        <f t="shared" si="54"/>
        <v>5017734</v>
      </c>
      <c r="P110" s="58">
        <f t="shared" si="60"/>
        <v>14245</v>
      </c>
      <c r="Q110">
        <f t="shared" si="60"/>
        <v>1252514</v>
      </c>
    </row>
    <row r="112" spans="1:17" ht="15">
      <c r="A112" s="72" t="s">
        <v>411</v>
      </c>
      <c r="B112">
        <f>$B$6</f>
        <v>2676217</v>
      </c>
      <c r="C112" s="28">
        <f t="shared" si="56"/>
        <v>0.002916666666666667</v>
      </c>
      <c r="D112">
        <f aca="true" t="shared" si="67" ref="D112:D123">ROUND((B112*C112),0)</f>
        <v>7806</v>
      </c>
      <c r="E112">
        <f>ROUND(+E110+D112,0)</f>
        <v>679443</v>
      </c>
      <c r="G112" s="72" t="s">
        <v>411</v>
      </c>
      <c r="H112">
        <f t="shared" si="52"/>
        <v>2341517</v>
      </c>
      <c r="I112" s="28">
        <f t="shared" si="58"/>
        <v>0.0027500000000000003</v>
      </c>
      <c r="J112">
        <f aca="true" t="shared" si="68" ref="J112:J123">ROUND((H112*I112),0)</f>
        <v>6439</v>
      </c>
      <c r="K112">
        <f>ROUND(+K110+J112,0)</f>
        <v>587316</v>
      </c>
      <c r="M112" s="72" t="s">
        <v>411</v>
      </c>
      <c r="N112">
        <f aca="true" t="shared" si="69" ref="N112:N123">B112+H112</f>
        <v>5017734</v>
      </c>
      <c r="P112" s="58">
        <f aca="true" t="shared" si="70" ref="P112:P123">J112+D112</f>
        <v>14245</v>
      </c>
      <c r="Q112">
        <f aca="true" t="shared" si="71" ref="Q112:Q123">K112+E112</f>
        <v>1266759</v>
      </c>
    </row>
    <row r="113" spans="1:17" ht="15">
      <c r="A113" s="72" t="s">
        <v>412</v>
      </c>
      <c r="B113">
        <f aca="true" t="shared" si="72" ref="B113:B123">$B$6</f>
        <v>2676217</v>
      </c>
      <c r="C113" s="28">
        <f t="shared" si="56"/>
        <v>0.002916666666666667</v>
      </c>
      <c r="D113">
        <f t="shared" si="67"/>
        <v>7806</v>
      </c>
      <c r="E113">
        <f>ROUND(+E112+D113,0)</f>
        <v>687249</v>
      </c>
      <c r="G113" s="72" t="s">
        <v>412</v>
      </c>
      <c r="H113">
        <f t="shared" si="52"/>
        <v>2341517</v>
      </c>
      <c r="I113" s="28">
        <f t="shared" si="58"/>
        <v>0.0027500000000000003</v>
      </c>
      <c r="J113">
        <f t="shared" si="68"/>
        <v>6439</v>
      </c>
      <c r="K113">
        <f>ROUND(+K112+J113,0)</f>
        <v>593755</v>
      </c>
      <c r="M113" s="72" t="s">
        <v>412</v>
      </c>
      <c r="N113">
        <f t="shared" si="69"/>
        <v>5017734</v>
      </c>
      <c r="P113" s="58">
        <f t="shared" si="70"/>
        <v>14245</v>
      </c>
      <c r="Q113">
        <f t="shared" si="71"/>
        <v>1281004</v>
      </c>
    </row>
    <row r="114" spans="1:17" ht="15">
      <c r="A114" s="72" t="s">
        <v>413</v>
      </c>
      <c r="B114">
        <f t="shared" si="72"/>
        <v>2676217</v>
      </c>
      <c r="C114" s="28">
        <f t="shared" si="56"/>
        <v>0.002916666666666667</v>
      </c>
      <c r="D114">
        <f t="shared" si="67"/>
        <v>7806</v>
      </c>
      <c r="E114">
        <f aca="true" t="shared" si="73" ref="E114:E123">ROUND(+E113+D114,0)</f>
        <v>695055</v>
      </c>
      <c r="G114" s="72" t="s">
        <v>413</v>
      </c>
      <c r="H114">
        <f t="shared" si="52"/>
        <v>2341517</v>
      </c>
      <c r="I114" s="28">
        <f t="shared" si="58"/>
        <v>0.0027500000000000003</v>
      </c>
      <c r="J114">
        <f t="shared" si="68"/>
        <v>6439</v>
      </c>
      <c r="K114">
        <f aca="true" t="shared" si="74" ref="K114:K123">ROUND(+K113+J114,0)</f>
        <v>600194</v>
      </c>
      <c r="M114" s="72" t="s">
        <v>413</v>
      </c>
      <c r="N114">
        <f t="shared" si="69"/>
        <v>5017734</v>
      </c>
      <c r="P114" s="58">
        <f t="shared" si="70"/>
        <v>14245</v>
      </c>
      <c r="Q114">
        <f t="shared" si="71"/>
        <v>1295249</v>
      </c>
    </row>
    <row r="115" spans="1:17" ht="15">
      <c r="A115" s="72" t="s">
        <v>414</v>
      </c>
      <c r="B115">
        <f t="shared" si="72"/>
        <v>2676217</v>
      </c>
      <c r="C115" s="28">
        <f t="shared" si="56"/>
        <v>0.002916666666666667</v>
      </c>
      <c r="D115">
        <f t="shared" si="67"/>
        <v>7806</v>
      </c>
      <c r="E115">
        <f t="shared" si="73"/>
        <v>702861</v>
      </c>
      <c r="G115" s="72" t="s">
        <v>414</v>
      </c>
      <c r="H115">
        <f t="shared" si="52"/>
        <v>2341517</v>
      </c>
      <c r="I115" s="28">
        <f t="shared" si="58"/>
        <v>0.0027500000000000003</v>
      </c>
      <c r="J115">
        <f t="shared" si="68"/>
        <v>6439</v>
      </c>
      <c r="K115">
        <f t="shared" si="74"/>
        <v>606633</v>
      </c>
      <c r="M115" s="72" t="s">
        <v>414</v>
      </c>
      <c r="N115">
        <f t="shared" si="69"/>
        <v>5017734</v>
      </c>
      <c r="P115" s="58">
        <f t="shared" si="70"/>
        <v>14245</v>
      </c>
      <c r="Q115">
        <f t="shared" si="71"/>
        <v>1309494</v>
      </c>
    </row>
    <row r="116" spans="1:17" ht="15">
      <c r="A116" s="72" t="s">
        <v>415</v>
      </c>
      <c r="B116">
        <f t="shared" si="72"/>
        <v>2676217</v>
      </c>
      <c r="C116" s="28">
        <f t="shared" si="56"/>
        <v>0.002916666666666667</v>
      </c>
      <c r="D116">
        <f t="shared" si="67"/>
        <v>7806</v>
      </c>
      <c r="E116">
        <f t="shared" si="73"/>
        <v>710667</v>
      </c>
      <c r="G116" s="72" t="s">
        <v>415</v>
      </c>
      <c r="H116">
        <f t="shared" si="52"/>
        <v>2341517</v>
      </c>
      <c r="I116" s="28">
        <f t="shared" si="58"/>
        <v>0.0027500000000000003</v>
      </c>
      <c r="J116">
        <f t="shared" si="68"/>
        <v>6439</v>
      </c>
      <c r="K116">
        <f t="shared" si="74"/>
        <v>613072</v>
      </c>
      <c r="M116" s="72" t="s">
        <v>415</v>
      </c>
      <c r="N116">
        <f t="shared" si="69"/>
        <v>5017734</v>
      </c>
      <c r="P116" s="58">
        <f t="shared" si="70"/>
        <v>14245</v>
      </c>
      <c r="Q116">
        <f t="shared" si="71"/>
        <v>1323739</v>
      </c>
    </row>
    <row r="117" spans="1:17" ht="15">
      <c r="A117" s="72" t="s">
        <v>416</v>
      </c>
      <c r="B117">
        <f t="shared" si="72"/>
        <v>2676217</v>
      </c>
      <c r="C117" s="28">
        <f t="shared" si="56"/>
        <v>0.002916666666666667</v>
      </c>
      <c r="D117">
        <f t="shared" si="67"/>
        <v>7806</v>
      </c>
      <c r="E117">
        <f t="shared" si="73"/>
        <v>718473</v>
      </c>
      <c r="G117" s="72" t="s">
        <v>416</v>
      </c>
      <c r="H117">
        <f t="shared" si="52"/>
        <v>2341517</v>
      </c>
      <c r="I117" s="28">
        <f t="shared" si="58"/>
        <v>0.0027500000000000003</v>
      </c>
      <c r="J117">
        <f t="shared" si="68"/>
        <v>6439</v>
      </c>
      <c r="K117">
        <f t="shared" si="74"/>
        <v>619511</v>
      </c>
      <c r="M117" s="72" t="s">
        <v>416</v>
      </c>
      <c r="N117">
        <f t="shared" si="69"/>
        <v>5017734</v>
      </c>
      <c r="P117" s="58">
        <f t="shared" si="70"/>
        <v>14245</v>
      </c>
      <c r="Q117">
        <f t="shared" si="71"/>
        <v>1337984</v>
      </c>
    </row>
    <row r="118" spans="1:17" ht="15">
      <c r="A118" s="72" t="s">
        <v>417</v>
      </c>
      <c r="B118">
        <f t="shared" si="72"/>
        <v>2676217</v>
      </c>
      <c r="C118" s="28">
        <f t="shared" si="56"/>
        <v>0.002916666666666667</v>
      </c>
      <c r="D118">
        <f t="shared" si="67"/>
        <v>7806</v>
      </c>
      <c r="E118">
        <f t="shared" si="73"/>
        <v>726279</v>
      </c>
      <c r="G118" s="72" t="s">
        <v>417</v>
      </c>
      <c r="H118">
        <f t="shared" si="52"/>
        <v>2341517</v>
      </c>
      <c r="I118" s="28">
        <f t="shared" si="58"/>
        <v>0.0027500000000000003</v>
      </c>
      <c r="J118">
        <f t="shared" si="68"/>
        <v>6439</v>
      </c>
      <c r="K118">
        <f t="shared" si="74"/>
        <v>625950</v>
      </c>
      <c r="M118" s="72" t="s">
        <v>417</v>
      </c>
      <c r="N118">
        <f t="shared" si="69"/>
        <v>5017734</v>
      </c>
      <c r="P118" s="58">
        <f t="shared" si="70"/>
        <v>14245</v>
      </c>
      <c r="Q118">
        <f t="shared" si="71"/>
        <v>1352229</v>
      </c>
    </row>
    <row r="119" spans="1:17" ht="15">
      <c r="A119" s="72" t="s">
        <v>418</v>
      </c>
      <c r="B119">
        <f t="shared" si="72"/>
        <v>2676217</v>
      </c>
      <c r="C119" s="28">
        <f t="shared" si="56"/>
        <v>0.002916666666666667</v>
      </c>
      <c r="D119">
        <f t="shared" si="67"/>
        <v>7806</v>
      </c>
      <c r="E119">
        <f t="shared" si="73"/>
        <v>734085</v>
      </c>
      <c r="G119" s="72" t="s">
        <v>418</v>
      </c>
      <c r="H119">
        <f t="shared" si="52"/>
        <v>2341517</v>
      </c>
      <c r="I119" s="28">
        <f t="shared" si="58"/>
        <v>0.0027500000000000003</v>
      </c>
      <c r="J119">
        <f t="shared" si="68"/>
        <v>6439</v>
      </c>
      <c r="K119">
        <f t="shared" si="74"/>
        <v>632389</v>
      </c>
      <c r="M119" s="72" t="s">
        <v>418</v>
      </c>
      <c r="N119">
        <f t="shared" si="69"/>
        <v>5017734</v>
      </c>
      <c r="P119" s="58">
        <f t="shared" si="70"/>
        <v>14245</v>
      </c>
      <c r="Q119">
        <f t="shared" si="71"/>
        <v>1366474</v>
      </c>
    </row>
    <row r="120" spans="1:17" ht="15">
      <c r="A120" s="72" t="s">
        <v>419</v>
      </c>
      <c r="B120">
        <f t="shared" si="72"/>
        <v>2676217</v>
      </c>
      <c r="C120" s="28">
        <f t="shared" si="56"/>
        <v>0.002916666666666667</v>
      </c>
      <c r="D120">
        <f t="shared" si="67"/>
        <v>7806</v>
      </c>
      <c r="E120">
        <f t="shared" si="73"/>
        <v>741891</v>
      </c>
      <c r="G120" s="72" t="s">
        <v>419</v>
      </c>
      <c r="H120">
        <f t="shared" si="52"/>
        <v>2341517</v>
      </c>
      <c r="I120" s="28">
        <f t="shared" si="58"/>
        <v>0.0027500000000000003</v>
      </c>
      <c r="J120">
        <f t="shared" si="68"/>
        <v>6439</v>
      </c>
      <c r="K120">
        <f t="shared" si="74"/>
        <v>638828</v>
      </c>
      <c r="M120" s="72" t="s">
        <v>419</v>
      </c>
      <c r="N120">
        <f t="shared" si="69"/>
        <v>5017734</v>
      </c>
      <c r="P120" s="58">
        <f t="shared" si="70"/>
        <v>14245</v>
      </c>
      <c r="Q120">
        <f t="shared" si="71"/>
        <v>1380719</v>
      </c>
    </row>
    <row r="121" spans="1:17" ht="15">
      <c r="A121" s="72" t="s">
        <v>420</v>
      </c>
      <c r="B121">
        <f t="shared" si="72"/>
        <v>2676217</v>
      </c>
      <c r="C121" s="28">
        <f t="shared" si="56"/>
        <v>0.002916666666666667</v>
      </c>
      <c r="D121">
        <f t="shared" si="67"/>
        <v>7806</v>
      </c>
      <c r="E121">
        <f t="shared" si="73"/>
        <v>749697</v>
      </c>
      <c r="G121" s="72" t="s">
        <v>420</v>
      </c>
      <c r="H121">
        <f t="shared" si="52"/>
        <v>2341517</v>
      </c>
      <c r="I121" s="28">
        <f t="shared" si="58"/>
        <v>0.0027500000000000003</v>
      </c>
      <c r="J121">
        <f t="shared" si="68"/>
        <v>6439</v>
      </c>
      <c r="K121">
        <f t="shared" si="74"/>
        <v>645267</v>
      </c>
      <c r="M121" s="72" t="s">
        <v>420</v>
      </c>
      <c r="N121">
        <f t="shared" si="69"/>
        <v>5017734</v>
      </c>
      <c r="P121" s="58">
        <f t="shared" si="70"/>
        <v>14245</v>
      </c>
      <c r="Q121">
        <f t="shared" si="71"/>
        <v>1394964</v>
      </c>
    </row>
    <row r="122" spans="1:17" ht="15">
      <c r="A122" s="72" t="s">
        <v>421</v>
      </c>
      <c r="B122">
        <f t="shared" si="72"/>
        <v>2676217</v>
      </c>
      <c r="C122" s="28">
        <f t="shared" si="56"/>
        <v>0.002916666666666667</v>
      </c>
      <c r="D122">
        <f t="shared" si="67"/>
        <v>7806</v>
      </c>
      <c r="E122">
        <f t="shared" si="73"/>
        <v>757503</v>
      </c>
      <c r="G122" s="72" t="s">
        <v>421</v>
      </c>
      <c r="H122">
        <f t="shared" si="52"/>
        <v>2341517</v>
      </c>
      <c r="I122" s="28">
        <f t="shared" si="58"/>
        <v>0.0027500000000000003</v>
      </c>
      <c r="J122">
        <f t="shared" si="68"/>
        <v>6439</v>
      </c>
      <c r="K122">
        <f t="shared" si="74"/>
        <v>651706</v>
      </c>
      <c r="M122" s="72" t="s">
        <v>421</v>
      </c>
      <c r="N122">
        <f t="shared" si="69"/>
        <v>5017734</v>
      </c>
      <c r="P122" s="58">
        <f t="shared" si="70"/>
        <v>14245</v>
      </c>
      <c r="Q122">
        <f t="shared" si="71"/>
        <v>1409209</v>
      </c>
    </row>
    <row r="123" spans="1:17" ht="15">
      <c r="A123" s="72" t="s">
        <v>422</v>
      </c>
      <c r="B123">
        <f t="shared" si="72"/>
        <v>2676217</v>
      </c>
      <c r="C123" s="28">
        <f t="shared" si="56"/>
        <v>0.002916666666666667</v>
      </c>
      <c r="D123">
        <f t="shared" si="67"/>
        <v>7806</v>
      </c>
      <c r="E123">
        <f t="shared" si="73"/>
        <v>765309</v>
      </c>
      <c r="G123" s="72" t="s">
        <v>422</v>
      </c>
      <c r="H123">
        <f t="shared" si="52"/>
        <v>2341517</v>
      </c>
      <c r="I123" s="28">
        <f t="shared" si="58"/>
        <v>0.0027500000000000003</v>
      </c>
      <c r="J123">
        <f t="shared" si="68"/>
        <v>6439</v>
      </c>
      <c r="K123">
        <f t="shared" si="74"/>
        <v>658145</v>
      </c>
      <c r="M123" s="72" t="s">
        <v>422</v>
      </c>
      <c r="N123">
        <f t="shared" si="69"/>
        <v>5017734</v>
      </c>
      <c r="P123" s="58">
        <f t="shared" si="70"/>
        <v>14245</v>
      </c>
      <c r="Q123">
        <f t="shared" si="71"/>
        <v>1423454</v>
      </c>
    </row>
    <row r="153" ht="15">
      <c r="C153" s="28"/>
    </row>
    <row r="154" ht="15">
      <c r="C154" s="28"/>
    </row>
    <row r="158" spans="2:4" ht="15">
      <c r="B158" s="29"/>
      <c r="C158" s="29"/>
      <c r="D158" s="29"/>
    </row>
    <row r="159" spans="3:5" ht="15">
      <c r="C159" s="29"/>
      <c r="D159" s="29"/>
      <c r="E159" s="29"/>
    </row>
    <row r="161" ht="15">
      <c r="C161" s="28"/>
    </row>
    <row r="162" ht="15">
      <c r="C162" s="28"/>
    </row>
    <row r="163" ht="15">
      <c r="C163" s="28"/>
    </row>
    <row r="164" ht="15">
      <c r="C164" s="28"/>
    </row>
    <row r="165" ht="15">
      <c r="C165" s="28"/>
    </row>
    <row r="166" ht="15">
      <c r="C166" s="28"/>
    </row>
    <row r="167" ht="15">
      <c r="C167" s="28"/>
    </row>
    <row r="168" ht="15">
      <c r="C168" s="28"/>
    </row>
    <row r="169" ht="15">
      <c r="C169" s="28"/>
    </row>
    <row r="170" ht="15">
      <c r="C170" s="28"/>
    </row>
    <row r="171" ht="15">
      <c r="C171" s="28"/>
    </row>
    <row r="172" ht="15">
      <c r="C172" s="28"/>
    </row>
    <row r="173" ht="15">
      <c r="C173" s="28"/>
    </row>
    <row r="174" ht="15">
      <c r="C174" s="28"/>
    </row>
    <row r="175" ht="15">
      <c r="C175" s="28"/>
    </row>
    <row r="176" ht="15">
      <c r="C176" s="28"/>
    </row>
    <row r="177" ht="15">
      <c r="C177" s="28"/>
    </row>
    <row r="178" ht="15">
      <c r="C178" s="28"/>
    </row>
    <row r="179" ht="15">
      <c r="C179" s="28"/>
    </row>
    <row r="180" ht="15">
      <c r="C180" s="28"/>
    </row>
    <row r="181" ht="15">
      <c r="C181" s="28"/>
    </row>
    <row r="182" ht="15">
      <c r="C182" s="28"/>
    </row>
    <row r="183" ht="15">
      <c r="C183" s="28"/>
    </row>
    <row r="184" ht="15">
      <c r="C184" s="28"/>
    </row>
    <row r="185" ht="15">
      <c r="C185" s="28"/>
    </row>
    <row r="186" ht="15">
      <c r="C186" s="28"/>
    </row>
    <row r="187" ht="15">
      <c r="C187" s="28"/>
    </row>
    <row r="189" ht="15">
      <c r="C189" s="28"/>
    </row>
    <row r="190" ht="15">
      <c r="C190" s="28"/>
    </row>
    <row r="191" ht="15">
      <c r="C191" s="28"/>
    </row>
    <row r="192" ht="15">
      <c r="C192" s="28"/>
    </row>
    <row r="193" ht="15">
      <c r="C193" s="28"/>
    </row>
    <row r="194" ht="15">
      <c r="C194" s="28"/>
    </row>
    <row r="195" ht="15">
      <c r="C195" s="28"/>
    </row>
    <row r="196" ht="15">
      <c r="C196" s="28"/>
    </row>
    <row r="197" ht="15">
      <c r="C197" s="28"/>
    </row>
    <row r="198" ht="15">
      <c r="C198" s="28"/>
    </row>
    <row r="199" ht="15">
      <c r="C199" s="28"/>
    </row>
    <row r="200" ht="15">
      <c r="C200" s="28"/>
    </row>
    <row r="201" ht="15">
      <c r="C201" s="28"/>
    </row>
    <row r="202" ht="15">
      <c r="C202" s="28"/>
    </row>
    <row r="203" ht="15">
      <c r="C203" s="28"/>
    </row>
    <row r="204" ht="15">
      <c r="C204" s="28"/>
    </row>
    <row r="205" ht="15">
      <c r="C205" s="28"/>
    </row>
    <row r="206" ht="15">
      <c r="C206" s="28"/>
    </row>
    <row r="207" ht="15">
      <c r="C207" s="28"/>
    </row>
    <row r="208" ht="15">
      <c r="C208" s="28"/>
    </row>
    <row r="209" ht="15">
      <c r="C209" s="28"/>
    </row>
    <row r="210" ht="15">
      <c r="C210" s="28"/>
    </row>
    <row r="211" ht="15">
      <c r="C211" s="28"/>
    </row>
    <row r="212" ht="15">
      <c r="C212" s="28"/>
    </row>
    <row r="213" ht="15">
      <c r="C213" s="28"/>
    </row>
    <row r="214" ht="15">
      <c r="C214" s="28"/>
    </row>
    <row r="215" ht="15">
      <c r="C215" s="28"/>
    </row>
    <row r="216" ht="15">
      <c r="C216" s="28"/>
    </row>
    <row r="218" ht="15">
      <c r="A218" t="s">
        <v>193</v>
      </c>
    </row>
    <row r="220" spans="2:4" ht="15">
      <c r="B220" s="29" t="s">
        <v>115</v>
      </c>
      <c r="C220" s="29" t="s">
        <v>116</v>
      </c>
      <c r="D220" s="29" t="s">
        <v>116</v>
      </c>
    </row>
    <row r="221" spans="3:5" ht="15">
      <c r="C221" s="29" t="s">
        <v>117</v>
      </c>
      <c r="D221" s="29" t="s">
        <v>118</v>
      </c>
      <c r="E221" s="29" t="s">
        <v>119</v>
      </c>
    </row>
    <row r="223" spans="1:5" ht="15">
      <c r="A223" t="s">
        <v>138</v>
      </c>
      <c r="B223">
        <v>8187584</v>
      </c>
      <c r="C223" s="28">
        <f aca="true" t="shared" si="75" ref="C223:C229">0.024/12</f>
        <v>0.002</v>
      </c>
      <c r="D223">
        <f>ROUND((B223*C223)/2,0)</f>
        <v>8188</v>
      </c>
      <c r="E223">
        <f>D223</f>
        <v>8188</v>
      </c>
    </row>
    <row r="224" spans="1:5" ht="15">
      <c r="A224" t="s">
        <v>139</v>
      </c>
      <c r="B224">
        <f aca="true" t="shared" si="76" ref="B224:B229">$B$223</f>
        <v>8187584</v>
      </c>
      <c r="C224" s="28">
        <f t="shared" si="75"/>
        <v>0.002</v>
      </c>
      <c r="D224">
        <f aca="true" t="shared" si="77" ref="D224:D229">ROUND((B224*C224),0)</f>
        <v>16375</v>
      </c>
      <c r="E224">
        <f aca="true" t="shared" si="78" ref="E224:E229">ROUND(+E223+D224,0)</f>
        <v>24563</v>
      </c>
    </row>
    <row r="225" spans="1:5" ht="15">
      <c r="A225" t="s">
        <v>140</v>
      </c>
      <c r="B225">
        <f t="shared" si="76"/>
        <v>8187584</v>
      </c>
      <c r="C225" s="28">
        <f t="shared" si="75"/>
        <v>0.002</v>
      </c>
      <c r="D225">
        <f t="shared" si="77"/>
        <v>16375</v>
      </c>
      <c r="E225">
        <f t="shared" si="78"/>
        <v>40938</v>
      </c>
    </row>
    <row r="226" spans="1:5" ht="15">
      <c r="A226" t="s">
        <v>141</v>
      </c>
      <c r="B226">
        <f t="shared" si="76"/>
        <v>8187584</v>
      </c>
      <c r="C226" s="28">
        <f t="shared" si="75"/>
        <v>0.002</v>
      </c>
      <c r="D226">
        <f t="shared" si="77"/>
        <v>16375</v>
      </c>
      <c r="E226">
        <f t="shared" si="78"/>
        <v>57313</v>
      </c>
    </row>
    <row r="227" spans="1:5" ht="15">
      <c r="A227" t="s">
        <v>142</v>
      </c>
      <c r="B227">
        <f t="shared" si="76"/>
        <v>8187584</v>
      </c>
      <c r="C227" s="28">
        <f t="shared" si="75"/>
        <v>0.002</v>
      </c>
      <c r="D227">
        <f t="shared" si="77"/>
        <v>16375</v>
      </c>
      <c r="E227">
        <f t="shared" si="78"/>
        <v>73688</v>
      </c>
    </row>
    <row r="228" spans="1:5" ht="15">
      <c r="A228" t="s">
        <v>143</v>
      </c>
      <c r="B228">
        <f t="shared" si="76"/>
        <v>8187584</v>
      </c>
      <c r="C228" s="28">
        <f t="shared" si="75"/>
        <v>0.002</v>
      </c>
      <c r="D228">
        <f t="shared" si="77"/>
        <v>16375</v>
      </c>
      <c r="E228">
        <f t="shared" si="78"/>
        <v>90063</v>
      </c>
    </row>
    <row r="229" spans="1:5" ht="15">
      <c r="A229" t="s">
        <v>144</v>
      </c>
      <c r="B229">
        <f t="shared" si="76"/>
        <v>8187584</v>
      </c>
      <c r="C229" s="28">
        <f t="shared" si="75"/>
        <v>0.002</v>
      </c>
      <c r="D229">
        <f t="shared" si="77"/>
        <v>16375</v>
      </c>
      <c r="E229">
        <f t="shared" si="78"/>
        <v>106438</v>
      </c>
    </row>
    <row r="231" spans="1:5" ht="15">
      <c r="A231" t="s">
        <v>145</v>
      </c>
      <c r="B231">
        <f aca="true" t="shared" si="79" ref="B231:B242">$B$223</f>
        <v>8187584</v>
      </c>
      <c r="C231" s="28">
        <f aca="true" t="shared" si="80" ref="C231:C242">0.028/12</f>
        <v>0.0023333333333333335</v>
      </c>
      <c r="D231">
        <f aca="true" t="shared" si="81" ref="D231:D242">ROUND((B231*C231),0)</f>
        <v>19104</v>
      </c>
      <c r="E231">
        <f>ROUND(+E229+D231,0)</f>
        <v>125542</v>
      </c>
    </row>
    <row r="232" spans="1:5" ht="15">
      <c r="A232" t="s">
        <v>146</v>
      </c>
      <c r="B232">
        <f t="shared" si="79"/>
        <v>8187584</v>
      </c>
      <c r="C232" s="28">
        <f t="shared" si="80"/>
        <v>0.0023333333333333335</v>
      </c>
      <c r="D232">
        <f t="shared" si="81"/>
        <v>19104</v>
      </c>
      <c r="E232">
        <f aca="true" t="shared" si="82" ref="E232:E242">ROUND(+E231+D232,0)</f>
        <v>144646</v>
      </c>
    </row>
    <row r="233" spans="1:5" ht="15">
      <c r="A233" t="s">
        <v>147</v>
      </c>
      <c r="B233">
        <f t="shared" si="79"/>
        <v>8187584</v>
      </c>
      <c r="C233" s="28">
        <f t="shared" si="80"/>
        <v>0.0023333333333333335</v>
      </c>
      <c r="D233">
        <f t="shared" si="81"/>
        <v>19104</v>
      </c>
      <c r="E233">
        <f t="shared" si="82"/>
        <v>163750</v>
      </c>
    </row>
    <row r="234" spans="1:5" ht="15">
      <c r="A234" t="s">
        <v>148</v>
      </c>
      <c r="B234">
        <f t="shared" si="79"/>
        <v>8187584</v>
      </c>
      <c r="C234" s="28">
        <f t="shared" si="80"/>
        <v>0.0023333333333333335</v>
      </c>
      <c r="D234">
        <f t="shared" si="81"/>
        <v>19104</v>
      </c>
      <c r="E234">
        <f t="shared" si="82"/>
        <v>182854</v>
      </c>
    </row>
    <row r="235" spans="1:5" ht="15">
      <c r="A235" t="s">
        <v>149</v>
      </c>
      <c r="B235">
        <f t="shared" si="79"/>
        <v>8187584</v>
      </c>
      <c r="C235" s="28">
        <f t="shared" si="80"/>
        <v>0.0023333333333333335</v>
      </c>
      <c r="D235">
        <f t="shared" si="81"/>
        <v>19104</v>
      </c>
      <c r="E235">
        <f t="shared" si="82"/>
        <v>201958</v>
      </c>
    </row>
    <row r="236" spans="1:5" ht="15">
      <c r="A236" t="s">
        <v>150</v>
      </c>
      <c r="B236">
        <f t="shared" si="79"/>
        <v>8187584</v>
      </c>
      <c r="C236" s="28">
        <f t="shared" si="80"/>
        <v>0.0023333333333333335</v>
      </c>
      <c r="D236">
        <f t="shared" si="81"/>
        <v>19104</v>
      </c>
      <c r="E236">
        <f t="shared" si="82"/>
        <v>221062</v>
      </c>
    </row>
    <row r="237" spans="1:5" ht="15">
      <c r="A237" t="s">
        <v>151</v>
      </c>
      <c r="B237">
        <f t="shared" si="79"/>
        <v>8187584</v>
      </c>
      <c r="C237" s="28">
        <f t="shared" si="80"/>
        <v>0.0023333333333333335</v>
      </c>
      <c r="D237">
        <f t="shared" si="81"/>
        <v>19104</v>
      </c>
      <c r="E237">
        <f t="shared" si="82"/>
        <v>240166</v>
      </c>
    </row>
    <row r="238" spans="1:5" ht="15">
      <c r="A238" t="s">
        <v>152</v>
      </c>
      <c r="B238">
        <f t="shared" si="79"/>
        <v>8187584</v>
      </c>
      <c r="C238" s="28">
        <f t="shared" si="80"/>
        <v>0.0023333333333333335</v>
      </c>
      <c r="D238">
        <f t="shared" si="81"/>
        <v>19104</v>
      </c>
      <c r="E238">
        <f t="shared" si="82"/>
        <v>259270</v>
      </c>
    </row>
    <row r="239" spans="1:5" ht="15">
      <c r="A239" t="s">
        <v>153</v>
      </c>
      <c r="B239">
        <f t="shared" si="79"/>
        <v>8187584</v>
      </c>
      <c r="C239" s="28">
        <f t="shared" si="80"/>
        <v>0.0023333333333333335</v>
      </c>
      <c r="D239">
        <f t="shared" si="81"/>
        <v>19104</v>
      </c>
      <c r="E239">
        <f t="shared" si="82"/>
        <v>278374</v>
      </c>
    </row>
    <row r="240" spans="1:5" ht="15">
      <c r="A240" t="s">
        <v>154</v>
      </c>
      <c r="B240">
        <f t="shared" si="79"/>
        <v>8187584</v>
      </c>
      <c r="C240" s="28">
        <f t="shared" si="80"/>
        <v>0.0023333333333333335</v>
      </c>
      <c r="D240">
        <f t="shared" si="81"/>
        <v>19104</v>
      </c>
      <c r="E240">
        <f t="shared" si="82"/>
        <v>297478</v>
      </c>
    </row>
    <row r="241" spans="1:5" ht="15">
      <c r="A241" t="s">
        <v>155</v>
      </c>
      <c r="B241">
        <f t="shared" si="79"/>
        <v>8187584</v>
      </c>
      <c r="C241" s="28">
        <f t="shared" si="80"/>
        <v>0.0023333333333333335</v>
      </c>
      <c r="D241">
        <f t="shared" si="81"/>
        <v>19104</v>
      </c>
      <c r="E241">
        <f t="shared" si="82"/>
        <v>316582</v>
      </c>
    </row>
    <row r="242" spans="1:5" ht="15">
      <c r="A242" t="s">
        <v>156</v>
      </c>
      <c r="B242">
        <f t="shared" si="79"/>
        <v>8187584</v>
      </c>
      <c r="C242" s="28">
        <f t="shared" si="80"/>
        <v>0.0023333333333333335</v>
      </c>
      <c r="D242">
        <f t="shared" si="81"/>
        <v>19104</v>
      </c>
      <c r="E242">
        <f t="shared" si="82"/>
        <v>335686</v>
      </c>
    </row>
    <row r="243" ht="15">
      <c r="C243" s="28"/>
    </row>
    <row r="244" spans="1:5" ht="15">
      <c r="A244" t="s">
        <v>157</v>
      </c>
      <c r="B244">
        <f>$B$223+52074</f>
        <v>8239658</v>
      </c>
      <c r="C244" s="28">
        <f aca="true" t="shared" si="83" ref="C244:C259">0.028/12</f>
        <v>0.0023333333333333335</v>
      </c>
      <c r="D244" s="32">
        <f>ROUND((B244*C244),0)-61</f>
        <v>19165</v>
      </c>
      <c r="E244">
        <f>ROUND(+E242+D244,0)</f>
        <v>354851</v>
      </c>
    </row>
    <row r="245" spans="1:5" ht="15">
      <c r="A245" t="s">
        <v>158</v>
      </c>
      <c r="B245">
        <f aca="true" t="shared" si="84" ref="B245:B255">B244</f>
        <v>8239658</v>
      </c>
      <c r="C245" s="28">
        <f t="shared" si="83"/>
        <v>0.0023333333333333335</v>
      </c>
      <c r="D245">
        <f aca="true" t="shared" si="85" ref="D245:D255">ROUND((B245*C245),0)</f>
        <v>19226</v>
      </c>
      <c r="E245">
        <f aca="true" t="shared" si="86" ref="E245:E255">ROUND(+E244+D245,0)</f>
        <v>374077</v>
      </c>
    </row>
    <row r="246" spans="1:5" ht="15">
      <c r="A246" t="s">
        <v>159</v>
      </c>
      <c r="B246">
        <f t="shared" si="84"/>
        <v>8239658</v>
      </c>
      <c r="C246" s="28">
        <f t="shared" si="83"/>
        <v>0.0023333333333333335</v>
      </c>
      <c r="D246">
        <f t="shared" si="85"/>
        <v>19226</v>
      </c>
      <c r="E246">
        <f t="shared" si="86"/>
        <v>393303</v>
      </c>
    </row>
    <row r="247" spans="1:5" ht="15">
      <c r="A247" t="s">
        <v>160</v>
      </c>
      <c r="B247">
        <f t="shared" si="84"/>
        <v>8239658</v>
      </c>
      <c r="C247" s="28">
        <f t="shared" si="83"/>
        <v>0.0023333333333333335</v>
      </c>
      <c r="D247">
        <f t="shared" si="85"/>
        <v>19226</v>
      </c>
      <c r="E247">
        <f t="shared" si="86"/>
        <v>412529</v>
      </c>
    </row>
    <row r="248" spans="1:5" ht="15">
      <c r="A248" t="s">
        <v>161</v>
      </c>
      <c r="B248">
        <f t="shared" si="84"/>
        <v>8239658</v>
      </c>
      <c r="C248" s="28">
        <f t="shared" si="83"/>
        <v>0.0023333333333333335</v>
      </c>
      <c r="D248">
        <f t="shared" si="85"/>
        <v>19226</v>
      </c>
      <c r="E248">
        <f t="shared" si="86"/>
        <v>431755</v>
      </c>
    </row>
    <row r="249" spans="1:5" ht="15">
      <c r="A249" t="s">
        <v>162</v>
      </c>
      <c r="B249">
        <f t="shared" si="84"/>
        <v>8239658</v>
      </c>
      <c r="C249" s="28">
        <f t="shared" si="83"/>
        <v>0.0023333333333333335</v>
      </c>
      <c r="D249">
        <f t="shared" si="85"/>
        <v>19226</v>
      </c>
      <c r="E249">
        <f t="shared" si="86"/>
        <v>450981</v>
      </c>
    </row>
    <row r="250" spans="1:5" ht="15">
      <c r="A250" t="s">
        <v>163</v>
      </c>
      <c r="B250">
        <f t="shared" si="84"/>
        <v>8239658</v>
      </c>
      <c r="C250" s="28">
        <f t="shared" si="83"/>
        <v>0.0023333333333333335</v>
      </c>
      <c r="D250">
        <f t="shared" si="85"/>
        <v>19226</v>
      </c>
      <c r="E250">
        <f t="shared" si="86"/>
        <v>470207</v>
      </c>
    </row>
    <row r="251" spans="1:5" ht="15">
      <c r="A251" t="s">
        <v>164</v>
      </c>
      <c r="B251">
        <f t="shared" si="84"/>
        <v>8239658</v>
      </c>
      <c r="C251" s="28">
        <f t="shared" si="83"/>
        <v>0.0023333333333333335</v>
      </c>
      <c r="D251">
        <f t="shared" si="85"/>
        <v>19226</v>
      </c>
      <c r="E251">
        <f t="shared" si="86"/>
        <v>489433</v>
      </c>
    </row>
    <row r="252" spans="1:5" ht="15">
      <c r="A252" t="s">
        <v>165</v>
      </c>
      <c r="B252">
        <f t="shared" si="84"/>
        <v>8239658</v>
      </c>
      <c r="C252" s="28">
        <f t="shared" si="83"/>
        <v>0.0023333333333333335</v>
      </c>
      <c r="D252">
        <f t="shared" si="85"/>
        <v>19226</v>
      </c>
      <c r="E252">
        <f t="shared" si="86"/>
        <v>508659</v>
      </c>
    </row>
    <row r="253" spans="1:5" ht="15">
      <c r="A253" t="s">
        <v>166</v>
      </c>
      <c r="B253">
        <f t="shared" si="84"/>
        <v>8239658</v>
      </c>
      <c r="C253" s="28">
        <f t="shared" si="83"/>
        <v>0.0023333333333333335</v>
      </c>
      <c r="D253">
        <f t="shared" si="85"/>
        <v>19226</v>
      </c>
      <c r="E253">
        <f t="shared" si="86"/>
        <v>527885</v>
      </c>
    </row>
    <row r="254" spans="1:5" ht="15">
      <c r="A254" t="s">
        <v>167</v>
      </c>
      <c r="B254">
        <f t="shared" si="84"/>
        <v>8239658</v>
      </c>
      <c r="C254" s="28">
        <f t="shared" si="83"/>
        <v>0.0023333333333333335</v>
      </c>
      <c r="D254">
        <f t="shared" si="85"/>
        <v>19226</v>
      </c>
      <c r="E254">
        <f t="shared" si="86"/>
        <v>547111</v>
      </c>
    </row>
    <row r="255" spans="1:5" ht="15">
      <c r="A255" t="s">
        <v>168</v>
      </c>
      <c r="B255">
        <f t="shared" si="84"/>
        <v>8239658</v>
      </c>
      <c r="C255" s="28">
        <f t="shared" si="83"/>
        <v>0.0023333333333333335</v>
      </c>
      <c r="D255">
        <f t="shared" si="85"/>
        <v>19226</v>
      </c>
      <c r="E255">
        <f t="shared" si="86"/>
        <v>566337</v>
      </c>
    </row>
    <row r="257" spans="1:5" ht="15">
      <c r="A257" s="33" t="s">
        <v>194</v>
      </c>
      <c r="B257">
        <f>B255</f>
        <v>8239658</v>
      </c>
      <c r="C257" s="28">
        <f t="shared" si="83"/>
        <v>0.0023333333333333335</v>
      </c>
      <c r="D257" s="32">
        <f>ROUND((B257*C257),0)</f>
        <v>19226</v>
      </c>
      <c r="E257">
        <f>ROUND(+E255+D257,0)</f>
        <v>585563</v>
      </c>
    </row>
    <row r="258" spans="1:5" ht="15">
      <c r="A258" t="s">
        <v>195</v>
      </c>
      <c r="B258">
        <f aca="true" t="shared" si="87" ref="B258:B268">B257</f>
        <v>8239658</v>
      </c>
      <c r="C258" s="28">
        <f t="shared" si="83"/>
        <v>0.0023333333333333335</v>
      </c>
      <c r="D258">
        <f aca="true" t="shared" si="88" ref="D258:D268">ROUND((B258*C258),0)</f>
        <v>19226</v>
      </c>
      <c r="E258">
        <f aca="true" t="shared" si="89" ref="E258:E268">ROUND(+E257+D258,0)</f>
        <v>604789</v>
      </c>
    </row>
    <row r="259" spans="1:5" ht="15">
      <c r="A259" t="s">
        <v>196</v>
      </c>
      <c r="B259">
        <f t="shared" si="87"/>
        <v>8239658</v>
      </c>
      <c r="C259" s="28">
        <f t="shared" si="83"/>
        <v>0.0023333333333333335</v>
      </c>
      <c r="D259">
        <f t="shared" si="88"/>
        <v>19226</v>
      </c>
      <c r="E259">
        <f t="shared" si="89"/>
        <v>624015</v>
      </c>
    </row>
    <row r="260" spans="1:5" ht="15">
      <c r="A260" t="s">
        <v>197</v>
      </c>
      <c r="B260">
        <f t="shared" si="87"/>
        <v>8239658</v>
      </c>
      <c r="C260" s="28">
        <f aca="true" t="shared" si="90" ref="C260:C268">0.028/12</f>
        <v>0.0023333333333333335</v>
      </c>
      <c r="D260">
        <f t="shared" si="88"/>
        <v>19226</v>
      </c>
      <c r="E260">
        <f t="shared" si="89"/>
        <v>643241</v>
      </c>
    </row>
    <row r="261" spans="1:5" ht="15">
      <c r="A261" t="s">
        <v>198</v>
      </c>
      <c r="B261">
        <f t="shared" si="87"/>
        <v>8239658</v>
      </c>
      <c r="C261" s="28">
        <f t="shared" si="90"/>
        <v>0.0023333333333333335</v>
      </c>
      <c r="D261">
        <f t="shared" si="88"/>
        <v>19226</v>
      </c>
      <c r="E261">
        <f t="shared" si="89"/>
        <v>662467</v>
      </c>
    </row>
    <row r="262" spans="1:5" ht="15">
      <c r="A262" t="s">
        <v>199</v>
      </c>
      <c r="B262">
        <f t="shared" si="87"/>
        <v>8239658</v>
      </c>
      <c r="C262" s="28">
        <f t="shared" si="90"/>
        <v>0.0023333333333333335</v>
      </c>
      <c r="D262">
        <f t="shared" si="88"/>
        <v>19226</v>
      </c>
      <c r="E262">
        <f t="shared" si="89"/>
        <v>681693</v>
      </c>
    </row>
    <row r="263" spans="1:5" ht="15">
      <c r="A263" t="s">
        <v>200</v>
      </c>
      <c r="B263">
        <f t="shared" si="87"/>
        <v>8239658</v>
      </c>
      <c r="C263" s="28">
        <f t="shared" si="90"/>
        <v>0.0023333333333333335</v>
      </c>
      <c r="D263">
        <f t="shared" si="88"/>
        <v>19226</v>
      </c>
      <c r="E263">
        <f t="shared" si="89"/>
        <v>700919</v>
      </c>
    </row>
    <row r="264" spans="1:5" ht="15">
      <c r="A264" t="s">
        <v>201</v>
      </c>
      <c r="B264">
        <f t="shared" si="87"/>
        <v>8239658</v>
      </c>
      <c r="C264" s="28">
        <f t="shared" si="90"/>
        <v>0.0023333333333333335</v>
      </c>
      <c r="D264">
        <f t="shared" si="88"/>
        <v>19226</v>
      </c>
      <c r="E264">
        <f t="shared" si="89"/>
        <v>720145</v>
      </c>
    </row>
    <row r="265" spans="1:5" ht="15">
      <c r="A265" t="s">
        <v>202</v>
      </c>
      <c r="B265">
        <f t="shared" si="87"/>
        <v>8239658</v>
      </c>
      <c r="C265" s="28">
        <f t="shared" si="90"/>
        <v>0.0023333333333333335</v>
      </c>
      <c r="D265">
        <f t="shared" si="88"/>
        <v>19226</v>
      </c>
      <c r="E265">
        <f t="shared" si="89"/>
        <v>739371</v>
      </c>
    </row>
    <row r="266" spans="1:5" ht="15">
      <c r="A266" t="s">
        <v>203</v>
      </c>
      <c r="B266">
        <f t="shared" si="87"/>
        <v>8239658</v>
      </c>
      <c r="C266" s="28">
        <f t="shared" si="90"/>
        <v>0.0023333333333333335</v>
      </c>
      <c r="D266">
        <f t="shared" si="88"/>
        <v>19226</v>
      </c>
      <c r="E266">
        <f t="shared" si="89"/>
        <v>758597</v>
      </c>
    </row>
    <row r="267" spans="1:5" ht="15">
      <c r="A267" t="s">
        <v>204</v>
      </c>
      <c r="B267">
        <f t="shared" si="87"/>
        <v>8239658</v>
      </c>
      <c r="C267" s="28">
        <f t="shared" si="90"/>
        <v>0.0023333333333333335</v>
      </c>
      <c r="D267">
        <f t="shared" si="88"/>
        <v>19226</v>
      </c>
      <c r="E267">
        <f t="shared" si="89"/>
        <v>777823</v>
      </c>
    </row>
    <row r="268" spans="1:5" ht="15">
      <c r="A268" t="s">
        <v>205</v>
      </c>
      <c r="B268">
        <f t="shared" si="87"/>
        <v>8239658</v>
      </c>
      <c r="C268" s="28">
        <f t="shared" si="90"/>
        <v>0.0023333333333333335</v>
      </c>
      <c r="D268">
        <f t="shared" si="88"/>
        <v>19226</v>
      </c>
      <c r="E268">
        <f t="shared" si="89"/>
        <v>797049</v>
      </c>
    </row>
    <row r="270" spans="1:5" ht="15">
      <c r="A270" s="33" t="s">
        <v>206</v>
      </c>
      <c r="B270">
        <f>B268</f>
        <v>8239658</v>
      </c>
      <c r="C270" s="28">
        <f>0.028/12</f>
        <v>0.0023333333333333335</v>
      </c>
      <c r="D270" s="32">
        <f>ROUND((B270*C270),0)</f>
        <v>19226</v>
      </c>
      <c r="E270">
        <f>ROUND(+E268+D270,0)</f>
        <v>816275</v>
      </c>
    </row>
    <row r="271" spans="1:5" ht="15">
      <c r="A271" t="s">
        <v>207</v>
      </c>
      <c r="B271">
        <f aca="true" t="shared" si="91" ref="B271:B281">B270</f>
        <v>8239658</v>
      </c>
      <c r="C271" s="28">
        <f aca="true" t="shared" si="92" ref="C271:C281">0.028/12</f>
        <v>0.0023333333333333335</v>
      </c>
      <c r="D271">
        <f aca="true" t="shared" si="93" ref="D271:D307">ROUND((B271*C271),0)</f>
        <v>19226</v>
      </c>
      <c r="E271">
        <f aca="true" t="shared" si="94" ref="E271:E294">ROUND(+E270+D271,0)</f>
        <v>835501</v>
      </c>
    </row>
    <row r="272" spans="1:5" ht="15">
      <c r="A272" t="s">
        <v>208</v>
      </c>
      <c r="B272">
        <f t="shared" si="91"/>
        <v>8239658</v>
      </c>
      <c r="C272" s="28">
        <f t="shared" si="92"/>
        <v>0.0023333333333333335</v>
      </c>
      <c r="D272">
        <f t="shared" si="93"/>
        <v>19226</v>
      </c>
      <c r="E272">
        <f t="shared" si="94"/>
        <v>854727</v>
      </c>
    </row>
    <row r="273" spans="1:5" ht="15">
      <c r="A273" t="s">
        <v>209</v>
      </c>
      <c r="B273">
        <f t="shared" si="91"/>
        <v>8239658</v>
      </c>
      <c r="C273" s="28">
        <f t="shared" si="92"/>
        <v>0.0023333333333333335</v>
      </c>
      <c r="D273">
        <f t="shared" si="93"/>
        <v>19226</v>
      </c>
      <c r="E273">
        <f t="shared" si="94"/>
        <v>873953</v>
      </c>
    </row>
    <row r="274" spans="1:5" ht="15">
      <c r="A274" t="s">
        <v>7</v>
      </c>
      <c r="B274">
        <f t="shared" si="91"/>
        <v>8239658</v>
      </c>
      <c r="C274" s="28">
        <f t="shared" si="92"/>
        <v>0.0023333333333333335</v>
      </c>
      <c r="D274">
        <f t="shared" si="93"/>
        <v>19226</v>
      </c>
      <c r="E274">
        <f t="shared" si="94"/>
        <v>893179</v>
      </c>
    </row>
    <row r="275" spans="1:5" ht="15">
      <c r="A275" t="s">
        <v>210</v>
      </c>
      <c r="B275">
        <f t="shared" si="91"/>
        <v>8239658</v>
      </c>
      <c r="C275" s="28">
        <f t="shared" si="92"/>
        <v>0.0023333333333333335</v>
      </c>
      <c r="D275">
        <f t="shared" si="93"/>
        <v>19226</v>
      </c>
      <c r="E275">
        <f t="shared" si="94"/>
        <v>912405</v>
      </c>
    </row>
    <row r="276" spans="1:5" ht="15">
      <c r="A276" t="s">
        <v>211</v>
      </c>
      <c r="B276">
        <f t="shared" si="91"/>
        <v>8239658</v>
      </c>
      <c r="C276" s="28">
        <f t="shared" si="92"/>
        <v>0.0023333333333333335</v>
      </c>
      <c r="D276">
        <f t="shared" si="93"/>
        <v>19226</v>
      </c>
      <c r="E276">
        <f t="shared" si="94"/>
        <v>931631</v>
      </c>
    </row>
    <row r="277" spans="1:5" ht="15">
      <c r="A277" t="s">
        <v>212</v>
      </c>
      <c r="B277">
        <f t="shared" si="91"/>
        <v>8239658</v>
      </c>
      <c r="C277" s="28">
        <f t="shared" si="92"/>
        <v>0.0023333333333333335</v>
      </c>
      <c r="D277">
        <f t="shared" si="93"/>
        <v>19226</v>
      </c>
      <c r="E277">
        <f t="shared" si="94"/>
        <v>950857</v>
      </c>
    </row>
    <row r="278" spans="1:5" ht="15">
      <c r="A278" t="s">
        <v>213</v>
      </c>
      <c r="B278">
        <f t="shared" si="91"/>
        <v>8239658</v>
      </c>
      <c r="C278" s="28">
        <f t="shared" si="92"/>
        <v>0.0023333333333333335</v>
      </c>
      <c r="D278">
        <f t="shared" si="93"/>
        <v>19226</v>
      </c>
      <c r="E278">
        <f t="shared" si="94"/>
        <v>970083</v>
      </c>
    </row>
    <row r="279" spans="1:5" ht="15">
      <c r="A279" t="s">
        <v>214</v>
      </c>
      <c r="B279">
        <f t="shared" si="91"/>
        <v>8239658</v>
      </c>
      <c r="C279" s="28">
        <f t="shared" si="92"/>
        <v>0.0023333333333333335</v>
      </c>
      <c r="D279">
        <f t="shared" si="93"/>
        <v>19226</v>
      </c>
      <c r="E279">
        <f t="shared" si="94"/>
        <v>989309</v>
      </c>
    </row>
    <row r="280" spans="1:5" ht="15">
      <c r="A280" t="s">
        <v>215</v>
      </c>
      <c r="B280">
        <f t="shared" si="91"/>
        <v>8239658</v>
      </c>
      <c r="C280" s="28">
        <f t="shared" si="92"/>
        <v>0.0023333333333333335</v>
      </c>
      <c r="D280">
        <f t="shared" si="93"/>
        <v>19226</v>
      </c>
      <c r="E280">
        <f t="shared" si="94"/>
        <v>1008535</v>
      </c>
    </row>
    <row r="281" spans="1:5" ht="15">
      <c r="A281" t="s">
        <v>216</v>
      </c>
      <c r="B281">
        <f t="shared" si="91"/>
        <v>8239658</v>
      </c>
      <c r="C281" s="28">
        <f t="shared" si="92"/>
        <v>0.0023333333333333335</v>
      </c>
      <c r="D281">
        <f t="shared" si="93"/>
        <v>19226</v>
      </c>
      <c r="E281">
        <f t="shared" si="94"/>
        <v>1027761</v>
      </c>
    </row>
    <row r="282" ht="15">
      <c r="C282" s="28"/>
    </row>
    <row r="283" spans="1:5" ht="15">
      <c r="A283" s="33" t="s">
        <v>312</v>
      </c>
      <c r="B283">
        <f>B281</f>
        <v>8239658</v>
      </c>
      <c r="C283" s="28">
        <f>0.028/12</f>
        <v>0.0023333333333333335</v>
      </c>
      <c r="D283">
        <f t="shared" si="93"/>
        <v>19226</v>
      </c>
      <c r="E283">
        <f>ROUND(+E281+D283,0)</f>
        <v>1046987</v>
      </c>
    </row>
    <row r="284" spans="1:5" ht="15">
      <c r="A284" t="s">
        <v>313</v>
      </c>
      <c r="B284">
        <f>B283</f>
        <v>8239658</v>
      </c>
      <c r="C284" s="28">
        <f aca="true" t="shared" si="95" ref="C284:C294">0.028/12</f>
        <v>0.0023333333333333335</v>
      </c>
      <c r="D284">
        <f t="shared" si="93"/>
        <v>19226</v>
      </c>
      <c r="E284">
        <f t="shared" si="94"/>
        <v>1066213</v>
      </c>
    </row>
    <row r="285" spans="1:5" ht="15">
      <c r="A285" t="s">
        <v>314</v>
      </c>
      <c r="B285">
        <f aca="true" t="shared" si="96" ref="B285:B294">B284</f>
        <v>8239658</v>
      </c>
      <c r="C285" s="28">
        <f t="shared" si="95"/>
        <v>0.0023333333333333335</v>
      </c>
      <c r="D285">
        <f t="shared" si="93"/>
        <v>19226</v>
      </c>
      <c r="E285">
        <f t="shared" si="94"/>
        <v>1085439</v>
      </c>
    </row>
    <row r="286" spans="1:5" ht="15">
      <c r="A286" t="s">
        <v>315</v>
      </c>
      <c r="B286">
        <f t="shared" si="96"/>
        <v>8239658</v>
      </c>
      <c r="C286" s="28">
        <f t="shared" si="95"/>
        <v>0.0023333333333333335</v>
      </c>
      <c r="D286">
        <f t="shared" si="93"/>
        <v>19226</v>
      </c>
      <c r="E286">
        <f t="shared" si="94"/>
        <v>1104665</v>
      </c>
    </row>
    <row r="287" spans="1:5" ht="15">
      <c r="A287" t="s">
        <v>304</v>
      </c>
      <c r="B287">
        <f t="shared" si="96"/>
        <v>8239658</v>
      </c>
      <c r="C287" s="28">
        <f t="shared" si="95"/>
        <v>0.0023333333333333335</v>
      </c>
      <c r="D287">
        <f t="shared" si="93"/>
        <v>19226</v>
      </c>
      <c r="E287">
        <f t="shared" si="94"/>
        <v>1123891</v>
      </c>
    </row>
    <row r="288" spans="1:5" ht="15">
      <c r="A288" t="s">
        <v>316</v>
      </c>
      <c r="B288">
        <f t="shared" si="96"/>
        <v>8239658</v>
      </c>
      <c r="C288" s="28">
        <f t="shared" si="95"/>
        <v>0.0023333333333333335</v>
      </c>
      <c r="D288">
        <f t="shared" si="93"/>
        <v>19226</v>
      </c>
      <c r="E288">
        <f t="shared" si="94"/>
        <v>1143117</v>
      </c>
    </row>
    <row r="289" spans="1:5" ht="15">
      <c r="A289" t="s">
        <v>317</v>
      </c>
      <c r="B289">
        <f t="shared" si="96"/>
        <v>8239658</v>
      </c>
      <c r="C289" s="28">
        <f t="shared" si="95"/>
        <v>0.0023333333333333335</v>
      </c>
      <c r="D289">
        <f t="shared" si="93"/>
        <v>19226</v>
      </c>
      <c r="E289">
        <f t="shared" si="94"/>
        <v>1162343</v>
      </c>
    </row>
    <row r="290" spans="1:5" ht="15">
      <c r="A290" t="s">
        <v>318</v>
      </c>
      <c r="B290">
        <f t="shared" si="96"/>
        <v>8239658</v>
      </c>
      <c r="C290" s="28">
        <f t="shared" si="95"/>
        <v>0.0023333333333333335</v>
      </c>
      <c r="D290">
        <f t="shared" si="93"/>
        <v>19226</v>
      </c>
      <c r="E290">
        <f t="shared" si="94"/>
        <v>1181569</v>
      </c>
    </row>
    <row r="291" spans="1:5" ht="15">
      <c r="A291" t="s">
        <v>319</v>
      </c>
      <c r="B291">
        <f t="shared" si="96"/>
        <v>8239658</v>
      </c>
      <c r="C291" s="28">
        <f t="shared" si="95"/>
        <v>0.0023333333333333335</v>
      </c>
      <c r="D291">
        <f t="shared" si="93"/>
        <v>19226</v>
      </c>
      <c r="E291">
        <f t="shared" si="94"/>
        <v>1200795</v>
      </c>
    </row>
    <row r="292" spans="1:5" ht="15">
      <c r="A292" t="s">
        <v>320</v>
      </c>
      <c r="B292">
        <f t="shared" si="96"/>
        <v>8239658</v>
      </c>
      <c r="C292" s="28">
        <f t="shared" si="95"/>
        <v>0.0023333333333333335</v>
      </c>
      <c r="D292">
        <f t="shared" si="93"/>
        <v>19226</v>
      </c>
      <c r="E292">
        <f t="shared" si="94"/>
        <v>1220021</v>
      </c>
    </row>
    <row r="293" spans="1:5" ht="15">
      <c r="A293" t="s">
        <v>321</v>
      </c>
      <c r="B293">
        <f t="shared" si="96"/>
        <v>8239658</v>
      </c>
      <c r="C293" s="28">
        <f t="shared" si="95"/>
        <v>0.0023333333333333335</v>
      </c>
      <c r="D293">
        <f t="shared" si="93"/>
        <v>19226</v>
      </c>
      <c r="E293">
        <f t="shared" si="94"/>
        <v>1239247</v>
      </c>
    </row>
    <row r="294" spans="1:5" ht="15">
      <c r="A294" t="s">
        <v>322</v>
      </c>
      <c r="B294">
        <f t="shared" si="96"/>
        <v>8239658</v>
      </c>
      <c r="C294" s="28">
        <f t="shared" si="95"/>
        <v>0.0023333333333333335</v>
      </c>
      <c r="D294">
        <f t="shared" si="93"/>
        <v>19226</v>
      </c>
      <c r="E294">
        <f t="shared" si="94"/>
        <v>1258473</v>
      </c>
    </row>
    <row r="296" spans="1:5" ht="15">
      <c r="A296" s="33" t="s">
        <v>346</v>
      </c>
      <c r="B296">
        <f>B294</f>
        <v>8239658</v>
      </c>
      <c r="C296" s="28">
        <f>0.028/12</f>
        <v>0.0023333333333333335</v>
      </c>
      <c r="D296">
        <f t="shared" si="93"/>
        <v>19226</v>
      </c>
      <c r="E296">
        <f>ROUND(+E294+D296,0)</f>
        <v>1277699</v>
      </c>
    </row>
    <row r="297" spans="1:5" ht="15">
      <c r="A297" t="s">
        <v>347</v>
      </c>
      <c r="B297">
        <f>B296</f>
        <v>8239658</v>
      </c>
      <c r="C297" s="28">
        <f aca="true" t="shared" si="97" ref="C297:C307">0.028/12</f>
        <v>0.0023333333333333335</v>
      </c>
      <c r="D297">
        <f t="shared" si="93"/>
        <v>19226</v>
      </c>
      <c r="E297">
        <f aca="true" t="shared" si="98" ref="E297:E307">ROUND(+E296+D297,0)</f>
        <v>1296925</v>
      </c>
    </row>
    <row r="298" spans="1:5" ht="15">
      <c r="A298" t="s">
        <v>348</v>
      </c>
      <c r="B298">
        <f aca="true" t="shared" si="99" ref="B298:B307">B297</f>
        <v>8239658</v>
      </c>
      <c r="C298" s="28">
        <f t="shared" si="97"/>
        <v>0.0023333333333333335</v>
      </c>
      <c r="D298">
        <f t="shared" si="93"/>
        <v>19226</v>
      </c>
      <c r="E298">
        <f t="shared" si="98"/>
        <v>1316151</v>
      </c>
    </row>
    <row r="299" spans="1:5" ht="15">
      <c r="A299" t="s">
        <v>349</v>
      </c>
      <c r="B299">
        <f t="shared" si="99"/>
        <v>8239658</v>
      </c>
      <c r="C299" s="28">
        <f t="shared" si="97"/>
        <v>0.0023333333333333335</v>
      </c>
      <c r="D299">
        <f t="shared" si="93"/>
        <v>19226</v>
      </c>
      <c r="E299">
        <f t="shared" si="98"/>
        <v>1335377</v>
      </c>
    </row>
    <row r="300" spans="1:5" ht="15">
      <c r="A300" t="s">
        <v>345</v>
      </c>
      <c r="B300">
        <f t="shared" si="99"/>
        <v>8239658</v>
      </c>
      <c r="C300" s="28">
        <f t="shared" si="97"/>
        <v>0.0023333333333333335</v>
      </c>
      <c r="D300">
        <f t="shared" si="93"/>
        <v>19226</v>
      </c>
      <c r="E300">
        <f t="shared" si="98"/>
        <v>1354603</v>
      </c>
    </row>
    <row r="301" spans="1:5" ht="15">
      <c r="A301" t="s">
        <v>350</v>
      </c>
      <c r="B301">
        <f t="shared" si="99"/>
        <v>8239658</v>
      </c>
      <c r="C301" s="28">
        <f t="shared" si="97"/>
        <v>0.0023333333333333335</v>
      </c>
      <c r="D301">
        <f t="shared" si="93"/>
        <v>19226</v>
      </c>
      <c r="E301">
        <f t="shared" si="98"/>
        <v>1373829</v>
      </c>
    </row>
    <row r="302" spans="1:5" ht="15">
      <c r="A302" t="s">
        <v>351</v>
      </c>
      <c r="B302">
        <f t="shared" si="99"/>
        <v>8239658</v>
      </c>
      <c r="C302" s="28">
        <f t="shared" si="97"/>
        <v>0.0023333333333333335</v>
      </c>
      <c r="D302">
        <f t="shared" si="93"/>
        <v>19226</v>
      </c>
      <c r="E302">
        <f t="shared" si="98"/>
        <v>1393055</v>
      </c>
    </row>
    <row r="303" spans="1:5" ht="15">
      <c r="A303" t="s">
        <v>352</v>
      </c>
      <c r="B303">
        <f t="shared" si="99"/>
        <v>8239658</v>
      </c>
      <c r="C303" s="28">
        <f t="shared" si="97"/>
        <v>0.0023333333333333335</v>
      </c>
      <c r="D303">
        <f t="shared" si="93"/>
        <v>19226</v>
      </c>
      <c r="E303">
        <f t="shared" si="98"/>
        <v>1412281</v>
      </c>
    </row>
    <row r="304" spans="1:5" ht="15">
      <c r="A304" t="s">
        <v>353</v>
      </c>
      <c r="B304">
        <f t="shared" si="99"/>
        <v>8239658</v>
      </c>
      <c r="C304" s="28">
        <f t="shared" si="97"/>
        <v>0.0023333333333333335</v>
      </c>
      <c r="D304">
        <f t="shared" si="93"/>
        <v>19226</v>
      </c>
      <c r="E304">
        <f t="shared" si="98"/>
        <v>1431507</v>
      </c>
    </row>
    <row r="305" spans="1:5" ht="15">
      <c r="A305" t="s">
        <v>354</v>
      </c>
      <c r="B305">
        <f t="shared" si="99"/>
        <v>8239658</v>
      </c>
      <c r="C305" s="28">
        <f t="shared" si="97"/>
        <v>0.0023333333333333335</v>
      </c>
      <c r="D305">
        <f t="shared" si="93"/>
        <v>19226</v>
      </c>
      <c r="E305">
        <f t="shared" si="98"/>
        <v>1450733</v>
      </c>
    </row>
    <row r="306" spans="1:5" ht="15">
      <c r="A306" t="s">
        <v>355</v>
      </c>
      <c r="B306">
        <f t="shared" si="99"/>
        <v>8239658</v>
      </c>
      <c r="C306" s="28">
        <f t="shared" si="97"/>
        <v>0.0023333333333333335</v>
      </c>
      <c r="D306">
        <f t="shared" si="93"/>
        <v>19226</v>
      </c>
      <c r="E306">
        <f t="shared" si="98"/>
        <v>1469959</v>
      </c>
    </row>
    <row r="307" spans="1:5" ht="15">
      <c r="A307" t="s">
        <v>356</v>
      </c>
      <c r="B307">
        <f t="shared" si="99"/>
        <v>8239658</v>
      </c>
      <c r="C307" s="28">
        <f t="shared" si="97"/>
        <v>0.0023333333333333335</v>
      </c>
      <c r="D307">
        <f t="shared" si="93"/>
        <v>19226</v>
      </c>
      <c r="E307">
        <f t="shared" si="98"/>
        <v>1489185</v>
      </c>
    </row>
    <row r="309" spans="1:5" ht="15">
      <c r="A309" s="73" t="s">
        <v>423</v>
      </c>
      <c r="B309">
        <f>B307</f>
        <v>8239658</v>
      </c>
      <c r="C309" s="28">
        <f>0.028/12</f>
        <v>0.0023333333333333335</v>
      </c>
      <c r="D309">
        <f aca="true" t="shared" si="100" ref="D309:D320">ROUND((B309*C309),0)</f>
        <v>19226</v>
      </c>
      <c r="E309">
        <f>ROUND(+E307+D309,0)</f>
        <v>1508411</v>
      </c>
    </row>
    <row r="310" spans="1:5" ht="15">
      <c r="A310" s="72" t="s">
        <v>424</v>
      </c>
      <c r="B310">
        <f>B309</f>
        <v>8239658</v>
      </c>
      <c r="C310" s="28">
        <f aca="true" t="shared" si="101" ref="C310:C320">0.028/12</f>
        <v>0.0023333333333333335</v>
      </c>
      <c r="D310">
        <f t="shared" si="100"/>
        <v>19226</v>
      </c>
      <c r="E310">
        <f aca="true" t="shared" si="102" ref="E310:E320">ROUND(+E309+D310,0)</f>
        <v>1527637</v>
      </c>
    </row>
    <row r="311" spans="1:5" ht="15">
      <c r="A311" s="72" t="s">
        <v>425</v>
      </c>
      <c r="B311">
        <f aca="true" t="shared" si="103" ref="B311:B320">B310</f>
        <v>8239658</v>
      </c>
      <c r="C311" s="28">
        <f t="shared" si="101"/>
        <v>0.0023333333333333335</v>
      </c>
      <c r="D311">
        <f t="shared" si="100"/>
        <v>19226</v>
      </c>
      <c r="E311">
        <f t="shared" si="102"/>
        <v>1546863</v>
      </c>
    </row>
    <row r="312" spans="1:5" ht="15">
      <c r="A312" s="72" t="s">
        <v>426</v>
      </c>
      <c r="B312">
        <f t="shared" si="103"/>
        <v>8239658</v>
      </c>
      <c r="C312" s="28">
        <f t="shared" si="101"/>
        <v>0.0023333333333333335</v>
      </c>
      <c r="D312">
        <f t="shared" si="100"/>
        <v>19226</v>
      </c>
      <c r="E312">
        <f t="shared" si="102"/>
        <v>1566089</v>
      </c>
    </row>
    <row r="313" spans="1:5" ht="15">
      <c r="A313" s="72" t="s">
        <v>410</v>
      </c>
      <c r="B313">
        <f t="shared" si="103"/>
        <v>8239658</v>
      </c>
      <c r="C313" s="28">
        <f t="shared" si="101"/>
        <v>0.0023333333333333335</v>
      </c>
      <c r="D313">
        <f t="shared" si="100"/>
        <v>19226</v>
      </c>
      <c r="E313">
        <f t="shared" si="102"/>
        <v>1585315</v>
      </c>
    </row>
    <row r="314" spans="1:5" ht="15">
      <c r="A314" s="72" t="s">
        <v>427</v>
      </c>
      <c r="B314">
        <f t="shared" si="103"/>
        <v>8239658</v>
      </c>
      <c r="C314" s="28">
        <f t="shared" si="101"/>
        <v>0.0023333333333333335</v>
      </c>
      <c r="D314">
        <f t="shared" si="100"/>
        <v>19226</v>
      </c>
      <c r="E314">
        <f t="shared" si="102"/>
        <v>1604541</v>
      </c>
    </row>
    <row r="315" spans="1:5" ht="15">
      <c r="A315" s="72" t="s">
        <v>428</v>
      </c>
      <c r="B315">
        <f t="shared" si="103"/>
        <v>8239658</v>
      </c>
      <c r="C315" s="28">
        <f t="shared" si="101"/>
        <v>0.0023333333333333335</v>
      </c>
      <c r="D315">
        <f t="shared" si="100"/>
        <v>19226</v>
      </c>
      <c r="E315">
        <f t="shared" si="102"/>
        <v>1623767</v>
      </c>
    </row>
    <row r="316" spans="1:5" ht="15">
      <c r="A316" s="72" t="s">
        <v>429</v>
      </c>
      <c r="B316">
        <f t="shared" si="103"/>
        <v>8239658</v>
      </c>
      <c r="C316" s="28">
        <f t="shared" si="101"/>
        <v>0.0023333333333333335</v>
      </c>
      <c r="D316">
        <f t="shared" si="100"/>
        <v>19226</v>
      </c>
      <c r="E316">
        <f t="shared" si="102"/>
        <v>1642993</v>
      </c>
    </row>
    <row r="317" spans="1:5" ht="15">
      <c r="A317" s="72" t="s">
        <v>430</v>
      </c>
      <c r="B317">
        <f t="shared" si="103"/>
        <v>8239658</v>
      </c>
      <c r="C317" s="28">
        <f t="shared" si="101"/>
        <v>0.0023333333333333335</v>
      </c>
      <c r="D317">
        <f t="shared" si="100"/>
        <v>19226</v>
      </c>
      <c r="E317">
        <f t="shared" si="102"/>
        <v>1662219</v>
      </c>
    </row>
    <row r="318" spans="1:5" ht="15">
      <c r="A318" s="72" t="s">
        <v>431</v>
      </c>
      <c r="B318">
        <f t="shared" si="103"/>
        <v>8239658</v>
      </c>
      <c r="C318" s="28">
        <f t="shared" si="101"/>
        <v>0.0023333333333333335</v>
      </c>
      <c r="D318">
        <f t="shared" si="100"/>
        <v>19226</v>
      </c>
      <c r="E318">
        <f t="shared" si="102"/>
        <v>1681445</v>
      </c>
    </row>
    <row r="319" spans="1:5" ht="15">
      <c r="A319" s="72" t="s">
        <v>432</v>
      </c>
      <c r="B319">
        <f t="shared" si="103"/>
        <v>8239658</v>
      </c>
      <c r="C319" s="28">
        <f t="shared" si="101"/>
        <v>0.0023333333333333335</v>
      </c>
      <c r="D319">
        <f t="shared" si="100"/>
        <v>19226</v>
      </c>
      <c r="E319">
        <f t="shared" si="102"/>
        <v>1700671</v>
      </c>
    </row>
    <row r="320" spans="1:5" ht="15">
      <c r="A320" s="72" t="s">
        <v>433</v>
      </c>
      <c r="B320">
        <f t="shared" si="103"/>
        <v>8239658</v>
      </c>
      <c r="C320" s="28">
        <f t="shared" si="101"/>
        <v>0.0023333333333333335</v>
      </c>
      <c r="D320">
        <f t="shared" si="100"/>
        <v>19226</v>
      </c>
      <c r="E320">
        <f t="shared" si="102"/>
        <v>1719897</v>
      </c>
    </row>
    <row r="322" ht="15">
      <c r="A322" t="s">
        <v>217</v>
      </c>
    </row>
    <row r="324" spans="2:4" ht="15">
      <c r="B324" s="29" t="s">
        <v>115</v>
      </c>
      <c r="C324" s="29" t="s">
        <v>116</v>
      </c>
      <c r="D324" s="29" t="s">
        <v>116</v>
      </c>
    </row>
    <row r="325" spans="3:5" ht="15">
      <c r="C325" s="29" t="s">
        <v>117</v>
      </c>
      <c r="D325" s="29" t="s">
        <v>118</v>
      </c>
      <c r="E325" s="29" t="s">
        <v>119</v>
      </c>
    </row>
    <row r="327" spans="1:5" ht="15">
      <c r="A327" t="s">
        <v>218</v>
      </c>
      <c r="B327">
        <v>1299544</v>
      </c>
      <c r="C327" s="28">
        <f>0.033/12</f>
        <v>0.0027500000000000003</v>
      </c>
      <c r="D327">
        <f>ROUND((B327*C327/2),0)</f>
        <v>1787</v>
      </c>
      <c r="E327">
        <f>D327</f>
        <v>1787</v>
      </c>
    </row>
    <row r="328" ht="15">
      <c r="C328" s="28"/>
    </row>
    <row r="329" spans="1:5" ht="15">
      <c r="A329" s="33" t="s">
        <v>219</v>
      </c>
      <c r="B329" s="47">
        <f>B327+25365</f>
        <v>1324909</v>
      </c>
      <c r="C329" s="28">
        <f>0.035/12</f>
        <v>0.002916666666666667</v>
      </c>
      <c r="D329" s="47">
        <f>ROUND((B327*C329),0)+ROUND(25365*C329/2,0)</f>
        <v>3827</v>
      </c>
      <c r="E329">
        <f>D329+E327</f>
        <v>5614</v>
      </c>
    </row>
    <row r="330" spans="1:5" ht="15">
      <c r="A330" t="s">
        <v>220</v>
      </c>
      <c r="B330" s="47">
        <f>B329+-34069</f>
        <v>1290840</v>
      </c>
      <c r="C330" s="28">
        <f aca="true" t="shared" si="104" ref="C330:C340">0.035/12</f>
        <v>0.002916666666666667</v>
      </c>
      <c r="D330" s="47">
        <f>ROUND((B329*C330),0)+ROUND(-34069*C330/2,0)</f>
        <v>3814</v>
      </c>
      <c r="E330">
        <f aca="true" t="shared" si="105" ref="E330:E340">ROUND(+E329+D330,0)</f>
        <v>9428</v>
      </c>
    </row>
    <row r="331" spans="1:5" ht="15">
      <c r="A331" t="s">
        <v>221</v>
      </c>
      <c r="B331" s="47">
        <f>B330+14758</f>
        <v>1305598</v>
      </c>
      <c r="C331" s="28">
        <f t="shared" si="104"/>
        <v>0.002916666666666667</v>
      </c>
      <c r="D331" s="47">
        <f>ROUND((B330*C331),0)+ROUND(14758*C331/2,0)</f>
        <v>3787</v>
      </c>
      <c r="E331">
        <f t="shared" si="105"/>
        <v>13215</v>
      </c>
    </row>
    <row r="332" spans="1:5" ht="15">
      <c r="A332" t="s">
        <v>222</v>
      </c>
      <c r="B332" s="47">
        <f>B331+6018</f>
        <v>1311616</v>
      </c>
      <c r="C332" s="28">
        <f t="shared" si="104"/>
        <v>0.002916666666666667</v>
      </c>
      <c r="D332" s="47">
        <f>ROUND((B331*C332),0)+ROUND(6018*C332/2,0)</f>
        <v>3817</v>
      </c>
      <c r="E332">
        <f t="shared" si="105"/>
        <v>17032</v>
      </c>
    </row>
    <row r="333" spans="1:5" ht="15">
      <c r="A333" t="s">
        <v>223</v>
      </c>
      <c r="B333" s="47">
        <f>B332+15585</f>
        <v>1327201</v>
      </c>
      <c r="C333" s="28">
        <f t="shared" si="104"/>
        <v>0.002916666666666667</v>
      </c>
      <c r="D333" s="47">
        <f>ROUND((B332*C333),0)+ROUND(15585*C333/2,0)</f>
        <v>3849</v>
      </c>
      <c r="E333">
        <f t="shared" si="105"/>
        <v>20881</v>
      </c>
    </row>
    <row r="334" spans="1:5" ht="15">
      <c r="A334" t="s">
        <v>224</v>
      </c>
      <c r="B334" s="47">
        <f>B333+575</f>
        <v>1327776</v>
      </c>
      <c r="C334" s="28">
        <f t="shared" si="104"/>
        <v>0.002916666666666667</v>
      </c>
      <c r="D334" s="47">
        <f>ROUND((B333*C334),0)+ROUND(575*C334/2,0)</f>
        <v>3872</v>
      </c>
      <c r="E334">
        <f t="shared" si="105"/>
        <v>24753</v>
      </c>
    </row>
    <row r="335" spans="1:5" ht="15">
      <c r="A335" t="s">
        <v>225</v>
      </c>
      <c r="B335" s="47">
        <f>B334-11519</f>
        <v>1316257</v>
      </c>
      <c r="C335" s="28">
        <f t="shared" si="104"/>
        <v>0.002916666666666667</v>
      </c>
      <c r="D335" s="47">
        <f>ROUND((B334*C335),0)+ROUND(-11519*C335/2,0)</f>
        <v>3856</v>
      </c>
      <c r="E335">
        <f t="shared" si="105"/>
        <v>28609</v>
      </c>
    </row>
    <row r="336" spans="1:5" ht="15">
      <c r="A336" t="s">
        <v>226</v>
      </c>
      <c r="B336" s="58">
        <f>B335</f>
        <v>1316257</v>
      </c>
      <c r="C336" s="28">
        <f t="shared" si="104"/>
        <v>0.002916666666666667</v>
      </c>
      <c r="D336" s="58">
        <f>ROUND((B336*C336),0)</f>
        <v>3839</v>
      </c>
      <c r="E336">
        <f t="shared" si="105"/>
        <v>32448</v>
      </c>
    </row>
    <row r="337" spans="1:5" ht="15">
      <c r="A337" t="s">
        <v>227</v>
      </c>
      <c r="B337" s="58">
        <f>B336</f>
        <v>1316257</v>
      </c>
      <c r="C337" s="28">
        <f t="shared" si="104"/>
        <v>0.002916666666666667</v>
      </c>
      <c r="D337" s="58">
        <f>ROUND((B337*C337),0)</f>
        <v>3839</v>
      </c>
      <c r="E337">
        <f t="shared" si="105"/>
        <v>36287</v>
      </c>
    </row>
    <row r="338" spans="1:5" ht="15">
      <c r="A338" t="s">
        <v>228</v>
      </c>
      <c r="B338" s="58">
        <f>B337</f>
        <v>1316257</v>
      </c>
      <c r="C338" s="28">
        <f t="shared" si="104"/>
        <v>0.002916666666666667</v>
      </c>
      <c r="D338" s="47">
        <f>ROUND((B338*C338),0)</f>
        <v>3839</v>
      </c>
      <c r="E338">
        <f t="shared" si="105"/>
        <v>40126</v>
      </c>
    </row>
    <row r="339" spans="1:5" ht="15">
      <c r="A339" t="s">
        <v>229</v>
      </c>
      <c r="B339" s="58">
        <f>B338</f>
        <v>1316257</v>
      </c>
      <c r="C339" s="28">
        <f t="shared" si="104"/>
        <v>0.002916666666666667</v>
      </c>
      <c r="D339" s="47">
        <f>ROUND((B339*C339),0)</f>
        <v>3839</v>
      </c>
      <c r="E339">
        <f t="shared" si="105"/>
        <v>43965</v>
      </c>
    </row>
    <row r="340" spans="1:5" ht="15">
      <c r="A340" t="s">
        <v>230</v>
      </c>
      <c r="B340" s="58">
        <f>B339</f>
        <v>1316257</v>
      </c>
      <c r="C340" s="28">
        <f t="shared" si="104"/>
        <v>0.002916666666666667</v>
      </c>
      <c r="D340" s="47">
        <f>ROUND((B340*C340),0)</f>
        <v>3839</v>
      </c>
      <c r="E340">
        <f t="shared" si="105"/>
        <v>47804</v>
      </c>
    </row>
    <row r="341" spans="2:4" ht="15">
      <c r="B341" s="47"/>
      <c r="C341" s="28"/>
      <c r="D341" s="47"/>
    </row>
    <row r="342" spans="1:5" ht="15">
      <c r="A342" s="33" t="s">
        <v>312</v>
      </c>
      <c r="B342" s="58">
        <f>B340</f>
        <v>1316257</v>
      </c>
      <c r="C342" s="28">
        <f>0.035/12</f>
        <v>0.002916666666666667</v>
      </c>
      <c r="D342" s="47">
        <f aca="true" t="shared" si="106" ref="D342:D366">ROUND((B342*C342),0)</f>
        <v>3839</v>
      </c>
      <c r="E342">
        <f>ROUND(+E340+D342,0)</f>
        <v>51643</v>
      </c>
    </row>
    <row r="343" spans="1:5" ht="15">
      <c r="A343" t="s">
        <v>313</v>
      </c>
      <c r="B343" s="58">
        <f>B342</f>
        <v>1316257</v>
      </c>
      <c r="C343" s="28">
        <f aca="true" t="shared" si="107" ref="C343:C379">0.035/12</f>
        <v>0.002916666666666667</v>
      </c>
      <c r="D343" s="47">
        <f t="shared" si="106"/>
        <v>3839</v>
      </c>
      <c r="E343">
        <f>ROUND(+E342+D343,0)</f>
        <v>55482</v>
      </c>
    </row>
    <row r="344" spans="1:5" ht="15">
      <c r="A344" t="s">
        <v>314</v>
      </c>
      <c r="B344" s="58">
        <f aca="true" t="shared" si="108" ref="B344:B353">B343</f>
        <v>1316257</v>
      </c>
      <c r="C344" s="28">
        <f t="shared" si="107"/>
        <v>0.002916666666666667</v>
      </c>
      <c r="D344" s="47">
        <f t="shared" si="106"/>
        <v>3839</v>
      </c>
      <c r="E344">
        <f aca="true" t="shared" si="109" ref="E344:E353">ROUND(+E343+D344,0)</f>
        <v>59321</v>
      </c>
    </row>
    <row r="345" spans="1:5" ht="15">
      <c r="A345" t="s">
        <v>315</v>
      </c>
      <c r="B345" s="58">
        <f t="shared" si="108"/>
        <v>1316257</v>
      </c>
      <c r="C345" s="28">
        <f t="shared" si="107"/>
        <v>0.002916666666666667</v>
      </c>
      <c r="D345" s="47">
        <f t="shared" si="106"/>
        <v>3839</v>
      </c>
      <c r="E345">
        <f t="shared" si="109"/>
        <v>63160</v>
      </c>
    </row>
    <row r="346" spans="1:5" ht="15">
      <c r="A346" t="s">
        <v>304</v>
      </c>
      <c r="B346" s="58">
        <f t="shared" si="108"/>
        <v>1316257</v>
      </c>
      <c r="C346" s="28">
        <f t="shared" si="107"/>
        <v>0.002916666666666667</v>
      </c>
      <c r="D346" s="47">
        <f t="shared" si="106"/>
        <v>3839</v>
      </c>
      <c r="E346">
        <f t="shared" si="109"/>
        <v>66999</v>
      </c>
    </row>
    <row r="347" spans="1:5" ht="15">
      <c r="A347" t="s">
        <v>316</v>
      </c>
      <c r="B347" s="58">
        <f t="shared" si="108"/>
        <v>1316257</v>
      </c>
      <c r="C347" s="28">
        <f t="shared" si="107"/>
        <v>0.002916666666666667</v>
      </c>
      <c r="D347" s="47">
        <f t="shared" si="106"/>
        <v>3839</v>
      </c>
      <c r="E347">
        <f t="shared" si="109"/>
        <v>70838</v>
      </c>
    </row>
    <row r="348" spans="1:5" ht="15">
      <c r="A348" t="s">
        <v>317</v>
      </c>
      <c r="B348" s="58">
        <f t="shared" si="108"/>
        <v>1316257</v>
      </c>
      <c r="C348" s="28">
        <f t="shared" si="107"/>
        <v>0.002916666666666667</v>
      </c>
      <c r="D348" s="47">
        <f t="shared" si="106"/>
        <v>3839</v>
      </c>
      <c r="E348">
        <f t="shared" si="109"/>
        <v>74677</v>
      </c>
    </row>
    <row r="349" spans="1:5" ht="15">
      <c r="A349" t="s">
        <v>318</v>
      </c>
      <c r="B349" s="58">
        <f t="shared" si="108"/>
        <v>1316257</v>
      </c>
      <c r="C349" s="28">
        <f t="shared" si="107"/>
        <v>0.002916666666666667</v>
      </c>
      <c r="D349" s="47">
        <f t="shared" si="106"/>
        <v>3839</v>
      </c>
      <c r="E349">
        <f t="shared" si="109"/>
        <v>78516</v>
      </c>
    </row>
    <row r="350" spans="1:5" ht="15">
      <c r="A350" t="s">
        <v>319</v>
      </c>
      <c r="B350" s="58">
        <f t="shared" si="108"/>
        <v>1316257</v>
      </c>
      <c r="C350" s="28">
        <f t="shared" si="107"/>
        <v>0.002916666666666667</v>
      </c>
      <c r="D350" s="47">
        <f t="shared" si="106"/>
        <v>3839</v>
      </c>
      <c r="E350">
        <f t="shared" si="109"/>
        <v>82355</v>
      </c>
    </row>
    <row r="351" spans="1:5" ht="15">
      <c r="A351" t="s">
        <v>320</v>
      </c>
      <c r="B351" s="58">
        <f t="shared" si="108"/>
        <v>1316257</v>
      </c>
      <c r="C351" s="28">
        <f t="shared" si="107"/>
        <v>0.002916666666666667</v>
      </c>
      <c r="D351" s="47">
        <f t="shared" si="106"/>
        <v>3839</v>
      </c>
      <c r="E351">
        <f t="shared" si="109"/>
        <v>86194</v>
      </c>
    </row>
    <row r="352" spans="1:5" ht="15">
      <c r="A352" t="s">
        <v>321</v>
      </c>
      <c r="B352" s="58">
        <f t="shared" si="108"/>
        <v>1316257</v>
      </c>
      <c r="C352" s="28">
        <f t="shared" si="107"/>
        <v>0.002916666666666667</v>
      </c>
      <c r="D352" s="47">
        <f t="shared" si="106"/>
        <v>3839</v>
      </c>
      <c r="E352">
        <f t="shared" si="109"/>
        <v>90033</v>
      </c>
    </row>
    <row r="353" spans="1:5" ht="15">
      <c r="A353" t="s">
        <v>322</v>
      </c>
      <c r="B353" s="58">
        <f t="shared" si="108"/>
        <v>1316257</v>
      </c>
      <c r="C353" s="28">
        <f t="shared" si="107"/>
        <v>0.002916666666666667</v>
      </c>
      <c r="D353" s="47">
        <f t="shared" si="106"/>
        <v>3839</v>
      </c>
      <c r="E353">
        <f t="shared" si="109"/>
        <v>93872</v>
      </c>
    </row>
    <row r="354" spans="2:4" ht="15">
      <c r="B354" s="58"/>
      <c r="C354" s="28"/>
      <c r="D354" s="47"/>
    </row>
    <row r="355" spans="1:5" ht="15">
      <c r="A355" s="33" t="s">
        <v>346</v>
      </c>
      <c r="B355" s="58">
        <f>B353</f>
        <v>1316257</v>
      </c>
      <c r="C355" s="28">
        <f t="shared" si="107"/>
        <v>0.002916666666666667</v>
      </c>
      <c r="D355" s="47">
        <f t="shared" si="106"/>
        <v>3839</v>
      </c>
      <c r="E355">
        <f>ROUND(+E353+D355,0)</f>
        <v>97711</v>
      </c>
    </row>
    <row r="356" spans="1:5" ht="15">
      <c r="A356" t="s">
        <v>347</v>
      </c>
      <c r="B356" s="58">
        <f>B355</f>
        <v>1316257</v>
      </c>
      <c r="C356" s="28">
        <f t="shared" si="107"/>
        <v>0.002916666666666667</v>
      </c>
      <c r="D356" s="47">
        <f t="shared" si="106"/>
        <v>3839</v>
      </c>
      <c r="E356">
        <f>ROUND(+E355+D356,0)</f>
        <v>101550</v>
      </c>
    </row>
    <row r="357" spans="1:5" ht="15">
      <c r="A357" t="s">
        <v>348</v>
      </c>
      <c r="B357" s="58">
        <f aca="true" t="shared" si="110" ref="B357:B366">B356</f>
        <v>1316257</v>
      </c>
      <c r="C357" s="28">
        <f t="shared" si="107"/>
        <v>0.002916666666666667</v>
      </c>
      <c r="D357" s="47">
        <f t="shared" si="106"/>
        <v>3839</v>
      </c>
      <c r="E357">
        <f aca="true" t="shared" si="111" ref="E357:E366">ROUND(+E356+D357,0)</f>
        <v>105389</v>
      </c>
    </row>
    <row r="358" spans="1:5" ht="15">
      <c r="A358" t="s">
        <v>349</v>
      </c>
      <c r="B358" s="58">
        <f t="shared" si="110"/>
        <v>1316257</v>
      </c>
      <c r="C358" s="28">
        <f t="shared" si="107"/>
        <v>0.002916666666666667</v>
      </c>
      <c r="D358" s="47">
        <f t="shared" si="106"/>
        <v>3839</v>
      </c>
      <c r="E358">
        <f t="shared" si="111"/>
        <v>109228</v>
      </c>
    </row>
    <row r="359" spans="1:5" ht="15">
      <c r="A359" t="s">
        <v>345</v>
      </c>
      <c r="B359" s="58">
        <f t="shared" si="110"/>
        <v>1316257</v>
      </c>
      <c r="C359" s="28">
        <f t="shared" si="107"/>
        <v>0.002916666666666667</v>
      </c>
      <c r="D359" s="47">
        <f t="shared" si="106"/>
        <v>3839</v>
      </c>
      <c r="E359">
        <f t="shared" si="111"/>
        <v>113067</v>
      </c>
    </row>
    <row r="360" spans="1:5" ht="15">
      <c r="A360" t="s">
        <v>350</v>
      </c>
      <c r="B360" s="58">
        <f t="shared" si="110"/>
        <v>1316257</v>
      </c>
      <c r="C360" s="28">
        <f t="shared" si="107"/>
        <v>0.002916666666666667</v>
      </c>
      <c r="D360" s="47">
        <f t="shared" si="106"/>
        <v>3839</v>
      </c>
      <c r="E360">
        <f t="shared" si="111"/>
        <v>116906</v>
      </c>
    </row>
    <row r="361" spans="1:5" ht="15">
      <c r="A361" t="s">
        <v>351</v>
      </c>
      <c r="B361" s="58">
        <f t="shared" si="110"/>
        <v>1316257</v>
      </c>
      <c r="C361" s="28">
        <f t="shared" si="107"/>
        <v>0.002916666666666667</v>
      </c>
      <c r="D361" s="47">
        <f t="shared" si="106"/>
        <v>3839</v>
      </c>
      <c r="E361">
        <f t="shared" si="111"/>
        <v>120745</v>
      </c>
    </row>
    <row r="362" spans="1:5" ht="15">
      <c r="A362" t="s">
        <v>352</v>
      </c>
      <c r="B362" s="58">
        <f t="shared" si="110"/>
        <v>1316257</v>
      </c>
      <c r="C362" s="28">
        <f t="shared" si="107"/>
        <v>0.002916666666666667</v>
      </c>
      <c r="D362" s="47">
        <f t="shared" si="106"/>
        <v>3839</v>
      </c>
      <c r="E362">
        <f t="shared" si="111"/>
        <v>124584</v>
      </c>
    </row>
    <row r="363" spans="1:5" ht="15">
      <c r="A363" t="s">
        <v>353</v>
      </c>
      <c r="B363" s="58">
        <f t="shared" si="110"/>
        <v>1316257</v>
      </c>
      <c r="C363" s="28">
        <f t="shared" si="107"/>
        <v>0.002916666666666667</v>
      </c>
      <c r="D363" s="47">
        <f t="shared" si="106"/>
        <v>3839</v>
      </c>
      <c r="E363">
        <f t="shared" si="111"/>
        <v>128423</v>
      </c>
    </row>
    <row r="364" spans="1:5" ht="15">
      <c r="A364" t="s">
        <v>354</v>
      </c>
      <c r="B364" s="58">
        <f t="shared" si="110"/>
        <v>1316257</v>
      </c>
      <c r="C364" s="28">
        <f t="shared" si="107"/>
        <v>0.002916666666666667</v>
      </c>
      <c r="D364" s="47">
        <f t="shared" si="106"/>
        <v>3839</v>
      </c>
      <c r="E364">
        <f t="shared" si="111"/>
        <v>132262</v>
      </c>
    </row>
    <row r="365" spans="1:5" ht="15">
      <c r="A365" t="s">
        <v>355</v>
      </c>
      <c r="B365" s="58">
        <f t="shared" si="110"/>
        <v>1316257</v>
      </c>
      <c r="C365" s="28">
        <f t="shared" si="107"/>
        <v>0.002916666666666667</v>
      </c>
      <c r="D365" s="47">
        <f t="shared" si="106"/>
        <v>3839</v>
      </c>
      <c r="E365">
        <f t="shared" si="111"/>
        <v>136101</v>
      </c>
    </row>
    <row r="366" spans="1:5" ht="15">
      <c r="A366" t="s">
        <v>356</v>
      </c>
      <c r="B366" s="58">
        <f t="shared" si="110"/>
        <v>1316257</v>
      </c>
      <c r="C366" s="28">
        <f t="shared" si="107"/>
        <v>0.002916666666666667</v>
      </c>
      <c r="D366" s="47">
        <f t="shared" si="106"/>
        <v>3839</v>
      </c>
      <c r="E366">
        <f t="shared" si="111"/>
        <v>139940</v>
      </c>
    </row>
    <row r="368" spans="1:256" ht="15">
      <c r="A368" s="73" t="s">
        <v>423</v>
      </c>
      <c r="B368" s="58">
        <f>B366</f>
        <v>1316257</v>
      </c>
      <c r="C368" s="28">
        <f t="shared" si="107"/>
        <v>0.002916666666666667</v>
      </c>
      <c r="D368" s="47">
        <f aca="true" t="shared" si="112" ref="D368:D379">ROUND((B368*C368),0)</f>
        <v>3839</v>
      </c>
      <c r="E368">
        <f>ROUND(+E366+D368,0)</f>
        <v>143779</v>
      </c>
      <c r="F368" s="73"/>
      <c r="G368" s="73"/>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c r="AE368" s="73"/>
      <c r="AF368" s="73"/>
      <c r="AG368" s="73"/>
      <c r="AH368" s="73"/>
      <c r="AI368" s="73"/>
      <c r="AJ368" s="73"/>
      <c r="AK368" s="73"/>
      <c r="AL368" s="73"/>
      <c r="AM368" s="73"/>
      <c r="AN368" s="73"/>
      <c r="AO368" s="73"/>
      <c r="AP368" s="73"/>
      <c r="AQ368" s="73"/>
      <c r="AR368" s="73"/>
      <c r="AS368" s="73"/>
      <c r="AT368" s="73"/>
      <c r="AU368" s="73"/>
      <c r="AV368" s="73"/>
      <c r="AW368" s="73"/>
      <c r="AX368" s="73"/>
      <c r="AY368" s="73"/>
      <c r="AZ368" s="73"/>
      <c r="BA368" s="73"/>
      <c r="BB368" s="73"/>
      <c r="BC368" s="73"/>
      <c r="BD368" s="73"/>
      <c r="BE368" s="73"/>
      <c r="BF368" s="73"/>
      <c r="BG368" s="73"/>
      <c r="BH368" s="73"/>
      <c r="BI368" s="73"/>
      <c r="BJ368" s="73"/>
      <c r="BK368" s="73"/>
      <c r="BL368" s="73"/>
      <c r="BM368" s="73"/>
      <c r="BN368" s="73"/>
      <c r="BO368" s="73"/>
      <c r="BP368" s="73"/>
      <c r="BQ368" s="73"/>
      <c r="BR368" s="73"/>
      <c r="BS368" s="73"/>
      <c r="BT368" s="73"/>
      <c r="BU368" s="73"/>
      <c r="BV368" s="73"/>
      <c r="BW368" s="73"/>
      <c r="BX368" s="73"/>
      <c r="BY368" s="73"/>
      <c r="BZ368" s="73"/>
      <c r="CA368" s="73"/>
      <c r="CB368" s="73"/>
      <c r="CC368" s="73"/>
      <c r="CD368" s="73"/>
      <c r="CE368" s="73"/>
      <c r="CF368" s="73"/>
      <c r="CG368" s="73"/>
      <c r="CH368" s="73"/>
      <c r="CI368" s="73"/>
      <c r="CJ368" s="73"/>
      <c r="CK368" s="73"/>
      <c r="CL368" s="73"/>
      <c r="CM368" s="73"/>
      <c r="CN368" s="73"/>
      <c r="CO368" s="73"/>
      <c r="CP368" s="73"/>
      <c r="CQ368" s="73"/>
      <c r="CR368" s="73"/>
      <c r="CS368" s="73"/>
      <c r="CT368" s="73"/>
      <c r="CU368" s="73"/>
      <c r="CV368" s="73"/>
      <c r="CW368" s="73"/>
      <c r="CX368" s="73"/>
      <c r="CY368" s="73"/>
      <c r="CZ368" s="73"/>
      <c r="DA368" s="73"/>
      <c r="DB368" s="73"/>
      <c r="DC368" s="73"/>
      <c r="DD368" s="73"/>
      <c r="DE368" s="73"/>
      <c r="DF368" s="73"/>
      <c r="DG368" s="73"/>
      <c r="DH368" s="73"/>
      <c r="DI368" s="73"/>
      <c r="DJ368" s="73"/>
      <c r="DK368" s="73"/>
      <c r="DL368" s="73"/>
      <c r="DM368" s="73"/>
      <c r="DN368" s="73"/>
      <c r="DO368" s="73"/>
      <c r="DP368" s="73"/>
      <c r="DQ368" s="73"/>
      <c r="DR368" s="73"/>
      <c r="DS368" s="73"/>
      <c r="DT368" s="73"/>
      <c r="DU368" s="73"/>
      <c r="DV368" s="73"/>
      <c r="DW368" s="73"/>
      <c r="DX368" s="73"/>
      <c r="DY368" s="73"/>
      <c r="DZ368" s="73"/>
      <c r="EA368" s="73"/>
      <c r="EB368" s="73"/>
      <c r="EC368" s="73"/>
      <c r="ED368" s="73"/>
      <c r="EE368" s="73"/>
      <c r="EF368" s="73"/>
      <c r="EG368" s="73"/>
      <c r="EH368" s="73"/>
      <c r="EI368" s="73"/>
      <c r="EJ368" s="73"/>
      <c r="EK368" s="73"/>
      <c r="EL368" s="73"/>
      <c r="EM368" s="73"/>
      <c r="EN368" s="73"/>
      <c r="EO368" s="73"/>
      <c r="EP368" s="73"/>
      <c r="EQ368" s="73"/>
      <c r="ER368" s="73"/>
      <c r="ES368" s="73"/>
      <c r="ET368" s="73"/>
      <c r="EU368" s="73"/>
      <c r="EV368" s="73"/>
      <c r="EW368" s="73"/>
      <c r="EX368" s="73"/>
      <c r="EY368" s="73"/>
      <c r="EZ368" s="73"/>
      <c r="FA368" s="73"/>
      <c r="FB368" s="73"/>
      <c r="FC368" s="73"/>
      <c r="FD368" s="73"/>
      <c r="FE368" s="73"/>
      <c r="FF368" s="73"/>
      <c r="FG368" s="73"/>
      <c r="FH368" s="73"/>
      <c r="FI368" s="73"/>
      <c r="FJ368" s="73"/>
      <c r="FK368" s="73"/>
      <c r="FL368" s="73"/>
      <c r="FM368" s="73"/>
      <c r="FN368" s="73"/>
      <c r="FO368" s="73"/>
      <c r="FP368" s="73"/>
      <c r="FQ368" s="73"/>
      <c r="FR368" s="73"/>
      <c r="FS368" s="73"/>
      <c r="FT368" s="73"/>
      <c r="FU368" s="73"/>
      <c r="FV368" s="73"/>
      <c r="FW368" s="73"/>
      <c r="FX368" s="73"/>
      <c r="FY368" s="73"/>
      <c r="FZ368" s="73"/>
      <c r="GA368" s="73"/>
      <c r="GB368" s="73"/>
      <c r="GC368" s="73"/>
      <c r="GD368" s="73"/>
      <c r="GE368" s="73"/>
      <c r="GF368" s="73"/>
      <c r="GG368" s="73"/>
      <c r="GH368" s="73"/>
      <c r="GI368" s="73"/>
      <c r="GJ368" s="73"/>
      <c r="GK368" s="73"/>
      <c r="GL368" s="73"/>
      <c r="GM368" s="73"/>
      <c r="GN368" s="73"/>
      <c r="GO368" s="73"/>
      <c r="GP368" s="73"/>
      <c r="GQ368" s="73"/>
      <c r="GR368" s="73"/>
      <c r="GS368" s="73"/>
      <c r="GT368" s="73"/>
      <c r="GU368" s="73"/>
      <c r="GV368" s="73"/>
      <c r="GW368" s="73"/>
      <c r="GX368" s="73"/>
      <c r="GY368" s="73"/>
      <c r="GZ368" s="73"/>
      <c r="HA368" s="73"/>
      <c r="HB368" s="73"/>
      <c r="HC368" s="73"/>
      <c r="HD368" s="73"/>
      <c r="HE368" s="73"/>
      <c r="HF368" s="73"/>
      <c r="HG368" s="73"/>
      <c r="HH368" s="73"/>
      <c r="HI368" s="73"/>
      <c r="HJ368" s="73"/>
      <c r="HK368" s="73"/>
      <c r="HL368" s="73"/>
      <c r="HM368" s="73"/>
      <c r="HN368" s="73"/>
      <c r="HO368" s="73"/>
      <c r="HP368" s="73"/>
      <c r="HQ368" s="73"/>
      <c r="HR368" s="73"/>
      <c r="HS368" s="73"/>
      <c r="HT368" s="73"/>
      <c r="HU368" s="73"/>
      <c r="HV368" s="73"/>
      <c r="HW368" s="73"/>
      <c r="HX368" s="73"/>
      <c r="HY368" s="73"/>
      <c r="HZ368" s="73"/>
      <c r="IA368" s="73"/>
      <c r="IB368" s="73"/>
      <c r="IC368" s="73"/>
      <c r="ID368" s="73"/>
      <c r="IE368" s="73"/>
      <c r="IF368" s="73"/>
      <c r="IG368" s="73"/>
      <c r="IH368" s="73"/>
      <c r="II368" s="73"/>
      <c r="IJ368" s="73"/>
      <c r="IK368" s="73"/>
      <c r="IL368" s="73"/>
      <c r="IM368" s="73"/>
      <c r="IN368" s="73"/>
      <c r="IO368" s="73"/>
      <c r="IP368" s="73"/>
      <c r="IQ368" s="73"/>
      <c r="IR368" s="73"/>
      <c r="IS368" s="73"/>
      <c r="IT368" s="73"/>
      <c r="IU368" s="73"/>
      <c r="IV368" s="73"/>
    </row>
    <row r="369" spans="1:256" ht="15">
      <c r="A369" s="72" t="s">
        <v>424</v>
      </c>
      <c r="B369" s="58">
        <f>B368</f>
        <v>1316257</v>
      </c>
      <c r="C369" s="28">
        <f t="shared" si="107"/>
        <v>0.002916666666666667</v>
      </c>
      <c r="D369" s="47">
        <f t="shared" si="112"/>
        <v>3839</v>
      </c>
      <c r="E369">
        <f>ROUND(+E368+D369,0)</f>
        <v>147618</v>
      </c>
      <c r="F369" s="72"/>
      <c r="G369" s="72"/>
      <c r="H369" s="72"/>
      <c r="I369" s="72"/>
      <c r="J369" s="72"/>
      <c r="K369" s="72"/>
      <c r="L369" s="72"/>
      <c r="M369" s="72"/>
      <c r="N369" s="72"/>
      <c r="O369" s="72"/>
      <c r="P369" s="72"/>
      <c r="Q369" s="72"/>
      <c r="R369" s="72"/>
      <c r="S369" s="72"/>
      <c r="T369" s="72"/>
      <c r="U369" s="72"/>
      <c r="V369" s="72"/>
      <c r="W369" s="72"/>
      <c r="X369" s="72"/>
      <c r="Y369" s="72"/>
      <c r="Z369" s="72"/>
      <c r="AA369" s="72"/>
      <c r="AB369" s="72"/>
      <c r="AC369" s="72"/>
      <c r="AD369" s="72"/>
      <c r="AE369" s="72"/>
      <c r="AF369" s="72"/>
      <c r="AG369" s="72"/>
      <c r="AH369" s="72"/>
      <c r="AI369" s="72"/>
      <c r="AJ369" s="72"/>
      <c r="AK369" s="72"/>
      <c r="AL369" s="72"/>
      <c r="AM369" s="72"/>
      <c r="AN369" s="72"/>
      <c r="AO369" s="72"/>
      <c r="AP369" s="72"/>
      <c r="AQ369" s="72"/>
      <c r="AR369" s="72"/>
      <c r="AS369" s="72"/>
      <c r="AT369" s="72"/>
      <c r="AU369" s="72"/>
      <c r="AV369" s="72"/>
      <c r="AW369" s="72"/>
      <c r="AX369" s="72"/>
      <c r="AY369" s="72"/>
      <c r="AZ369" s="72"/>
      <c r="BA369" s="72"/>
      <c r="BB369" s="72"/>
      <c r="BC369" s="72"/>
      <c r="BD369" s="72"/>
      <c r="BE369" s="72"/>
      <c r="BF369" s="72"/>
      <c r="BG369" s="72"/>
      <c r="BH369" s="72"/>
      <c r="BI369" s="72"/>
      <c r="BJ369" s="72"/>
      <c r="BK369" s="72"/>
      <c r="BL369" s="72"/>
      <c r="BM369" s="72"/>
      <c r="BN369" s="72"/>
      <c r="BO369" s="72"/>
      <c r="BP369" s="72"/>
      <c r="BQ369" s="72"/>
      <c r="BR369" s="72"/>
      <c r="BS369" s="72"/>
      <c r="BT369" s="72"/>
      <c r="BU369" s="72"/>
      <c r="BV369" s="72"/>
      <c r="BW369" s="72"/>
      <c r="BX369" s="72"/>
      <c r="BY369" s="72"/>
      <c r="BZ369" s="72"/>
      <c r="CA369" s="72"/>
      <c r="CB369" s="72"/>
      <c r="CC369" s="72"/>
      <c r="CD369" s="72"/>
      <c r="CE369" s="72"/>
      <c r="CF369" s="72"/>
      <c r="CG369" s="72"/>
      <c r="CH369" s="72"/>
      <c r="CI369" s="72"/>
      <c r="CJ369" s="72"/>
      <c r="CK369" s="72"/>
      <c r="CL369" s="72"/>
      <c r="CM369" s="72"/>
      <c r="CN369" s="72"/>
      <c r="CO369" s="72"/>
      <c r="CP369" s="72"/>
      <c r="CQ369" s="72"/>
      <c r="CR369" s="72"/>
      <c r="CS369" s="72"/>
      <c r="CT369" s="72"/>
      <c r="CU369" s="72"/>
      <c r="CV369" s="72"/>
      <c r="CW369" s="72"/>
      <c r="CX369" s="72"/>
      <c r="CY369" s="72"/>
      <c r="CZ369" s="72"/>
      <c r="DA369" s="72"/>
      <c r="DB369" s="72"/>
      <c r="DC369" s="72"/>
      <c r="DD369" s="72"/>
      <c r="DE369" s="72"/>
      <c r="DF369" s="72"/>
      <c r="DG369" s="72"/>
      <c r="DH369" s="72"/>
      <c r="DI369" s="72"/>
      <c r="DJ369" s="72"/>
      <c r="DK369" s="72"/>
      <c r="DL369" s="72"/>
      <c r="DM369" s="72"/>
      <c r="DN369" s="72"/>
      <c r="DO369" s="72"/>
      <c r="DP369" s="72"/>
      <c r="DQ369" s="72"/>
      <c r="DR369" s="72"/>
      <c r="DS369" s="72"/>
      <c r="DT369" s="72"/>
      <c r="DU369" s="72"/>
      <c r="DV369" s="72"/>
      <c r="DW369" s="72"/>
      <c r="DX369" s="72"/>
      <c r="DY369" s="72"/>
      <c r="DZ369" s="72"/>
      <c r="EA369" s="72"/>
      <c r="EB369" s="72"/>
      <c r="EC369" s="72"/>
      <c r="ED369" s="72"/>
      <c r="EE369" s="72"/>
      <c r="EF369" s="72"/>
      <c r="EG369" s="72"/>
      <c r="EH369" s="72"/>
      <c r="EI369" s="72"/>
      <c r="EJ369" s="72"/>
      <c r="EK369" s="72"/>
      <c r="EL369" s="72"/>
      <c r="EM369" s="72"/>
      <c r="EN369" s="72"/>
      <c r="EO369" s="72"/>
      <c r="EP369" s="72"/>
      <c r="EQ369" s="72"/>
      <c r="ER369" s="72"/>
      <c r="ES369" s="72"/>
      <c r="ET369" s="72"/>
      <c r="EU369" s="72"/>
      <c r="EV369" s="72"/>
      <c r="EW369" s="72"/>
      <c r="EX369" s="72"/>
      <c r="EY369" s="72"/>
      <c r="EZ369" s="72"/>
      <c r="FA369" s="72"/>
      <c r="FB369" s="72"/>
      <c r="FC369" s="72"/>
      <c r="FD369" s="72"/>
      <c r="FE369" s="72"/>
      <c r="FF369" s="72"/>
      <c r="FG369" s="72"/>
      <c r="FH369" s="72"/>
      <c r="FI369" s="72"/>
      <c r="FJ369" s="72"/>
      <c r="FK369" s="72"/>
      <c r="FL369" s="72"/>
      <c r="FM369" s="72"/>
      <c r="FN369" s="72"/>
      <c r="FO369" s="72"/>
      <c r="FP369" s="72"/>
      <c r="FQ369" s="72"/>
      <c r="FR369" s="72"/>
      <c r="FS369" s="72"/>
      <c r="FT369" s="72"/>
      <c r="FU369" s="72"/>
      <c r="FV369" s="72"/>
      <c r="FW369" s="72"/>
      <c r="FX369" s="72"/>
      <c r="FY369" s="72"/>
      <c r="FZ369" s="72"/>
      <c r="GA369" s="72"/>
      <c r="GB369" s="72"/>
      <c r="GC369" s="72"/>
      <c r="GD369" s="72"/>
      <c r="GE369" s="72"/>
      <c r="GF369" s="72"/>
      <c r="GG369" s="72"/>
      <c r="GH369" s="72"/>
      <c r="GI369" s="72"/>
      <c r="GJ369" s="72"/>
      <c r="GK369" s="72"/>
      <c r="GL369" s="72"/>
      <c r="GM369" s="72"/>
      <c r="GN369" s="72"/>
      <c r="GO369" s="72"/>
      <c r="GP369" s="72"/>
      <c r="GQ369" s="72"/>
      <c r="GR369" s="72"/>
      <c r="GS369" s="72"/>
      <c r="GT369" s="72"/>
      <c r="GU369" s="72"/>
      <c r="GV369" s="72"/>
      <c r="GW369" s="72"/>
      <c r="GX369" s="72"/>
      <c r="GY369" s="72"/>
      <c r="GZ369" s="72"/>
      <c r="HA369" s="72"/>
      <c r="HB369" s="72"/>
      <c r="HC369" s="72"/>
      <c r="HD369" s="72"/>
      <c r="HE369" s="72"/>
      <c r="HF369" s="72"/>
      <c r="HG369" s="72"/>
      <c r="HH369" s="72"/>
      <c r="HI369" s="72"/>
      <c r="HJ369" s="72"/>
      <c r="HK369" s="72"/>
      <c r="HL369" s="72"/>
      <c r="HM369" s="72"/>
      <c r="HN369" s="72"/>
      <c r="HO369" s="72"/>
      <c r="HP369" s="72"/>
      <c r="HQ369" s="72"/>
      <c r="HR369" s="72"/>
      <c r="HS369" s="72"/>
      <c r="HT369" s="72"/>
      <c r="HU369" s="72"/>
      <c r="HV369" s="72"/>
      <c r="HW369" s="72"/>
      <c r="HX369" s="72"/>
      <c r="HY369" s="72"/>
      <c r="HZ369" s="72"/>
      <c r="IA369" s="72"/>
      <c r="IB369" s="72"/>
      <c r="IC369" s="72"/>
      <c r="ID369" s="72"/>
      <c r="IE369" s="72"/>
      <c r="IF369" s="72"/>
      <c r="IG369" s="72"/>
      <c r="IH369" s="72"/>
      <c r="II369" s="72"/>
      <c r="IJ369" s="72"/>
      <c r="IK369" s="72"/>
      <c r="IL369" s="72"/>
      <c r="IM369" s="72"/>
      <c r="IN369" s="72"/>
      <c r="IO369" s="72"/>
      <c r="IP369" s="72"/>
      <c r="IQ369" s="72"/>
      <c r="IR369" s="72"/>
      <c r="IS369" s="72"/>
      <c r="IT369" s="72"/>
      <c r="IU369" s="72"/>
      <c r="IV369" s="72"/>
    </row>
    <row r="370" spans="1:256" ht="15">
      <c r="A370" s="72" t="s">
        <v>425</v>
      </c>
      <c r="B370" s="58">
        <f aca="true" t="shared" si="113" ref="B370:B379">B369</f>
        <v>1316257</v>
      </c>
      <c r="C370" s="28">
        <f t="shared" si="107"/>
        <v>0.002916666666666667</v>
      </c>
      <c r="D370" s="47">
        <f t="shared" si="112"/>
        <v>3839</v>
      </c>
      <c r="E370">
        <f aca="true" t="shared" si="114" ref="E370:E379">ROUND(+E369+D370,0)</f>
        <v>151457</v>
      </c>
      <c r="F370" s="72"/>
      <c r="G370" s="72"/>
      <c r="H370" s="72"/>
      <c r="I370" s="72"/>
      <c r="J370" s="72"/>
      <c r="K370" s="72"/>
      <c r="L370" s="72"/>
      <c r="M370" s="72"/>
      <c r="N370" s="72"/>
      <c r="O370" s="72"/>
      <c r="P370" s="72"/>
      <c r="Q370" s="72"/>
      <c r="R370" s="72"/>
      <c r="S370" s="72"/>
      <c r="T370" s="72"/>
      <c r="U370" s="72"/>
      <c r="V370" s="72"/>
      <c r="W370" s="72"/>
      <c r="X370" s="72"/>
      <c r="Y370" s="72"/>
      <c r="Z370" s="72"/>
      <c r="AA370" s="72"/>
      <c r="AB370" s="72"/>
      <c r="AC370" s="72"/>
      <c r="AD370" s="72"/>
      <c r="AE370" s="72"/>
      <c r="AF370" s="72"/>
      <c r="AG370" s="72"/>
      <c r="AH370" s="72"/>
      <c r="AI370" s="72"/>
      <c r="AJ370" s="72"/>
      <c r="AK370" s="72"/>
      <c r="AL370" s="72"/>
      <c r="AM370" s="72"/>
      <c r="AN370" s="72"/>
      <c r="AO370" s="72"/>
      <c r="AP370" s="72"/>
      <c r="AQ370" s="72"/>
      <c r="AR370" s="72"/>
      <c r="AS370" s="72"/>
      <c r="AT370" s="72"/>
      <c r="AU370" s="72"/>
      <c r="AV370" s="72"/>
      <c r="AW370" s="72"/>
      <c r="AX370" s="72"/>
      <c r="AY370" s="72"/>
      <c r="AZ370" s="72"/>
      <c r="BA370" s="72"/>
      <c r="BB370" s="72"/>
      <c r="BC370" s="72"/>
      <c r="BD370" s="72"/>
      <c r="BE370" s="72"/>
      <c r="BF370" s="72"/>
      <c r="BG370" s="72"/>
      <c r="BH370" s="72"/>
      <c r="BI370" s="72"/>
      <c r="BJ370" s="72"/>
      <c r="BK370" s="72"/>
      <c r="BL370" s="72"/>
      <c r="BM370" s="72"/>
      <c r="BN370" s="72"/>
      <c r="BO370" s="72"/>
      <c r="BP370" s="72"/>
      <c r="BQ370" s="72"/>
      <c r="BR370" s="72"/>
      <c r="BS370" s="72"/>
      <c r="BT370" s="72"/>
      <c r="BU370" s="72"/>
      <c r="BV370" s="72"/>
      <c r="BW370" s="72"/>
      <c r="BX370" s="72"/>
      <c r="BY370" s="72"/>
      <c r="BZ370" s="72"/>
      <c r="CA370" s="72"/>
      <c r="CB370" s="72"/>
      <c r="CC370" s="72"/>
      <c r="CD370" s="72"/>
      <c r="CE370" s="72"/>
      <c r="CF370" s="72"/>
      <c r="CG370" s="72"/>
      <c r="CH370" s="72"/>
      <c r="CI370" s="72"/>
      <c r="CJ370" s="72"/>
      <c r="CK370" s="72"/>
      <c r="CL370" s="72"/>
      <c r="CM370" s="72"/>
      <c r="CN370" s="72"/>
      <c r="CO370" s="72"/>
      <c r="CP370" s="72"/>
      <c r="CQ370" s="72"/>
      <c r="CR370" s="72"/>
      <c r="CS370" s="72"/>
      <c r="CT370" s="72"/>
      <c r="CU370" s="72"/>
      <c r="CV370" s="72"/>
      <c r="CW370" s="72"/>
      <c r="CX370" s="72"/>
      <c r="CY370" s="72"/>
      <c r="CZ370" s="72"/>
      <c r="DA370" s="72"/>
      <c r="DB370" s="72"/>
      <c r="DC370" s="72"/>
      <c r="DD370" s="72"/>
      <c r="DE370" s="72"/>
      <c r="DF370" s="72"/>
      <c r="DG370" s="72"/>
      <c r="DH370" s="72"/>
      <c r="DI370" s="72"/>
      <c r="DJ370" s="72"/>
      <c r="DK370" s="72"/>
      <c r="DL370" s="72"/>
      <c r="DM370" s="72"/>
      <c r="DN370" s="72"/>
      <c r="DO370" s="72"/>
      <c r="DP370" s="72"/>
      <c r="DQ370" s="72"/>
      <c r="DR370" s="72"/>
      <c r="DS370" s="72"/>
      <c r="DT370" s="72"/>
      <c r="DU370" s="72"/>
      <c r="DV370" s="72"/>
      <c r="DW370" s="72"/>
      <c r="DX370" s="72"/>
      <c r="DY370" s="72"/>
      <c r="DZ370" s="72"/>
      <c r="EA370" s="72"/>
      <c r="EB370" s="72"/>
      <c r="EC370" s="72"/>
      <c r="ED370" s="72"/>
      <c r="EE370" s="72"/>
      <c r="EF370" s="72"/>
      <c r="EG370" s="72"/>
      <c r="EH370" s="72"/>
      <c r="EI370" s="72"/>
      <c r="EJ370" s="72"/>
      <c r="EK370" s="72"/>
      <c r="EL370" s="72"/>
      <c r="EM370" s="72"/>
      <c r="EN370" s="72"/>
      <c r="EO370" s="72"/>
      <c r="EP370" s="72"/>
      <c r="EQ370" s="72"/>
      <c r="ER370" s="72"/>
      <c r="ES370" s="72"/>
      <c r="ET370" s="72"/>
      <c r="EU370" s="72"/>
      <c r="EV370" s="72"/>
      <c r="EW370" s="72"/>
      <c r="EX370" s="72"/>
      <c r="EY370" s="72"/>
      <c r="EZ370" s="72"/>
      <c r="FA370" s="72"/>
      <c r="FB370" s="72"/>
      <c r="FC370" s="72"/>
      <c r="FD370" s="72"/>
      <c r="FE370" s="72"/>
      <c r="FF370" s="72"/>
      <c r="FG370" s="72"/>
      <c r="FH370" s="72"/>
      <c r="FI370" s="72"/>
      <c r="FJ370" s="72"/>
      <c r="FK370" s="72"/>
      <c r="FL370" s="72"/>
      <c r="FM370" s="72"/>
      <c r="FN370" s="72"/>
      <c r="FO370" s="72"/>
      <c r="FP370" s="72"/>
      <c r="FQ370" s="72"/>
      <c r="FR370" s="72"/>
      <c r="FS370" s="72"/>
      <c r="FT370" s="72"/>
      <c r="FU370" s="72"/>
      <c r="FV370" s="72"/>
      <c r="FW370" s="72"/>
      <c r="FX370" s="72"/>
      <c r="FY370" s="72"/>
      <c r="FZ370" s="72"/>
      <c r="GA370" s="72"/>
      <c r="GB370" s="72"/>
      <c r="GC370" s="72"/>
      <c r="GD370" s="72"/>
      <c r="GE370" s="72"/>
      <c r="GF370" s="72"/>
      <c r="GG370" s="72"/>
      <c r="GH370" s="72"/>
      <c r="GI370" s="72"/>
      <c r="GJ370" s="72"/>
      <c r="GK370" s="72"/>
      <c r="GL370" s="72"/>
      <c r="GM370" s="72"/>
      <c r="GN370" s="72"/>
      <c r="GO370" s="72"/>
      <c r="GP370" s="72"/>
      <c r="GQ370" s="72"/>
      <c r="GR370" s="72"/>
      <c r="GS370" s="72"/>
      <c r="GT370" s="72"/>
      <c r="GU370" s="72"/>
      <c r="GV370" s="72"/>
      <c r="GW370" s="72"/>
      <c r="GX370" s="72"/>
      <c r="GY370" s="72"/>
      <c r="GZ370" s="72"/>
      <c r="HA370" s="72"/>
      <c r="HB370" s="72"/>
      <c r="HC370" s="72"/>
      <c r="HD370" s="72"/>
      <c r="HE370" s="72"/>
      <c r="HF370" s="72"/>
      <c r="HG370" s="72"/>
      <c r="HH370" s="72"/>
      <c r="HI370" s="72"/>
      <c r="HJ370" s="72"/>
      <c r="HK370" s="72"/>
      <c r="HL370" s="72"/>
      <c r="HM370" s="72"/>
      <c r="HN370" s="72"/>
      <c r="HO370" s="72"/>
      <c r="HP370" s="72"/>
      <c r="HQ370" s="72"/>
      <c r="HR370" s="72"/>
      <c r="HS370" s="72"/>
      <c r="HT370" s="72"/>
      <c r="HU370" s="72"/>
      <c r="HV370" s="72"/>
      <c r="HW370" s="72"/>
      <c r="HX370" s="72"/>
      <c r="HY370" s="72"/>
      <c r="HZ370" s="72"/>
      <c r="IA370" s="72"/>
      <c r="IB370" s="72"/>
      <c r="IC370" s="72"/>
      <c r="ID370" s="72"/>
      <c r="IE370" s="72"/>
      <c r="IF370" s="72"/>
      <c r="IG370" s="72"/>
      <c r="IH370" s="72"/>
      <c r="II370" s="72"/>
      <c r="IJ370" s="72"/>
      <c r="IK370" s="72"/>
      <c r="IL370" s="72"/>
      <c r="IM370" s="72"/>
      <c r="IN370" s="72"/>
      <c r="IO370" s="72"/>
      <c r="IP370" s="72"/>
      <c r="IQ370" s="72"/>
      <c r="IR370" s="72"/>
      <c r="IS370" s="72"/>
      <c r="IT370" s="72"/>
      <c r="IU370" s="72"/>
      <c r="IV370" s="72"/>
    </row>
    <row r="371" spans="1:256" ht="15">
      <c r="A371" s="72" t="s">
        <v>426</v>
      </c>
      <c r="B371" s="58">
        <f t="shared" si="113"/>
        <v>1316257</v>
      </c>
      <c r="C371" s="28">
        <f t="shared" si="107"/>
        <v>0.002916666666666667</v>
      </c>
      <c r="D371" s="47">
        <f t="shared" si="112"/>
        <v>3839</v>
      </c>
      <c r="E371">
        <f t="shared" si="114"/>
        <v>155296</v>
      </c>
      <c r="F371" s="72"/>
      <c r="G371" s="72"/>
      <c r="H371" s="72"/>
      <c r="I371" s="72"/>
      <c r="J371" s="72"/>
      <c r="K371" s="72"/>
      <c r="L371" s="72"/>
      <c r="M371" s="72"/>
      <c r="N371" s="72"/>
      <c r="O371" s="72"/>
      <c r="P371" s="72"/>
      <c r="Q371" s="72"/>
      <c r="R371" s="72"/>
      <c r="S371" s="72"/>
      <c r="T371" s="72"/>
      <c r="U371" s="72"/>
      <c r="V371" s="72"/>
      <c r="W371" s="72"/>
      <c r="X371" s="72"/>
      <c r="Y371" s="72"/>
      <c r="Z371" s="72"/>
      <c r="AA371" s="72"/>
      <c r="AB371" s="72"/>
      <c r="AC371" s="72"/>
      <c r="AD371" s="72"/>
      <c r="AE371" s="72"/>
      <c r="AF371" s="72"/>
      <c r="AG371" s="72"/>
      <c r="AH371" s="72"/>
      <c r="AI371" s="72"/>
      <c r="AJ371" s="72"/>
      <c r="AK371" s="72"/>
      <c r="AL371" s="72"/>
      <c r="AM371" s="72"/>
      <c r="AN371" s="72"/>
      <c r="AO371" s="72"/>
      <c r="AP371" s="72"/>
      <c r="AQ371" s="72"/>
      <c r="AR371" s="72"/>
      <c r="AS371" s="72"/>
      <c r="AT371" s="72"/>
      <c r="AU371" s="72"/>
      <c r="AV371" s="72"/>
      <c r="AW371" s="72"/>
      <c r="AX371" s="72"/>
      <c r="AY371" s="72"/>
      <c r="AZ371" s="72"/>
      <c r="BA371" s="72"/>
      <c r="BB371" s="72"/>
      <c r="BC371" s="72"/>
      <c r="BD371" s="72"/>
      <c r="BE371" s="72"/>
      <c r="BF371" s="72"/>
      <c r="BG371" s="72"/>
      <c r="BH371" s="72"/>
      <c r="BI371" s="72"/>
      <c r="BJ371" s="72"/>
      <c r="BK371" s="72"/>
      <c r="BL371" s="72"/>
      <c r="BM371" s="72"/>
      <c r="BN371" s="72"/>
      <c r="BO371" s="72"/>
      <c r="BP371" s="72"/>
      <c r="BQ371" s="72"/>
      <c r="BR371" s="72"/>
      <c r="BS371" s="72"/>
      <c r="BT371" s="72"/>
      <c r="BU371" s="72"/>
      <c r="BV371" s="72"/>
      <c r="BW371" s="72"/>
      <c r="BX371" s="72"/>
      <c r="BY371" s="72"/>
      <c r="BZ371" s="72"/>
      <c r="CA371" s="72"/>
      <c r="CB371" s="72"/>
      <c r="CC371" s="72"/>
      <c r="CD371" s="72"/>
      <c r="CE371" s="72"/>
      <c r="CF371" s="72"/>
      <c r="CG371" s="72"/>
      <c r="CH371" s="72"/>
      <c r="CI371" s="72"/>
      <c r="CJ371" s="72"/>
      <c r="CK371" s="72"/>
      <c r="CL371" s="72"/>
      <c r="CM371" s="72"/>
      <c r="CN371" s="72"/>
      <c r="CO371" s="72"/>
      <c r="CP371" s="72"/>
      <c r="CQ371" s="72"/>
      <c r="CR371" s="72"/>
      <c r="CS371" s="72"/>
      <c r="CT371" s="72"/>
      <c r="CU371" s="72"/>
      <c r="CV371" s="72"/>
      <c r="CW371" s="72"/>
      <c r="CX371" s="72"/>
      <c r="CY371" s="72"/>
      <c r="CZ371" s="72"/>
      <c r="DA371" s="72"/>
      <c r="DB371" s="72"/>
      <c r="DC371" s="72"/>
      <c r="DD371" s="72"/>
      <c r="DE371" s="72"/>
      <c r="DF371" s="72"/>
      <c r="DG371" s="72"/>
      <c r="DH371" s="72"/>
      <c r="DI371" s="72"/>
      <c r="DJ371" s="72"/>
      <c r="DK371" s="72"/>
      <c r="DL371" s="72"/>
      <c r="DM371" s="72"/>
      <c r="DN371" s="72"/>
      <c r="DO371" s="72"/>
      <c r="DP371" s="72"/>
      <c r="DQ371" s="72"/>
      <c r="DR371" s="72"/>
      <c r="DS371" s="72"/>
      <c r="DT371" s="72"/>
      <c r="DU371" s="72"/>
      <c r="DV371" s="72"/>
      <c r="DW371" s="72"/>
      <c r="DX371" s="72"/>
      <c r="DY371" s="72"/>
      <c r="DZ371" s="72"/>
      <c r="EA371" s="72"/>
      <c r="EB371" s="72"/>
      <c r="EC371" s="72"/>
      <c r="ED371" s="72"/>
      <c r="EE371" s="72"/>
      <c r="EF371" s="72"/>
      <c r="EG371" s="72"/>
      <c r="EH371" s="72"/>
      <c r="EI371" s="72"/>
      <c r="EJ371" s="72"/>
      <c r="EK371" s="72"/>
      <c r="EL371" s="72"/>
      <c r="EM371" s="72"/>
      <c r="EN371" s="72"/>
      <c r="EO371" s="72"/>
      <c r="EP371" s="72"/>
      <c r="EQ371" s="72"/>
      <c r="ER371" s="72"/>
      <c r="ES371" s="72"/>
      <c r="ET371" s="72"/>
      <c r="EU371" s="72"/>
      <c r="EV371" s="72"/>
      <c r="EW371" s="72"/>
      <c r="EX371" s="72"/>
      <c r="EY371" s="72"/>
      <c r="EZ371" s="72"/>
      <c r="FA371" s="72"/>
      <c r="FB371" s="72"/>
      <c r="FC371" s="72"/>
      <c r="FD371" s="72"/>
      <c r="FE371" s="72"/>
      <c r="FF371" s="72"/>
      <c r="FG371" s="72"/>
      <c r="FH371" s="72"/>
      <c r="FI371" s="72"/>
      <c r="FJ371" s="72"/>
      <c r="FK371" s="72"/>
      <c r="FL371" s="72"/>
      <c r="FM371" s="72"/>
      <c r="FN371" s="72"/>
      <c r="FO371" s="72"/>
      <c r="FP371" s="72"/>
      <c r="FQ371" s="72"/>
      <c r="FR371" s="72"/>
      <c r="FS371" s="72"/>
      <c r="FT371" s="72"/>
      <c r="FU371" s="72"/>
      <c r="FV371" s="72"/>
      <c r="FW371" s="72"/>
      <c r="FX371" s="72"/>
      <c r="FY371" s="72"/>
      <c r="FZ371" s="72"/>
      <c r="GA371" s="72"/>
      <c r="GB371" s="72"/>
      <c r="GC371" s="72"/>
      <c r="GD371" s="72"/>
      <c r="GE371" s="72"/>
      <c r="GF371" s="72"/>
      <c r="GG371" s="72"/>
      <c r="GH371" s="72"/>
      <c r="GI371" s="72"/>
      <c r="GJ371" s="72"/>
      <c r="GK371" s="72"/>
      <c r="GL371" s="72"/>
      <c r="GM371" s="72"/>
      <c r="GN371" s="72"/>
      <c r="GO371" s="72"/>
      <c r="GP371" s="72"/>
      <c r="GQ371" s="72"/>
      <c r="GR371" s="72"/>
      <c r="GS371" s="72"/>
      <c r="GT371" s="72"/>
      <c r="GU371" s="72"/>
      <c r="GV371" s="72"/>
      <c r="GW371" s="72"/>
      <c r="GX371" s="72"/>
      <c r="GY371" s="72"/>
      <c r="GZ371" s="72"/>
      <c r="HA371" s="72"/>
      <c r="HB371" s="72"/>
      <c r="HC371" s="72"/>
      <c r="HD371" s="72"/>
      <c r="HE371" s="72"/>
      <c r="HF371" s="72"/>
      <c r="HG371" s="72"/>
      <c r="HH371" s="72"/>
      <c r="HI371" s="72"/>
      <c r="HJ371" s="72"/>
      <c r="HK371" s="72"/>
      <c r="HL371" s="72"/>
      <c r="HM371" s="72"/>
      <c r="HN371" s="72"/>
      <c r="HO371" s="72"/>
      <c r="HP371" s="72"/>
      <c r="HQ371" s="72"/>
      <c r="HR371" s="72"/>
      <c r="HS371" s="72"/>
      <c r="HT371" s="72"/>
      <c r="HU371" s="72"/>
      <c r="HV371" s="72"/>
      <c r="HW371" s="72"/>
      <c r="HX371" s="72"/>
      <c r="HY371" s="72"/>
      <c r="HZ371" s="72"/>
      <c r="IA371" s="72"/>
      <c r="IB371" s="72"/>
      <c r="IC371" s="72"/>
      <c r="ID371" s="72"/>
      <c r="IE371" s="72"/>
      <c r="IF371" s="72"/>
      <c r="IG371" s="72"/>
      <c r="IH371" s="72"/>
      <c r="II371" s="72"/>
      <c r="IJ371" s="72"/>
      <c r="IK371" s="72"/>
      <c r="IL371" s="72"/>
      <c r="IM371" s="72"/>
      <c r="IN371" s="72"/>
      <c r="IO371" s="72"/>
      <c r="IP371" s="72"/>
      <c r="IQ371" s="72"/>
      <c r="IR371" s="72"/>
      <c r="IS371" s="72"/>
      <c r="IT371" s="72"/>
      <c r="IU371" s="72"/>
      <c r="IV371" s="72"/>
    </row>
    <row r="372" spans="1:256" ht="15">
      <c r="A372" s="72" t="s">
        <v>410</v>
      </c>
      <c r="B372" s="58">
        <f t="shared" si="113"/>
        <v>1316257</v>
      </c>
      <c r="C372" s="28">
        <f t="shared" si="107"/>
        <v>0.002916666666666667</v>
      </c>
      <c r="D372" s="47">
        <f t="shared" si="112"/>
        <v>3839</v>
      </c>
      <c r="E372">
        <f t="shared" si="114"/>
        <v>159135</v>
      </c>
      <c r="F372" s="72"/>
      <c r="G372" s="72"/>
      <c r="H372" s="72"/>
      <c r="I372" s="72"/>
      <c r="J372" s="72"/>
      <c r="K372" s="72"/>
      <c r="L372" s="72"/>
      <c r="M372" s="72"/>
      <c r="N372" s="72"/>
      <c r="O372" s="72"/>
      <c r="P372" s="72"/>
      <c r="Q372" s="72"/>
      <c r="R372" s="72"/>
      <c r="S372" s="72"/>
      <c r="T372" s="72"/>
      <c r="U372" s="72"/>
      <c r="V372" s="72"/>
      <c r="W372" s="72"/>
      <c r="X372" s="72"/>
      <c r="Y372" s="72"/>
      <c r="Z372" s="72"/>
      <c r="AA372" s="72"/>
      <c r="AB372" s="72"/>
      <c r="AC372" s="72"/>
      <c r="AD372" s="72"/>
      <c r="AE372" s="72"/>
      <c r="AF372" s="72"/>
      <c r="AG372" s="72"/>
      <c r="AH372" s="72"/>
      <c r="AI372" s="72"/>
      <c r="AJ372" s="72"/>
      <c r="AK372" s="72"/>
      <c r="AL372" s="72"/>
      <c r="AM372" s="72"/>
      <c r="AN372" s="72"/>
      <c r="AO372" s="72"/>
      <c r="AP372" s="72"/>
      <c r="AQ372" s="72"/>
      <c r="AR372" s="72"/>
      <c r="AS372" s="72"/>
      <c r="AT372" s="72"/>
      <c r="AU372" s="72"/>
      <c r="AV372" s="72"/>
      <c r="AW372" s="72"/>
      <c r="AX372" s="72"/>
      <c r="AY372" s="72"/>
      <c r="AZ372" s="72"/>
      <c r="BA372" s="72"/>
      <c r="BB372" s="72"/>
      <c r="BC372" s="72"/>
      <c r="BD372" s="72"/>
      <c r="BE372" s="72"/>
      <c r="BF372" s="72"/>
      <c r="BG372" s="72"/>
      <c r="BH372" s="72"/>
      <c r="BI372" s="72"/>
      <c r="BJ372" s="72"/>
      <c r="BK372" s="72"/>
      <c r="BL372" s="72"/>
      <c r="BM372" s="72"/>
      <c r="BN372" s="72"/>
      <c r="BO372" s="72"/>
      <c r="BP372" s="72"/>
      <c r="BQ372" s="72"/>
      <c r="BR372" s="72"/>
      <c r="BS372" s="72"/>
      <c r="BT372" s="72"/>
      <c r="BU372" s="72"/>
      <c r="BV372" s="72"/>
      <c r="BW372" s="72"/>
      <c r="BX372" s="72"/>
      <c r="BY372" s="72"/>
      <c r="BZ372" s="72"/>
      <c r="CA372" s="72"/>
      <c r="CB372" s="72"/>
      <c r="CC372" s="72"/>
      <c r="CD372" s="72"/>
      <c r="CE372" s="72"/>
      <c r="CF372" s="72"/>
      <c r="CG372" s="72"/>
      <c r="CH372" s="72"/>
      <c r="CI372" s="72"/>
      <c r="CJ372" s="72"/>
      <c r="CK372" s="72"/>
      <c r="CL372" s="72"/>
      <c r="CM372" s="72"/>
      <c r="CN372" s="72"/>
      <c r="CO372" s="72"/>
      <c r="CP372" s="72"/>
      <c r="CQ372" s="72"/>
      <c r="CR372" s="72"/>
      <c r="CS372" s="72"/>
      <c r="CT372" s="72"/>
      <c r="CU372" s="72"/>
      <c r="CV372" s="72"/>
      <c r="CW372" s="72"/>
      <c r="CX372" s="72"/>
      <c r="CY372" s="72"/>
      <c r="CZ372" s="72"/>
      <c r="DA372" s="72"/>
      <c r="DB372" s="72"/>
      <c r="DC372" s="72"/>
      <c r="DD372" s="72"/>
      <c r="DE372" s="72"/>
      <c r="DF372" s="72"/>
      <c r="DG372" s="72"/>
      <c r="DH372" s="72"/>
      <c r="DI372" s="72"/>
      <c r="DJ372" s="72"/>
      <c r="DK372" s="72"/>
      <c r="DL372" s="72"/>
      <c r="DM372" s="72"/>
      <c r="DN372" s="72"/>
      <c r="DO372" s="72"/>
      <c r="DP372" s="72"/>
      <c r="DQ372" s="72"/>
      <c r="DR372" s="72"/>
      <c r="DS372" s="72"/>
      <c r="DT372" s="72"/>
      <c r="DU372" s="72"/>
      <c r="DV372" s="72"/>
      <c r="DW372" s="72"/>
      <c r="DX372" s="72"/>
      <c r="DY372" s="72"/>
      <c r="DZ372" s="72"/>
      <c r="EA372" s="72"/>
      <c r="EB372" s="72"/>
      <c r="EC372" s="72"/>
      <c r="ED372" s="72"/>
      <c r="EE372" s="72"/>
      <c r="EF372" s="72"/>
      <c r="EG372" s="72"/>
      <c r="EH372" s="72"/>
      <c r="EI372" s="72"/>
      <c r="EJ372" s="72"/>
      <c r="EK372" s="72"/>
      <c r="EL372" s="72"/>
      <c r="EM372" s="72"/>
      <c r="EN372" s="72"/>
      <c r="EO372" s="72"/>
      <c r="EP372" s="72"/>
      <c r="EQ372" s="72"/>
      <c r="ER372" s="72"/>
      <c r="ES372" s="72"/>
      <c r="ET372" s="72"/>
      <c r="EU372" s="72"/>
      <c r="EV372" s="72"/>
      <c r="EW372" s="72"/>
      <c r="EX372" s="72"/>
      <c r="EY372" s="72"/>
      <c r="EZ372" s="72"/>
      <c r="FA372" s="72"/>
      <c r="FB372" s="72"/>
      <c r="FC372" s="72"/>
      <c r="FD372" s="72"/>
      <c r="FE372" s="72"/>
      <c r="FF372" s="72"/>
      <c r="FG372" s="72"/>
      <c r="FH372" s="72"/>
      <c r="FI372" s="72"/>
      <c r="FJ372" s="72"/>
      <c r="FK372" s="72"/>
      <c r="FL372" s="72"/>
      <c r="FM372" s="72"/>
      <c r="FN372" s="72"/>
      <c r="FO372" s="72"/>
      <c r="FP372" s="72"/>
      <c r="FQ372" s="72"/>
      <c r="FR372" s="72"/>
      <c r="FS372" s="72"/>
      <c r="FT372" s="72"/>
      <c r="FU372" s="72"/>
      <c r="FV372" s="72"/>
      <c r="FW372" s="72"/>
      <c r="FX372" s="72"/>
      <c r="FY372" s="72"/>
      <c r="FZ372" s="72"/>
      <c r="GA372" s="72"/>
      <c r="GB372" s="72"/>
      <c r="GC372" s="72"/>
      <c r="GD372" s="72"/>
      <c r="GE372" s="72"/>
      <c r="GF372" s="72"/>
      <c r="GG372" s="72"/>
      <c r="GH372" s="72"/>
      <c r="GI372" s="72"/>
      <c r="GJ372" s="72"/>
      <c r="GK372" s="72"/>
      <c r="GL372" s="72"/>
      <c r="GM372" s="72"/>
      <c r="GN372" s="72"/>
      <c r="GO372" s="72"/>
      <c r="GP372" s="72"/>
      <c r="GQ372" s="72"/>
      <c r="GR372" s="72"/>
      <c r="GS372" s="72"/>
      <c r="GT372" s="72"/>
      <c r="GU372" s="72"/>
      <c r="GV372" s="72"/>
      <c r="GW372" s="72"/>
      <c r="GX372" s="72"/>
      <c r="GY372" s="72"/>
      <c r="GZ372" s="72"/>
      <c r="HA372" s="72"/>
      <c r="HB372" s="72"/>
      <c r="HC372" s="72"/>
      <c r="HD372" s="72"/>
      <c r="HE372" s="72"/>
      <c r="HF372" s="72"/>
      <c r="HG372" s="72"/>
      <c r="HH372" s="72"/>
      <c r="HI372" s="72"/>
      <c r="HJ372" s="72"/>
      <c r="HK372" s="72"/>
      <c r="HL372" s="72"/>
      <c r="HM372" s="72"/>
      <c r="HN372" s="72"/>
      <c r="HO372" s="72"/>
      <c r="HP372" s="72"/>
      <c r="HQ372" s="72"/>
      <c r="HR372" s="72"/>
      <c r="HS372" s="72"/>
      <c r="HT372" s="72"/>
      <c r="HU372" s="72"/>
      <c r="HV372" s="72"/>
      <c r="HW372" s="72"/>
      <c r="HX372" s="72"/>
      <c r="HY372" s="72"/>
      <c r="HZ372" s="72"/>
      <c r="IA372" s="72"/>
      <c r="IB372" s="72"/>
      <c r="IC372" s="72"/>
      <c r="ID372" s="72"/>
      <c r="IE372" s="72"/>
      <c r="IF372" s="72"/>
      <c r="IG372" s="72"/>
      <c r="IH372" s="72"/>
      <c r="II372" s="72"/>
      <c r="IJ372" s="72"/>
      <c r="IK372" s="72"/>
      <c r="IL372" s="72"/>
      <c r="IM372" s="72"/>
      <c r="IN372" s="72"/>
      <c r="IO372" s="72"/>
      <c r="IP372" s="72"/>
      <c r="IQ372" s="72"/>
      <c r="IR372" s="72"/>
      <c r="IS372" s="72"/>
      <c r="IT372" s="72"/>
      <c r="IU372" s="72"/>
      <c r="IV372" s="72"/>
    </row>
    <row r="373" spans="1:256" ht="15">
      <c r="A373" s="72" t="s">
        <v>427</v>
      </c>
      <c r="B373" s="58">
        <f t="shared" si="113"/>
        <v>1316257</v>
      </c>
      <c r="C373" s="28">
        <f t="shared" si="107"/>
        <v>0.002916666666666667</v>
      </c>
      <c r="D373" s="47">
        <f t="shared" si="112"/>
        <v>3839</v>
      </c>
      <c r="E373">
        <f t="shared" si="114"/>
        <v>162974</v>
      </c>
      <c r="F373" s="72"/>
      <c r="G373" s="72"/>
      <c r="H373" s="72"/>
      <c r="I373" s="72"/>
      <c r="J373" s="72"/>
      <c r="K373" s="72"/>
      <c r="L373" s="72"/>
      <c r="M373" s="72"/>
      <c r="N373" s="72"/>
      <c r="O373" s="72"/>
      <c r="P373" s="72"/>
      <c r="Q373" s="72"/>
      <c r="R373" s="72"/>
      <c r="S373" s="72"/>
      <c r="T373" s="72"/>
      <c r="U373" s="72"/>
      <c r="V373" s="72"/>
      <c r="W373" s="72"/>
      <c r="X373" s="72"/>
      <c r="Y373" s="72"/>
      <c r="Z373" s="72"/>
      <c r="AA373" s="72"/>
      <c r="AB373" s="72"/>
      <c r="AC373" s="72"/>
      <c r="AD373" s="72"/>
      <c r="AE373" s="72"/>
      <c r="AF373" s="72"/>
      <c r="AG373" s="72"/>
      <c r="AH373" s="72"/>
      <c r="AI373" s="72"/>
      <c r="AJ373" s="72"/>
      <c r="AK373" s="72"/>
      <c r="AL373" s="72"/>
      <c r="AM373" s="72"/>
      <c r="AN373" s="72"/>
      <c r="AO373" s="72"/>
      <c r="AP373" s="72"/>
      <c r="AQ373" s="72"/>
      <c r="AR373" s="72"/>
      <c r="AS373" s="72"/>
      <c r="AT373" s="72"/>
      <c r="AU373" s="72"/>
      <c r="AV373" s="72"/>
      <c r="AW373" s="72"/>
      <c r="AX373" s="72"/>
      <c r="AY373" s="72"/>
      <c r="AZ373" s="72"/>
      <c r="BA373" s="72"/>
      <c r="BB373" s="72"/>
      <c r="BC373" s="72"/>
      <c r="BD373" s="72"/>
      <c r="BE373" s="72"/>
      <c r="BF373" s="72"/>
      <c r="BG373" s="72"/>
      <c r="BH373" s="72"/>
      <c r="BI373" s="72"/>
      <c r="BJ373" s="72"/>
      <c r="BK373" s="72"/>
      <c r="BL373" s="72"/>
      <c r="BM373" s="72"/>
      <c r="BN373" s="72"/>
      <c r="BO373" s="72"/>
      <c r="BP373" s="72"/>
      <c r="BQ373" s="72"/>
      <c r="BR373" s="72"/>
      <c r="BS373" s="72"/>
      <c r="BT373" s="72"/>
      <c r="BU373" s="72"/>
      <c r="BV373" s="72"/>
      <c r="BW373" s="72"/>
      <c r="BX373" s="72"/>
      <c r="BY373" s="72"/>
      <c r="BZ373" s="72"/>
      <c r="CA373" s="72"/>
      <c r="CB373" s="72"/>
      <c r="CC373" s="72"/>
      <c r="CD373" s="72"/>
      <c r="CE373" s="72"/>
      <c r="CF373" s="72"/>
      <c r="CG373" s="72"/>
      <c r="CH373" s="72"/>
      <c r="CI373" s="72"/>
      <c r="CJ373" s="72"/>
      <c r="CK373" s="72"/>
      <c r="CL373" s="72"/>
      <c r="CM373" s="72"/>
      <c r="CN373" s="72"/>
      <c r="CO373" s="72"/>
      <c r="CP373" s="72"/>
      <c r="CQ373" s="72"/>
      <c r="CR373" s="72"/>
      <c r="CS373" s="72"/>
      <c r="CT373" s="72"/>
      <c r="CU373" s="72"/>
      <c r="CV373" s="72"/>
      <c r="CW373" s="72"/>
      <c r="CX373" s="72"/>
      <c r="CY373" s="72"/>
      <c r="CZ373" s="72"/>
      <c r="DA373" s="72"/>
      <c r="DB373" s="72"/>
      <c r="DC373" s="72"/>
      <c r="DD373" s="72"/>
      <c r="DE373" s="72"/>
      <c r="DF373" s="72"/>
      <c r="DG373" s="72"/>
      <c r="DH373" s="72"/>
      <c r="DI373" s="72"/>
      <c r="DJ373" s="72"/>
      <c r="DK373" s="72"/>
      <c r="DL373" s="72"/>
      <c r="DM373" s="72"/>
      <c r="DN373" s="72"/>
      <c r="DO373" s="72"/>
      <c r="DP373" s="72"/>
      <c r="DQ373" s="72"/>
      <c r="DR373" s="72"/>
      <c r="DS373" s="72"/>
      <c r="DT373" s="72"/>
      <c r="DU373" s="72"/>
      <c r="DV373" s="72"/>
      <c r="DW373" s="72"/>
      <c r="DX373" s="72"/>
      <c r="DY373" s="72"/>
      <c r="DZ373" s="72"/>
      <c r="EA373" s="72"/>
      <c r="EB373" s="72"/>
      <c r="EC373" s="72"/>
      <c r="ED373" s="72"/>
      <c r="EE373" s="72"/>
      <c r="EF373" s="72"/>
      <c r="EG373" s="72"/>
      <c r="EH373" s="72"/>
      <c r="EI373" s="72"/>
      <c r="EJ373" s="72"/>
      <c r="EK373" s="72"/>
      <c r="EL373" s="72"/>
      <c r="EM373" s="72"/>
      <c r="EN373" s="72"/>
      <c r="EO373" s="72"/>
      <c r="EP373" s="72"/>
      <c r="EQ373" s="72"/>
      <c r="ER373" s="72"/>
      <c r="ES373" s="72"/>
      <c r="ET373" s="72"/>
      <c r="EU373" s="72"/>
      <c r="EV373" s="72"/>
      <c r="EW373" s="72"/>
      <c r="EX373" s="72"/>
      <c r="EY373" s="72"/>
      <c r="EZ373" s="72"/>
      <c r="FA373" s="72"/>
      <c r="FB373" s="72"/>
      <c r="FC373" s="72"/>
      <c r="FD373" s="72"/>
      <c r="FE373" s="72"/>
      <c r="FF373" s="72"/>
      <c r="FG373" s="72"/>
      <c r="FH373" s="72"/>
      <c r="FI373" s="72"/>
      <c r="FJ373" s="72"/>
      <c r="FK373" s="72"/>
      <c r="FL373" s="72"/>
      <c r="FM373" s="72"/>
      <c r="FN373" s="72"/>
      <c r="FO373" s="72"/>
      <c r="FP373" s="72"/>
      <c r="FQ373" s="72"/>
      <c r="FR373" s="72"/>
      <c r="FS373" s="72"/>
      <c r="FT373" s="72"/>
      <c r="FU373" s="72"/>
      <c r="FV373" s="72"/>
      <c r="FW373" s="72"/>
      <c r="FX373" s="72"/>
      <c r="FY373" s="72"/>
      <c r="FZ373" s="72"/>
      <c r="GA373" s="72"/>
      <c r="GB373" s="72"/>
      <c r="GC373" s="72"/>
      <c r="GD373" s="72"/>
      <c r="GE373" s="72"/>
      <c r="GF373" s="72"/>
      <c r="GG373" s="72"/>
      <c r="GH373" s="72"/>
      <c r="GI373" s="72"/>
      <c r="GJ373" s="72"/>
      <c r="GK373" s="72"/>
      <c r="GL373" s="72"/>
      <c r="GM373" s="72"/>
      <c r="GN373" s="72"/>
      <c r="GO373" s="72"/>
      <c r="GP373" s="72"/>
      <c r="GQ373" s="72"/>
      <c r="GR373" s="72"/>
      <c r="GS373" s="72"/>
      <c r="GT373" s="72"/>
      <c r="GU373" s="72"/>
      <c r="GV373" s="72"/>
      <c r="GW373" s="72"/>
      <c r="GX373" s="72"/>
      <c r="GY373" s="72"/>
      <c r="GZ373" s="72"/>
      <c r="HA373" s="72"/>
      <c r="HB373" s="72"/>
      <c r="HC373" s="72"/>
      <c r="HD373" s="72"/>
      <c r="HE373" s="72"/>
      <c r="HF373" s="72"/>
      <c r="HG373" s="72"/>
      <c r="HH373" s="72"/>
      <c r="HI373" s="72"/>
      <c r="HJ373" s="72"/>
      <c r="HK373" s="72"/>
      <c r="HL373" s="72"/>
      <c r="HM373" s="72"/>
      <c r="HN373" s="72"/>
      <c r="HO373" s="72"/>
      <c r="HP373" s="72"/>
      <c r="HQ373" s="72"/>
      <c r="HR373" s="72"/>
      <c r="HS373" s="72"/>
      <c r="HT373" s="72"/>
      <c r="HU373" s="72"/>
      <c r="HV373" s="72"/>
      <c r="HW373" s="72"/>
      <c r="HX373" s="72"/>
      <c r="HY373" s="72"/>
      <c r="HZ373" s="72"/>
      <c r="IA373" s="72"/>
      <c r="IB373" s="72"/>
      <c r="IC373" s="72"/>
      <c r="ID373" s="72"/>
      <c r="IE373" s="72"/>
      <c r="IF373" s="72"/>
      <c r="IG373" s="72"/>
      <c r="IH373" s="72"/>
      <c r="II373" s="72"/>
      <c r="IJ373" s="72"/>
      <c r="IK373" s="72"/>
      <c r="IL373" s="72"/>
      <c r="IM373" s="72"/>
      <c r="IN373" s="72"/>
      <c r="IO373" s="72"/>
      <c r="IP373" s="72"/>
      <c r="IQ373" s="72"/>
      <c r="IR373" s="72"/>
      <c r="IS373" s="72"/>
      <c r="IT373" s="72"/>
      <c r="IU373" s="72"/>
      <c r="IV373" s="72"/>
    </row>
    <row r="374" spans="1:256" ht="15">
      <c r="A374" s="72" t="s">
        <v>428</v>
      </c>
      <c r="B374" s="58">
        <f t="shared" si="113"/>
        <v>1316257</v>
      </c>
      <c r="C374" s="28">
        <f t="shared" si="107"/>
        <v>0.002916666666666667</v>
      </c>
      <c r="D374" s="47">
        <f t="shared" si="112"/>
        <v>3839</v>
      </c>
      <c r="E374">
        <f t="shared" si="114"/>
        <v>166813</v>
      </c>
      <c r="F374" s="72"/>
      <c r="G374" s="72"/>
      <c r="H374" s="72"/>
      <c r="I374" s="72"/>
      <c r="J374" s="72"/>
      <c r="K374" s="72"/>
      <c r="L374" s="72"/>
      <c r="M374" s="72"/>
      <c r="N374" s="72"/>
      <c r="O374" s="72"/>
      <c r="P374" s="72"/>
      <c r="Q374" s="72"/>
      <c r="R374" s="72"/>
      <c r="S374" s="72"/>
      <c r="T374" s="72"/>
      <c r="U374" s="72"/>
      <c r="V374" s="72"/>
      <c r="W374" s="72"/>
      <c r="X374" s="72"/>
      <c r="Y374" s="72"/>
      <c r="Z374" s="72"/>
      <c r="AA374" s="72"/>
      <c r="AB374" s="72"/>
      <c r="AC374" s="72"/>
      <c r="AD374" s="72"/>
      <c r="AE374" s="72"/>
      <c r="AF374" s="72"/>
      <c r="AG374" s="72"/>
      <c r="AH374" s="72"/>
      <c r="AI374" s="72"/>
      <c r="AJ374" s="72"/>
      <c r="AK374" s="72"/>
      <c r="AL374" s="72"/>
      <c r="AM374" s="72"/>
      <c r="AN374" s="72"/>
      <c r="AO374" s="72"/>
      <c r="AP374" s="72"/>
      <c r="AQ374" s="72"/>
      <c r="AR374" s="72"/>
      <c r="AS374" s="72"/>
      <c r="AT374" s="72"/>
      <c r="AU374" s="72"/>
      <c r="AV374" s="72"/>
      <c r="AW374" s="72"/>
      <c r="AX374" s="72"/>
      <c r="AY374" s="72"/>
      <c r="AZ374" s="72"/>
      <c r="BA374" s="72"/>
      <c r="BB374" s="72"/>
      <c r="BC374" s="72"/>
      <c r="BD374" s="72"/>
      <c r="BE374" s="72"/>
      <c r="BF374" s="72"/>
      <c r="BG374" s="72"/>
      <c r="BH374" s="72"/>
      <c r="BI374" s="72"/>
      <c r="BJ374" s="72"/>
      <c r="BK374" s="72"/>
      <c r="BL374" s="72"/>
      <c r="BM374" s="72"/>
      <c r="BN374" s="72"/>
      <c r="BO374" s="72"/>
      <c r="BP374" s="72"/>
      <c r="BQ374" s="72"/>
      <c r="BR374" s="72"/>
      <c r="BS374" s="72"/>
      <c r="BT374" s="72"/>
      <c r="BU374" s="72"/>
      <c r="BV374" s="72"/>
      <c r="BW374" s="72"/>
      <c r="BX374" s="72"/>
      <c r="BY374" s="72"/>
      <c r="BZ374" s="72"/>
      <c r="CA374" s="72"/>
      <c r="CB374" s="72"/>
      <c r="CC374" s="72"/>
      <c r="CD374" s="72"/>
      <c r="CE374" s="72"/>
      <c r="CF374" s="72"/>
      <c r="CG374" s="72"/>
      <c r="CH374" s="72"/>
      <c r="CI374" s="72"/>
      <c r="CJ374" s="72"/>
      <c r="CK374" s="72"/>
      <c r="CL374" s="72"/>
      <c r="CM374" s="72"/>
      <c r="CN374" s="72"/>
      <c r="CO374" s="72"/>
      <c r="CP374" s="72"/>
      <c r="CQ374" s="72"/>
      <c r="CR374" s="72"/>
      <c r="CS374" s="72"/>
      <c r="CT374" s="72"/>
      <c r="CU374" s="72"/>
      <c r="CV374" s="72"/>
      <c r="CW374" s="72"/>
      <c r="CX374" s="72"/>
      <c r="CY374" s="72"/>
      <c r="CZ374" s="72"/>
      <c r="DA374" s="72"/>
      <c r="DB374" s="72"/>
      <c r="DC374" s="72"/>
      <c r="DD374" s="72"/>
      <c r="DE374" s="72"/>
      <c r="DF374" s="72"/>
      <c r="DG374" s="72"/>
      <c r="DH374" s="72"/>
      <c r="DI374" s="72"/>
      <c r="DJ374" s="72"/>
      <c r="DK374" s="72"/>
      <c r="DL374" s="72"/>
      <c r="DM374" s="72"/>
      <c r="DN374" s="72"/>
      <c r="DO374" s="72"/>
      <c r="DP374" s="72"/>
      <c r="DQ374" s="72"/>
      <c r="DR374" s="72"/>
      <c r="DS374" s="72"/>
      <c r="DT374" s="72"/>
      <c r="DU374" s="72"/>
      <c r="DV374" s="72"/>
      <c r="DW374" s="72"/>
      <c r="DX374" s="72"/>
      <c r="DY374" s="72"/>
      <c r="DZ374" s="72"/>
      <c r="EA374" s="72"/>
      <c r="EB374" s="72"/>
      <c r="EC374" s="72"/>
      <c r="ED374" s="72"/>
      <c r="EE374" s="72"/>
      <c r="EF374" s="72"/>
      <c r="EG374" s="72"/>
      <c r="EH374" s="72"/>
      <c r="EI374" s="72"/>
      <c r="EJ374" s="72"/>
      <c r="EK374" s="72"/>
      <c r="EL374" s="72"/>
      <c r="EM374" s="72"/>
      <c r="EN374" s="72"/>
      <c r="EO374" s="72"/>
      <c r="EP374" s="72"/>
      <c r="EQ374" s="72"/>
      <c r="ER374" s="72"/>
      <c r="ES374" s="72"/>
      <c r="ET374" s="72"/>
      <c r="EU374" s="72"/>
      <c r="EV374" s="72"/>
      <c r="EW374" s="72"/>
      <c r="EX374" s="72"/>
      <c r="EY374" s="72"/>
      <c r="EZ374" s="72"/>
      <c r="FA374" s="72"/>
      <c r="FB374" s="72"/>
      <c r="FC374" s="72"/>
      <c r="FD374" s="72"/>
      <c r="FE374" s="72"/>
      <c r="FF374" s="72"/>
      <c r="FG374" s="72"/>
      <c r="FH374" s="72"/>
      <c r="FI374" s="72"/>
      <c r="FJ374" s="72"/>
      <c r="FK374" s="72"/>
      <c r="FL374" s="72"/>
      <c r="FM374" s="72"/>
      <c r="FN374" s="72"/>
      <c r="FO374" s="72"/>
      <c r="FP374" s="72"/>
      <c r="FQ374" s="72"/>
      <c r="FR374" s="72"/>
      <c r="FS374" s="72"/>
      <c r="FT374" s="72"/>
      <c r="FU374" s="72"/>
      <c r="FV374" s="72"/>
      <c r="FW374" s="72"/>
      <c r="FX374" s="72"/>
      <c r="FY374" s="72"/>
      <c r="FZ374" s="72"/>
      <c r="GA374" s="72"/>
      <c r="GB374" s="72"/>
      <c r="GC374" s="72"/>
      <c r="GD374" s="72"/>
      <c r="GE374" s="72"/>
      <c r="GF374" s="72"/>
      <c r="GG374" s="72"/>
      <c r="GH374" s="72"/>
      <c r="GI374" s="72"/>
      <c r="GJ374" s="72"/>
      <c r="GK374" s="72"/>
      <c r="GL374" s="72"/>
      <c r="GM374" s="72"/>
      <c r="GN374" s="72"/>
      <c r="GO374" s="72"/>
      <c r="GP374" s="72"/>
      <c r="GQ374" s="72"/>
      <c r="GR374" s="72"/>
      <c r="GS374" s="72"/>
      <c r="GT374" s="72"/>
      <c r="GU374" s="72"/>
      <c r="GV374" s="72"/>
      <c r="GW374" s="72"/>
      <c r="GX374" s="72"/>
      <c r="GY374" s="72"/>
      <c r="GZ374" s="72"/>
      <c r="HA374" s="72"/>
      <c r="HB374" s="72"/>
      <c r="HC374" s="72"/>
      <c r="HD374" s="72"/>
      <c r="HE374" s="72"/>
      <c r="HF374" s="72"/>
      <c r="HG374" s="72"/>
      <c r="HH374" s="72"/>
      <c r="HI374" s="72"/>
      <c r="HJ374" s="72"/>
      <c r="HK374" s="72"/>
      <c r="HL374" s="72"/>
      <c r="HM374" s="72"/>
      <c r="HN374" s="72"/>
      <c r="HO374" s="72"/>
      <c r="HP374" s="72"/>
      <c r="HQ374" s="72"/>
      <c r="HR374" s="72"/>
      <c r="HS374" s="72"/>
      <c r="HT374" s="72"/>
      <c r="HU374" s="72"/>
      <c r="HV374" s="72"/>
      <c r="HW374" s="72"/>
      <c r="HX374" s="72"/>
      <c r="HY374" s="72"/>
      <c r="HZ374" s="72"/>
      <c r="IA374" s="72"/>
      <c r="IB374" s="72"/>
      <c r="IC374" s="72"/>
      <c r="ID374" s="72"/>
      <c r="IE374" s="72"/>
      <c r="IF374" s="72"/>
      <c r="IG374" s="72"/>
      <c r="IH374" s="72"/>
      <c r="II374" s="72"/>
      <c r="IJ374" s="72"/>
      <c r="IK374" s="72"/>
      <c r="IL374" s="72"/>
      <c r="IM374" s="72"/>
      <c r="IN374" s="72"/>
      <c r="IO374" s="72"/>
      <c r="IP374" s="72"/>
      <c r="IQ374" s="72"/>
      <c r="IR374" s="72"/>
      <c r="IS374" s="72"/>
      <c r="IT374" s="72"/>
      <c r="IU374" s="72"/>
      <c r="IV374" s="72"/>
    </row>
    <row r="375" spans="1:256" ht="15">
      <c r="A375" s="72" t="s">
        <v>429</v>
      </c>
      <c r="B375" s="58">
        <f t="shared" si="113"/>
        <v>1316257</v>
      </c>
      <c r="C375" s="28">
        <f t="shared" si="107"/>
        <v>0.002916666666666667</v>
      </c>
      <c r="D375" s="47">
        <f t="shared" si="112"/>
        <v>3839</v>
      </c>
      <c r="E375">
        <f t="shared" si="114"/>
        <v>170652</v>
      </c>
      <c r="F375" s="72"/>
      <c r="G375" s="72"/>
      <c r="H375" s="72"/>
      <c r="I375" s="72"/>
      <c r="J375" s="72"/>
      <c r="K375" s="72"/>
      <c r="L375" s="72"/>
      <c r="M375" s="72"/>
      <c r="N375" s="72"/>
      <c r="O375" s="72"/>
      <c r="P375" s="72"/>
      <c r="Q375" s="72"/>
      <c r="R375" s="72"/>
      <c r="S375" s="72"/>
      <c r="T375" s="72"/>
      <c r="U375" s="72"/>
      <c r="V375" s="72"/>
      <c r="W375" s="72"/>
      <c r="X375" s="72"/>
      <c r="Y375" s="72"/>
      <c r="Z375" s="72"/>
      <c r="AA375" s="72"/>
      <c r="AB375" s="72"/>
      <c r="AC375" s="72"/>
      <c r="AD375" s="72"/>
      <c r="AE375" s="72"/>
      <c r="AF375" s="72"/>
      <c r="AG375" s="72"/>
      <c r="AH375" s="72"/>
      <c r="AI375" s="72"/>
      <c r="AJ375" s="72"/>
      <c r="AK375" s="72"/>
      <c r="AL375" s="72"/>
      <c r="AM375" s="72"/>
      <c r="AN375" s="72"/>
      <c r="AO375" s="72"/>
      <c r="AP375" s="72"/>
      <c r="AQ375" s="72"/>
      <c r="AR375" s="72"/>
      <c r="AS375" s="72"/>
      <c r="AT375" s="72"/>
      <c r="AU375" s="72"/>
      <c r="AV375" s="72"/>
      <c r="AW375" s="72"/>
      <c r="AX375" s="72"/>
      <c r="AY375" s="72"/>
      <c r="AZ375" s="72"/>
      <c r="BA375" s="72"/>
      <c r="BB375" s="72"/>
      <c r="BC375" s="72"/>
      <c r="BD375" s="72"/>
      <c r="BE375" s="72"/>
      <c r="BF375" s="72"/>
      <c r="BG375" s="72"/>
      <c r="BH375" s="72"/>
      <c r="BI375" s="72"/>
      <c r="BJ375" s="72"/>
      <c r="BK375" s="72"/>
      <c r="BL375" s="72"/>
      <c r="BM375" s="72"/>
      <c r="BN375" s="72"/>
      <c r="BO375" s="72"/>
      <c r="BP375" s="72"/>
      <c r="BQ375" s="72"/>
      <c r="BR375" s="72"/>
      <c r="BS375" s="72"/>
      <c r="BT375" s="72"/>
      <c r="BU375" s="72"/>
      <c r="BV375" s="72"/>
      <c r="BW375" s="72"/>
      <c r="BX375" s="72"/>
      <c r="BY375" s="72"/>
      <c r="BZ375" s="72"/>
      <c r="CA375" s="72"/>
      <c r="CB375" s="72"/>
      <c r="CC375" s="72"/>
      <c r="CD375" s="72"/>
      <c r="CE375" s="72"/>
      <c r="CF375" s="72"/>
      <c r="CG375" s="72"/>
      <c r="CH375" s="72"/>
      <c r="CI375" s="72"/>
      <c r="CJ375" s="72"/>
      <c r="CK375" s="72"/>
      <c r="CL375" s="72"/>
      <c r="CM375" s="72"/>
      <c r="CN375" s="72"/>
      <c r="CO375" s="72"/>
      <c r="CP375" s="72"/>
      <c r="CQ375" s="72"/>
      <c r="CR375" s="72"/>
      <c r="CS375" s="72"/>
      <c r="CT375" s="72"/>
      <c r="CU375" s="72"/>
      <c r="CV375" s="72"/>
      <c r="CW375" s="72"/>
      <c r="CX375" s="72"/>
      <c r="CY375" s="72"/>
      <c r="CZ375" s="72"/>
      <c r="DA375" s="72"/>
      <c r="DB375" s="72"/>
      <c r="DC375" s="72"/>
      <c r="DD375" s="72"/>
      <c r="DE375" s="72"/>
      <c r="DF375" s="72"/>
      <c r="DG375" s="72"/>
      <c r="DH375" s="72"/>
      <c r="DI375" s="72"/>
      <c r="DJ375" s="72"/>
      <c r="DK375" s="72"/>
      <c r="DL375" s="72"/>
      <c r="DM375" s="72"/>
      <c r="DN375" s="72"/>
      <c r="DO375" s="72"/>
      <c r="DP375" s="72"/>
      <c r="DQ375" s="72"/>
      <c r="DR375" s="72"/>
      <c r="DS375" s="72"/>
      <c r="DT375" s="72"/>
      <c r="DU375" s="72"/>
      <c r="DV375" s="72"/>
      <c r="DW375" s="72"/>
      <c r="DX375" s="72"/>
      <c r="DY375" s="72"/>
      <c r="DZ375" s="72"/>
      <c r="EA375" s="72"/>
      <c r="EB375" s="72"/>
      <c r="EC375" s="72"/>
      <c r="ED375" s="72"/>
      <c r="EE375" s="72"/>
      <c r="EF375" s="72"/>
      <c r="EG375" s="72"/>
      <c r="EH375" s="72"/>
      <c r="EI375" s="72"/>
      <c r="EJ375" s="72"/>
      <c r="EK375" s="72"/>
      <c r="EL375" s="72"/>
      <c r="EM375" s="72"/>
      <c r="EN375" s="72"/>
      <c r="EO375" s="72"/>
      <c r="EP375" s="72"/>
      <c r="EQ375" s="72"/>
      <c r="ER375" s="72"/>
      <c r="ES375" s="72"/>
      <c r="ET375" s="72"/>
      <c r="EU375" s="72"/>
      <c r="EV375" s="72"/>
      <c r="EW375" s="72"/>
      <c r="EX375" s="72"/>
      <c r="EY375" s="72"/>
      <c r="EZ375" s="72"/>
      <c r="FA375" s="72"/>
      <c r="FB375" s="72"/>
      <c r="FC375" s="72"/>
      <c r="FD375" s="72"/>
      <c r="FE375" s="72"/>
      <c r="FF375" s="72"/>
      <c r="FG375" s="72"/>
      <c r="FH375" s="72"/>
      <c r="FI375" s="72"/>
      <c r="FJ375" s="72"/>
      <c r="FK375" s="72"/>
      <c r="FL375" s="72"/>
      <c r="FM375" s="72"/>
      <c r="FN375" s="72"/>
      <c r="FO375" s="72"/>
      <c r="FP375" s="72"/>
      <c r="FQ375" s="72"/>
      <c r="FR375" s="72"/>
      <c r="FS375" s="72"/>
      <c r="FT375" s="72"/>
      <c r="FU375" s="72"/>
      <c r="FV375" s="72"/>
      <c r="FW375" s="72"/>
      <c r="FX375" s="72"/>
      <c r="FY375" s="72"/>
      <c r="FZ375" s="72"/>
      <c r="GA375" s="72"/>
      <c r="GB375" s="72"/>
      <c r="GC375" s="72"/>
      <c r="GD375" s="72"/>
      <c r="GE375" s="72"/>
      <c r="GF375" s="72"/>
      <c r="GG375" s="72"/>
      <c r="GH375" s="72"/>
      <c r="GI375" s="72"/>
      <c r="GJ375" s="72"/>
      <c r="GK375" s="72"/>
      <c r="GL375" s="72"/>
      <c r="GM375" s="72"/>
      <c r="GN375" s="72"/>
      <c r="GO375" s="72"/>
      <c r="GP375" s="72"/>
      <c r="GQ375" s="72"/>
      <c r="GR375" s="72"/>
      <c r="GS375" s="72"/>
      <c r="GT375" s="72"/>
      <c r="GU375" s="72"/>
      <c r="GV375" s="72"/>
      <c r="GW375" s="72"/>
      <c r="GX375" s="72"/>
      <c r="GY375" s="72"/>
      <c r="GZ375" s="72"/>
      <c r="HA375" s="72"/>
      <c r="HB375" s="72"/>
      <c r="HC375" s="72"/>
      <c r="HD375" s="72"/>
      <c r="HE375" s="72"/>
      <c r="HF375" s="72"/>
      <c r="HG375" s="72"/>
      <c r="HH375" s="72"/>
      <c r="HI375" s="72"/>
      <c r="HJ375" s="72"/>
      <c r="HK375" s="72"/>
      <c r="HL375" s="72"/>
      <c r="HM375" s="72"/>
      <c r="HN375" s="72"/>
      <c r="HO375" s="72"/>
      <c r="HP375" s="72"/>
      <c r="HQ375" s="72"/>
      <c r="HR375" s="72"/>
      <c r="HS375" s="72"/>
      <c r="HT375" s="72"/>
      <c r="HU375" s="72"/>
      <c r="HV375" s="72"/>
      <c r="HW375" s="72"/>
      <c r="HX375" s="72"/>
      <c r="HY375" s="72"/>
      <c r="HZ375" s="72"/>
      <c r="IA375" s="72"/>
      <c r="IB375" s="72"/>
      <c r="IC375" s="72"/>
      <c r="ID375" s="72"/>
      <c r="IE375" s="72"/>
      <c r="IF375" s="72"/>
      <c r="IG375" s="72"/>
      <c r="IH375" s="72"/>
      <c r="II375" s="72"/>
      <c r="IJ375" s="72"/>
      <c r="IK375" s="72"/>
      <c r="IL375" s="72"/>
      <c r="IM375" s="72"/>
      <c r="IN375" s="72"/>
      <c r="IO375" s="72"/>
      <c r="IP375" s="72"/>
      <c r="IQ375" s="72"/>
      <c r="IR375" s="72"/>
      <c r="IS375" s="72"/>
      <c r="IT375" s="72"/>
      <c r="IU375" s="72"/>
      <c r="IV375" s="72"/>
    </row>
    <row r="376" spans="1:256" ht="15">
      <c r="A376" s="72" t="s">
        <v>430</v>
      </c>
      <c r="B376" s="58">
        <f t="shared" si="113"/>
        <v>1316257</v>
      </c>
      <c r="C376" s="28">
        <f t="shared" si="107"/>
        <v>0.002916666666666667</v>
      </c>
      <c r="D376" s="47">
        <f t="shared" si="112"/>
        <v>3839</v>
      </c>
      <c r="E376">
        <f t="shared" si="114"/>
        <v>174491</v>
      </c>
      <c r="F376" s="72"/>
      <c r="G376" s="72"/>
      <c r="H376" s="72"/>
      <c r="I376" s="72"/>
      <c r="J376" s="72"/>
      <c r="K376" s="72"/>
      <c r="L376" s="72"/>
      <c r="M376" s="72"/>
      <c r="N376" s="72"/>
      <c r="O376" s="72"/>
      <c r="P376" s="72"/>
      <c r="Q376" s="72"/>
      <c r="R376" s="72"/>
      <c r="S376" s="72"/>
      <c r="T376" s="72"/>
      <c r="U376" s="72"/>
      <c r="V376" s="72"/>
      <c r="W376" s="72"/>
      <c r="X376" s="72"/>
      <c r="Y376" s="72"/>
      <c r="Z376" s="72"/>
      <c r="AA376" s="72"/>
      <c r="AB376" s="72"/>
      <c r="AC376" s="72"/>
      <c r="AD376" s="72"/>
      <c r="AE376" s="72"/>
      <c r="AF376" s="72"/>
      <c r="AG376" s="72"/>
      <c r="AH376" s="72"/>
      <c r="AI376" s="72"/>
      <c r="AJ376" s="72"/>
      <c r="AK376" s="72"/>
      <c r="AL376" s="72"/>
      <c r="AM376" s="72"/>
      <c r="AN376" s="72"/>
      <c r="AO376" s="72"/>
      <c r="AP376" s="72"/>
      <c r="AQ376" s="72"/>
      <c r="AR376" s="72"/>
      <c r="AS376" s="72"/>
      <c r="AT376" s="72"/>
      <c r="AU376" s="72"/>
      <c r="AV376" s="72"/>
      <c r="AW376" s="72"/>
      <c r="AX376" s="72"/>
      <c r="AY376" s="72"/>
      <c r="AZ376" s="72"/>
      <c r="BA376" s="72"/>
      <c r="BB376" s="72"/>
      <c r="BC376" s="72"/>
      <c r="BD376" s="72"/>
      <c r="BE376" s="72"/>
      <c r="BF376" s="72"/>
      <c r="BG376" s="72"/>
      <c r="BH376" s="72"/>
      <c r="BI376" s="72"/>
      <c r="BJ376" s="72"/>
      <c r="BK376" s="72"/>
      <c r="BL376" s="72"/>
      <c r="BM376" s="72"/>
      <c r="BN376" s="72"/>
      <c r="BO376" s="72"/>
      <c r="BP376" s="72"/>
      <c r="BQ376" s="72"/>
      <c r="BR376" s="72"/>
      <c r="BS376" s="72"/>
      <c r="BT376" s="72"/>
      <c r="BU376" s="72"/>
      <c r="BV376" s="72"/>
      <c r="BW376" s="72"/>
      <c r="BX376" s="72"/>
      <c r="BY376" s="72"/>
      <c r="BZ376" s="72"/>
      <c r="CA376" s="72"/>
      <c r="CB376" s="72"/>
      <c r="CC376" s="72"/>
      <c r="CD376" s="72"/>
      <c r="CE376" s="72"/>
      <c r="CF376" s="72"/>
      <c r="CG376" s="72"/>
      <c r="CH376" s="72"/>
      <c r="CI376" s="72"/>
      <c r="CJ376" s="72"/>
      <c r="CK376" s="72"/>
      <c r="CL376" s="72"/>
      <c r="CM376" s="72"/>
      <c r="CN376" s="72"/>
      <c r="CO376" s="72"/>
      <c r="CP376" s="72"/>
      <c r="CQ376" s="72"/>
      <c r="CR376" s="72"/>
      <c r="CS376" s="72"/>
      <c r="CT376" s="72"/>
      <c r="CU376" s="72"/>
      <c r="CV376" s="72"/>
      <c r="CW376" s="72"/>
      <c r="CX376" s="72"/>
      <c r="CY376" s="72"/>
      <c r="CZ376" s="72"/>
      <c r="DA376" s="72"/>
      <c r="DB376" s="72"/>
      <c r="DC376" s="72"/>
      <c r="DD376" s="72"/>
      <c r="DE376" s="72"/>
      <c r="DF376" s="72"/>
      <c r="DG376" s="72"/>
      <c r="DH376" s="72"/>
      <c r="DI376" s="72"/>
      <c r="DJ376" s="72"/>
      <c r="DK376" s="72"/>
      <c r="DL376" s="72"/>
      <c r="DM376" s="72"/>
      <c r="DN376" s="72"/>
      <c r="DO376" s="72"/>
      <c r="DP376" s="72"/>
      <c r="DQ376" s="72"/>
      <c r="DR376" s="72"/>
      <c r="DS376" s="72"/>
      <c r="DT376" s="72"/>
      <c r="DU376" s="72"/>
      <c r="DV376" s="72"/>
      <c r="DW376" s="72"/>
      <c r="DX376" s="72"/>
      <c r="DY376" s="72"/>
      <c r="DZ376" s="72"/>
      <c r="EA376" s="72"/>
      <c r="EB376" s="72"/>
      <c r="EC376" s="72"/>
      <c r="ED376" s="72"/>
      <c r="EE376" s="72"/>
      <c r="EF376" s="72"/>
      <c r="EG376" s="72"/>
      <c r="EH376" s="72"/>
      <c r="EI376" s="72"/>
      <c r="EJ376" s="72"/>
      <c r="EK376" s="72"/>
      <c r="EL376" s="72"/>
      <c r="EM376" s="72"/>
      <c r="EN376" s="72"/>
      <c r="EO376" s="72"/>
      <c r="EP376" s="72"/>
      <c r="EQ376" s="72"/>
      <c r="ER376" s="72"/>
      <c r="ES376" s="72"/>
      <c r="ET376" s="72"/>
      <c r="EU376" s="72"/>
      <c r="EV376" s="72"/>
      <c r="EW376" s="72"/>
      <c r="EX376" s="72"/>
      <c r="EY376" s="72"/>
      <c r="EZ376" s="72"/>
      <c r="FA376" s="72"/>
      <c r="FB376" s="72"/>
      <c r="FC376" s="72"/>
      <c r="FD376" s="72"/>
      <c r="FE376" s="72"/>
      <c r="FF376" s="72"/>
      <c r="FG376" s="72"/>
      <c r="FH376" s="72"/>
      <c r="FI376" s="72"/>
      <c r="FJ376" s="72"/>
      <c r="FK376" s="72"/>
      <c r="FL376" s="72"/>
      <c r="FM376" s="72"/>
      <c r="FN376" s="72"/>
      <c r="FO376" s="72"/>
      <c r="FP376" s="72"/>
      <c r="FQ376" s="72"/>
      <c r="FR376" s="72"/>
      <c r="FS376" s="72"/>
      <c r="FT376" s="72"/>
      <c r="FU376" s="72"/>
      <c r="FV376" s="72"/>
      <c r="FW376" s="72"/>
      <c r="FX376" s="72"/>
      <c r="FY376" s="72"/>
      <c r="FZ376" s="72"/>
      <c r="GA376" s="72"/>
      <c r="GB376" s="72"/>
      <c r="GC376" s="72"/>
      <c r="GD376" s="72"/>
      <c r="GE376" s="72"/>
      <c r="GF376" s="72"/>
      <c r="GG376" s="72"/>
      <c r="GH376" s="72"/>
      <c r="GI376" s="72"/>
      <c r="GJ376" s="72"/>
      <c r="GK376" s="72"/>
      <c r="GL376" s="72"/>
      <c r="GM376" s="72"/>
      <c r="GN376" s="72"/>
      <c r="GO376" s="72"/>
      <c r="GP376" s="72"/>
      <c r="GQ376" s="72"/>
      <c r="GR376" s="72"/>
      <c r="GS376" s="72"/>
      <c r="GT376" s="72"/>
      <c r="GU376" s="72"/>
      <c r="GV376" s="72"/>
      <c r="GW376" s="72"/>
      <c r="GX376" s="72"/>
      <c r="GY376" s="72"/>
      <c r="GZ376" s="72"/>
      <c r="HA376" s="72"/>
      <c r="HB376" s="72"/>
      <c r="HC376" s="72"/>
      <c r="HD376" s="72"/>
      <c r="HE376" s="72"/>
      <c r="HF376" s="72"/>
      <c r="HG376" s="72"/>
      <c r="HH376" s="72"/>
      <c r="HI376" s="72"/>
      <c r="HJ376" s="72"/>
      <c r="HK376" s="72"/>
      <c r="HL376" s="72"/>
      <c r="HM376" s="72"/>
      <c r="HN376" s="72"/>
      <c r="HO376" s="72"/>
      <c r="HP376" s="72"/>
      <c r="HQ376" s="72"/>
      <c r="HR376" s="72"/>
      <c r="HS376" s="72"/>
      <c r="HT376" s="72"/>
      <c r="HU376" s="72"/>
      <c r="HV376" s="72"/>
      <c r="HW376" s="72"/>
      <c r="HX376" s="72"/>
      <c r="HY376" s="72"/>
      <c r="HZ376" s="72"/>
      <c r="IA376" s="72"/>
      <c r="IB376" s="72"/>
      <c r="IC376" s="72"/>
      <c r="ID376" s="72"/>
      <c r="IE376" s="72"/>
      <c r="IF376" s="72"/>
      <c r="IG376" s="72"/>
      <c r="IH376" s="72"/>
      <c r="II376" s="72"/>
      <c r="IJ376" s="72"/>
      <c r="IK376" s="72"/>
      <c r="IL376" s="72"/>
      <c r="IM376" s="72"/>
      <c r="IN376" s="72"/>
      <c r="IO376" s="72"/>
      <c r="IP376" s="72"/>
      <c r="IQ376" s="72"/>
      <c r="IR376" s="72"/>
      <c r="IS376" s="72"/>
      <c r="IT376" s="72"/>
      <c r="IU376" s="72"/>
      <c r="IV376" s="72"/>
    </row>
    <row r="377" spans="1:256" ht="15">
      <c r="A377" s="72" t="s">
        <v>431</v>
      </c>
      <c r="B377" s="58">
        <f t="shared" si="113"/>
        <v>1316257</v>
      </c>
      <c r="C377" s="28">
        <f t="shared" si="107"/>
        <v>0.002916666666666667</v>
      </c>
      <c r="D377" s="47">
        <f t="shared" si="112"/>
        <v>3839</v>
      </c>
      <c r="E377">
        <f t="shared" si="114"/>
        <v>178330</v>
      </c>
      <c r="F377" s="72"/>
      <c r="G377" s="72"/>
      <c r="H377" s="72"/>
      <c r="I377" s="72"/>
      <c r="J377" s="72"/>
      <c r="K377" s="72"/>
      <c r="L377" s="72"/>
      <c r="M377" s="72"/>
      <c r="N377" s="72"/>
      <c r="O377" s="72"/>
      <c r="P377" s="72"/>
      <c r="Q377" s="72"/>
      <c r="R377" s="72"/>
      <c r="S377" s="72"/>
      <c r="T377" s="72"/>
      <c r="U377" s="72"/>
      <c r="V377" s="72"/>
      <c r="W377" s="72"/>
      <c r="X377" s="72"/>
      <c r="Y377" s="72"/>
      <c r="Z377" s="72"/>
      <c r="AA377" s="72"/>
      <c r="AB377" s="72"/>
      <c r="AC377" s="72"/>
      <c r="AD377" s="72"/>
      <c r="AE377" s="72"/>
      <c r="AF377" s="72"/>
      <c r="AG377" s="72"/>
      <c r="AH377" s="72"/>
      <c r="AI377" s="72"/>
      <c r="AJ377" s="72"/>
      <c r="AK377" s="72"/>
      <c r="AL377" s="72"/>
      <c r="AM377" s="72"/>
      <c r="AN377" s="72"/>
      <c r="AO377" s="72"/>
      <c r="AP377" s="72"/>
      <c r="AQ377" s="72"/>
      <c r="AR377" s="72"/>
      <c r="AS377" s="72"/>
      <c r="AT377" s="72"/>
      <c r="AU377" s="72"/>
      <c r="AV377" s="72"/>
      <c r="AW377" s="72"/>
      <c r="AX377" s="72"/>
      <c r="AY377" s="72"/>
      <c r="AZ377" s="72"/>
      <c r="BA377" s="72"/>
      <c r="BB377" s="72"/>
      <c r="BC377" s="72"/>
      <c r="BD377" s="72"/>
      <c r="BE377" s="72"/>
      <c r="BF377" s="72"/>
      <c r="BG377" s="72"/>
      <c r="BH377" s="72"/>
      <c r="BI377" s="72"/>
      <c r="BJ377" s="72"/>
      <c r="BK377" s="72"/>
      <c r="BL377" s="72"/>
      <c r="BM377" s="72"/>
      <c r="BN377" s="72"/>
      <c r="BO377" s="72"/>
      <c r="BP377" s="72"/>
      <c r="BQ377" s="72"/>
      <c r="BR377" s="72"/>
      <c r="BS377" s="72"/>
      <c r="BT377" s="72"/>
      <c r="BU377" s="72"/>
      <c r="BV377" s="72"/>
      <c r="BW377" s="72"/>
      <c r="BX377" s="72"/>
      <c r="BY377" s="72"/>
      <c r="BZ377" s="72"/>
      <c r="CA377" s="72"/>
      <c r="CB377" s="72"/>
      <c r="CC377" s="72"/>
      <c r="CD377" s="72"/>
      <c r="CE377" s="72"/>
      <c r="CF377" s="72"/>
      <c r="CG377" s="72"/>
      <c r="CH377" s="72"/>
      <c r="CI377" s="72"/>
      <c r="CJ377" s="72"/>
      <c r="CK377" s="72"/>
      <c r="CL377" s="72"/>
      <c r="CM377" s="72"/>
      <c r="CN377" s="72"/>
      <c r="CO377" s="72"/>
      <c r="CP377" s="72"/>
      <c r="CQ377" s="72"/>
      <c r="CR377" s="72"/>
      <c r="CS377" s="72"/>
      <c r="CT377" s="72"/>
      <c r="CU377" s="72"/>
      <c r="CV377" s="72"/>
      <c r="CW377" s="72"/>
      <c r="CX377" s="72"/>
      <c r="CY377" s="72"/>
      <c r="CZ377" s="72"/>
      <c r="DA377" s="72"/>
      <c r="DB377" s="72"/>
      <c r="DC377" s="72"/>
      <c r="DD377" s="72"/>
      <c r="DE377" s="72"/>
      <c r="DF377" s="72"/>
      <c r="DG377" s="72"/>
      <c r="DH377" s="72"/>
      <c r="DI377" s="72"/>
      <c r="DJ377" s="72"/>
      <c r="DK377" s="72"/>
      <c r="DL377" s="72"/>
      <c r="DM377" s="72"/>
      <c r="DN377" s="72"/>
      <c r="DO377" s="72"/>
      <c r="DP377" s="72"/>
      <c r="DQ377" s="72"/>
      <c r="DR377" s="72"/>
      <c r="DS377" s="72"/>
      <c r="DT377" s="72"/>
      <c r="DU377" s="72"/>
      <c r="DV377" s="72"/>
      <c r="DW377" s="72"/>
      <c r="DX377" s="72"/>
      <c r="DY377" s="72"/>
      <c r="DZ377" s="72"/>
      <c r="EA377" s="72"/>
      <c r="EB377" s="72"/>
      <c r="EC377" s="72"/>
      <c r="ED377" s="72"/>
      <c r="EE377" s="72"/>
      <c r="EF377" s="72"/>
      <c r="EG377" s="72"/>
      <c r="EH377" s="72"/>
      <c r="EI377" s="72"/>
      <c r="EJ377" s="72"/>
      <c r="EK377" s="72"/>
      <c r="EL377" s="72"/>
      <c r="EM377" s="72"/>
      <c r="EN377" s="72"/>
      <c r="EO377" s="72"/>
      <c r="EP377" s="72"/>
      <c r="EQ377" s="72"/>
      <c r="ER377" s="72"/>
      <c r="ES377" s="72"/>
      <c r="ET377" s="72"/>
      <c r="EU377" s="72"/>
      <c r="EV377" s="72"/>
      <c r="EW377" s="72"/>
      <c r="EX377" s="72"/>
      <c r="EY377" s="72"/>
      <c r="EZ377" s="72"/>
      <c r="FA377" s="72"/>
      <c r="FB377" s="72"/>
      <c r="FC377" s="72"/>
      <c r="FD377" s="72"/>
      <c r="FE377" s="72"/>
      <c r="FF377" s="72"/>
      <c r="FG377" s="72"/>
      <c r="FH377" s="72"/>
      <c r="FI377" s="72"/>
      <c r="FJ377" s="72"/>
      <c r="FK377" s="72"/>
      <c r="FL377" s="72"/>
      <c r="FM377" s="72"/>
      <c r="FN377" s="72"/>
      <c r="FO377" s="72"/>
      <c r="FP377" s="72"/>
      <c r="FQ377" s="72"/>
      <c r="FR377" s="72"/>
      <c r="FS377" s="72"/>
      <c r="FT377" s="72"/>
      <c r="FU377" s="72"/>
      <c r="FV377" s="72"/>
      <c r="FW377" s="72"/>
      <c r="FX377" s="72"/>
      <c r="FY377" s="72"/>
      <c r="FZ377" s="72"/>
      <c r="GA377" s="72"/>
      <c r="GB377" s="72"/>
      <c r="GC377" s="72"/>
      <c r="GD377" s="72"/>
      <c r="GE377" s="72"/>
      <c r="GF377" s="72"/>
      <c r="GG377" s="72"/>
      <c r="GH377" s="72"/>
      <c r="GI377" s="72"/>
      <c r="GJ377" s="72"/>
      <c r="GK377" s="72"/>
      <c r="GL377" s="72"/>
      <c r="GM377" s="72"/>
      <c r="GN377" s="72"/>
      <c r="GO377" s="72"/>
      <c r="GP377" s="72"/>
      <c r="GQ377" s="72"/>
      <c r="GR377" s="72"/>
      <c r="GS377" s="72"/>
      <c r="GT377" s="72"/>
      <c r="GU377" s="72"/>
      <c r="GV377" s="72"/>
      <c r="GW377" s="72"/>
      <c r="GX377" s="72"/>
      <c r="GY377" s="72"/>
      <c r="GZ377" s="72"/>
      <c r="HA377" s="72"/>
      <c r="HB377" s="72"/>
      <c r="HC377" s="72"/>
      <c r="HD377" s="72"/>
      <c r="HE377" s="72"/>
      <c r="HF377" s="72"/>
      <c r="HG377" s="72"/>
      <c r="HH377" s="72"/>
      <c r="HI377" s="72"/>
      <c r="HJ377" s="72"/>
      <c r="HK377" s="72"/>
      <c r="HL377" s="72"/>
      <c r="HM377" s="72"/>
      <c r="HN377" s="72"/>
      <c r="HO377" s="72"/>
      <c r="HP377" s="72"/>
      <c r="HQ377" s="72"/>
      <c r="HR377" s="72"/>
      <c r="HS377" s="72"/>
      <c r="HT377" s="72"/>
      <c r="HU377" s="72"/>
      <c r="HV377" s="72"/>
      <c r="HW377" s="72"/>
      <c r="HX377" s="72"/>
      <c r="HY377" s="72"/>
      <c r="HZ377" s="72"/>
      <c r="IA377" s="72"/>
      <c r="IB377" s="72"/>
      <c r="IC377" s="72"/>
      <c r="ID377" s="72"/>
      <c r="IE377" s="72"/>
      <c r="IF377" s="72"/>
      <c r="IG377" s="72"/>
      <c r="IH377" s="72"/>
      <c r="II377" s="72"/>
      <c r="IJ377" s="72"/>
      <c r="IK377" s="72"/>
      <c r="IL377" s="72"/>
      <c r="IM377" s="72"/>
      <c r="IN377" s="72"/>
      <c r="IO377" s="72"/>
      <c r="IP377" s="72"/>
      <c r="IQ377" s="72"/>
      <c r="IR377" s="72"/>
      <c r="IS377" s="72"/>
      <c r="IT377" s="72"/>
      <c r="IU377" s="72"/>
      <c r="IV377" s="72"/>
    </row>
    <row r="378" spans="1:256" ht="15">
      <c r="A378" s="72" t="s">
        <v>432</v>
      </c>
      <c r="B378" s="58">
        <f t="shared" si="113"/>
        <v>1316257</v>
      </c>
      <c r="C378" s="28">
        <f t="shared" si="107"/>
        <v>0.002916666666666667</v>
      </c>
      <c r="D378" s="47">
        <f t="shared" si="112"/>
        <v>3839</v>
      </c>
      <c r="E378">
        <f t="shared" si="114"/>
        <v>182169</v>
      </c>
      <c r="F378" s="72"/>
      <c r="G378" s="72"/>
      <c r="H378" s="72"/>
      <c r="I378" s="72"/>
      <c r="J378" s="72"/>
      <c r="K378" s="72"/>
      <c r="L378" s="72"/>
      <c r="M378" s="72"/>
      <c r="N378" s="72"/>
      <c r="O378" s="72"/>
      <c r="P378" s="72"/>
      <c r="Q378" s="72"/>
      <c r="R378" s="72"/>
      <c r="S378" s="72"/>
      <c r="T378" s="72"/>
      <c r="U378" s="72"/>
      <c r="V378" s="72"/>
      <c r="W378" s="72"/>
      <c r="X378" s="72"/>
      <c r="Y378" s="72"/>
      <c r="Z378" s="72"/>
      <c r="AA378" s="72"/>
      <c r="AB378" s="72"/>
      <c r="AC378" s="72"/>
      <c r="AD378" s="72"/>
      <c r="AE378" s="72"/>
      <c r="AF378" s="72"/>
      <c r="AG378" s="72"/>
      <c r="AH378" s="72"/>
      <c r="AI378" s="72"/>
      <c r="AJ378" s="72"/>
      <c r="AK378" s="72"/>
      <c r="AL378" s="72"/>
      <c r="AM378" s="72"/>
      <c r="AN378" s="72"/>
      <c r="AO378" s="72"/>
      <c r="AP378" s="72"/>
      <c r="AQ378" s="72"/>
      <c r="AR378" s="72"/>
      <c r="AS378" s="72"/>
      <c r="AT378" s="72"/>
      <c r="AU378" s="72"/>
      <c r="AV378" s="72"/>
      <c r="AW378" s="72"/>
      <c r="AX378" s="72"/>
      <c r="AY378" s="72"/>
      <c r="AZ378" s="72"/>
      <c r="BA378" s="72"/>
      <c r="BB378" s="72"/>
      <c r="BC378" s="72"/>
      <c r="BD378" s="72"/>
      <c r="BE378" s="72"/>
      <c r="BF378" s="72"/>
      <c r="BG378" s="72"/>
      <c r="BH378" s="72"/>
      <c r="BI378" s="72"/>
      <c r="BJ378" s="72"/>
      <c r="BK378" s="72"/>
      <c r="BL378" s="72"/>
      <c r="BM378" s="72"/>
      <c r="BN378" s="72"/>
      <c r="BO378" s="72"/>
      <c r="BP378" s="72"/>
      <c r="BQ378" s="72"/>
      <c r="BR378" s="72"/>
      <c r="BS378" s="72"/>
      <c r="BT378" s="72"/>
      <c r="BU378" s="72"/>
      <c r="BV378" s="72"/>
      <c r="BW378" s="72"/>
      <c r="BX378" s="72"/>
      <c r="BY378" s="72"/>
      <c r="BZ378" s="72"/>
      <c r="CA378" s="72"/>
      <c r="CB378" s="72"/>
      <c r="CC378" s="72"/>
      <c r="CD378" s="72"/>
      <c r="CE378" s="72"/>
      <c r="CF378" s="72"/>
      <c r="CG378" s="72"/>
      <c r="CH378" s="72"/>
      <c r="CI378" s="72"/>
      <c r="CJ378" s="72"/>
      <c r="CK378" s="72"/>
      <c r="CL378" s="72"/>
      <c r="CM378" s="72"/>
      <c r="CN378" s="72"/>
      <c r="CO378" s="72"/>
      <c r="CP378" s="72"/>
      <c r="CQ378" s="72"/>
      <c r="CR378" s="72"/>
      <c r="CS378" s="72"/>
      <c r="CT378" s="72"/>
      <c r="CU378" s="72"/>
      <c r="CV378" s="72"/>
      <c r="CW378" s="72"/>
      <c r="CX378" s="72"/>
      <c r="CY378" s="72"/>
      <c r="CZ378" s="72"/>
      <c r="DA378" s="72"/>
      <c r="DB378" s="72"/>
      <c r="DC378" s="72"/>
      <c r="DD378" s="72"/>
      <c r="DE378" s="72"/>
      <c r="DF378" s="72"/>
      <c r="DG378" s="72"/>
      <c r="DH378" s="72"/>
      <c r="DI378" s="72"/>
      <c r="DJ378" s="72"/>
      <c r="DK378" s="72"/>
      <c r="DL378" s="72"/>
      <c r="DM378" s="72"/>
      <c r="DN378" s="72"/>
      <c r="DO378" s="72"/>
      <c r="DP378" s="72"/>
      <c r="DQ378" s="72"/>
      <c r="DR378" s="72"/>
      <c r="DS378" s="72"/>
      <c r="DT378" s="72"/>
      <c r="DU378" s="72"/>
      <c r="DV378" s="72"/>
      <c r="DW378" s="72"/>
      <c r="DX378" s="72"/>
      <c r="DY378" s="72"/>
      <c r="DZ378" s="72"/>
      <c r="EA378" s="72"/>
      <c r="EB378" s="72"/>
      <c r="EC378" s="72"/>
      <c r="ED378" s="72"/>
      <c r="EE378" s="72"/>
      <c r="EF378" s="72"/>
      <c r="EG378" s="72"/>
      <c r="EH378" s="72"/>
      <c r="EI378" s="72"/>
      <c r="EJ378" s="72"/>
      <c r="EK378" s="72"/>
      <c r="EL378" s="72"/>
      <c r="EM378" s="72"/>
      <c r="EN378" s="72"/>
      <c r="EO378" s="72"/>
      <c r="EP378" s="72"/>
      <c r="EQ378" s="72"/>
      <c r="ER378" s="72"/>
      <c r="ES378" s="72"/>
      <c r="ET378" s="72"/>
      <c r="EU378" s="72"/>
      <c r="EV378" s="72"/>
      <c r="EW378" s="72"/>
      <c r="EX378" s="72"/>
      <c r="EY378" s="72"/>
      <c r="EZ378" s="72"/>
      <c r="FA378" s="72"/>
      <c r="FB378" s="72"/>
      <c r="FC378" s="72"/>
      <c r="FD378" s="72"/>
      <c r="FE378" s="72"/>
      <c r="FF378" s="72"/>
      <c r="FG378" s="72"/>
      <c r="FH378" s="72"/>
      <c r="FI378" s="72"/>
      <c r="FJ378" s="72"/>
      <c r="FK378" s="72"/>
      <c r="FL378" s="72"/>
      <c r="FM378" s="72"/>
      <c r="FN378" s="72"/>
      <c r="FO378" s="72"/>
      <c r="FP378" s="72"/>
      <c r="FQ378" s="72"/>
      <c r="FR378" s="72"/>
      <c r="FS378" s="72"/>
      <c r="FT378" s="72"/>
      <c r="FU378" s="72"/>
      <c r="FV378" s="72"/>
      <c r="FW378" s="72"/>
      <c r="FX378" s="72"/>
      <c r="FY378" s="72"/>
      <c r="FZ378" s="72"/>
      <c r="GA378" s="72"/>
      <c r="GB378" s="72"/>
      <c r="GC378" s="72"/>
      <c r="GD378" s="72"/>
      <c r="GE378" s="72"/>
      <c r="GF378" s="72"/>
      <c r="GG378" s="72"/>
      <c r="GH378" s="72"/>
      <c r="GI378" s="72"/>
      <c r="GJ378" s="72"/>
      <c r="GK378" s="72"/>
      <c r="GL378" s="72"/>
      <c r="GM378" s="72"/>
      <c r="GN378" s="72"/>
      <c r="GO378" s="72"/>
      <c r="GP378" s="72"/>
      <c r="GQ378" s="72"/>
      <c r="GR378" s="72"/>
      <c r="GS378" s="72"/>
      <c r="GT378" s="72"/>
      <c r="GU378" s="72"/>
      <c r="GV378" s="72"/>
      <c r="GW378" s="72"/>
      <c r="GX378" s="72"/>
      <c r="GY378" s="72"/>
      <c r="GZ378" s="72"/>
      <c r="HA378" s="72"/>
      <c r="HB378" s="72"/>
      <c r="HC378" s="72"/>
      <c r="HD378" s="72"/>
      <c r="HE378" s="72"/>
      <c r="HF378" s="72"/>
      <c r="HG378" s="72"/>
      <c r="HH378" s="72"/>
      <c r="HI378" s="72"/>
      <c r="HJ378" s="72"/>
      <c r="HK378" s="72"/>
      <c r="HL378" s="72"/>
      <c r="HM378" s="72"/>
      <c r="HN378" s="72"/>
      <c r="HO378" s="72"/>
      <c r="HP378" s="72"/>
      <c r="HQ378" s="72"/>
      <c r="HR378" s="72"/>
      <c r="HS378" s="72"/>
      <c r="HT378" s="72"/>
      <c r="HU378" s="72"/>
      <c r="HV378" s="72"/>
      <c r="HW378" s="72"/>
      <c r="HX378" s="72"/>
      <c r="HY378" s="72"/>
      <c r="HZ378" s="72"/>
      <c r="IA378" s="72"/>
      <c r="IB378" s="72"/>
      <c r="IC378" s="72"/>
      <c r="ID378" s="72"/>
      <c r="IE378" s="72"/>
      <c r="IF378" s="72"/>
      <c r="IG378" s="72"/>
      <c r="IH378" s="72"/>
      <c r="II378" s="72"/>
      <c r="IJ378" s="72"/>
      <c r="IK378" s="72"/>
      <c r="IL378" s="72"/>
      <c r="IM378" s="72"/>
      <c r="IN378" s="72"/>
      <c r="IO378" s="72"/>
      <c r="IP378" s="72"/>
      <c r="IQ378" s="72"/>
      <c r="IR378" s="72"/>
      <c r="IS378" s="72"/>
      <c r="IT378" s="72"/>
      <c r="IU378" s="72"/>
      <c r="IV378" s="72"/>
    </row>
    <row r="379" spans="1:256" ht="15">
      <c r="A379" s="72" t="s">
        <v>433</v>
      </c>
      <c r="B379" s="58">
        <f t="shared" si="113"/>
        <v>1316257</v>
      </c>
      <c r="C379" s="28">
        <f t="shared" si="107"/>
        <v>0.002916666666666667</v>
      </c>
      <c r="D379" s="47">
        <f t="shared" si="112"/>
        <v>3839</v>
      </c>
      <c r="E379">
        <f t="shared" si="114"/>
        <v>186008</v>
      </c>
      <c r="F379" s="72"/>
      <c r="G379" s="72"/>
      <c r="H379" s="72"/>
      <c r="I379" s="72"/>
      <c r="J379" s="72"/>
      <c r="K379" s="72"/>
      <c r="L379" s="72"/>
      <c r="M379" s="72"/>
      <c r="N379" s="72"/>
      <c r="O379" s="72"/>
      <c r="P379" s="72"/>
      <c r="Q379" s="72"/>
      <c r="R379" s="72"/>
      <c r="S379" s="72"/>
      <c r="T379" s="72"/>
      <c r="U379" s="72"/>
      <c r="V379" s="72"/>
      <c r="W379" s="72"/>
      <c r="X379" s="72"/>
      <c r="Y379" s="72"/>
      <c r="Z379" s="72"/>
      <c r="AA379" s="72"/>
      <c r="AB379" s="72"/>
      <c r="AC379" s="72"/>
      <c r="AD379" s="72"/>
      <c r="AE379" s="72"/>
      <c r="AF379" s="72"/>
      <c r="AG379" s="72"/>
      <c r="AH379" s="72"/>
      <c r="AI379" s="72"/>
      <c r="AJ379" s="72"/>
      <c r="AK379" s="72"/>
      <c r="AL379" s="72"/>
      <c r="AM379" s="72"/>
      <c r="AN379" s="72"/>
      <c r="AO379" s="72"/>
      <c r="AP379" s="72"/>
      <c r="AQ379" s="72"/>
      <c r="AR379" s="72"/>
      <c r="AS379" s="72"/>
      <c r="AT379" s="72"/>
      <c r="AU379" s="72"/>
      <c r="AV379" s="72"/>
      <c r="AW379" s="72"/>
      <c r="AX379" s="72"/>
      <c r="AY379" s="72"/>
      <c r="AZ379" s="72"/>
      <c r="BA379" s="72"/>
      <c r="BB379" s="72"/>
      <c r="BC379" s="72"/>
      <c r="BD379" s="72"/>
      <c r="BE379" s="72"/>
      <c r="BF379" s="72"/>
      <c r="BG379" s="72"/>
      <c r="BH379" s="72"/>
      <c r="BI379" s="72"/>
      <c r="BJ379" s="72"/>
      <c r="BK379" s="72"/>
      <c r="BL379" s="72"/>
      <c r="BM379" s="72"/>
      <c r="BN379" s="72"/>
      <c r="BO379" s="72"/>
      <c r="BP379" s="72"/>
      <c r="BQ379" s="72"/>
      <c r="BR379" s="72"/>
      <c r="BS379" s="72"/>
      <c r="BT379" s="72"/>
      <c r="BU379" s="72"/>
      <c r="BV379" s="72"/>
      <c r="BW379" s="72"/>
      <c r="BX379" s="72"/>
      <c r="BY379" s="72"/>
      <c r="BZ379" s="72"/>
      <c r="CA379" s="72"/>
      <c r="CB379" s="72"/>
      <c r="CC379" s="72"/>
      <c r="CD379" s="72"/>
      <c r="CE379" s="72"/>
      <c r="CF379" s="72"/>
      <c r="CG379" s="72"/>
      <c r="CH379" s="72"/>
      <c r="CI379" s="72"/>
      <c r="CJ379" s="72"/>
      <c r="CK379" s="72"/>
      <c r="CL379" s="72"/>
      <c r="CM379" s="72"/>
      <c r="CN379" s="72"/>
      <c r="CO379" s="72"/>
      <c r="CP379" s="72"/>
      <c r="CQ379" s="72"/>
      <c r="CR379" s="72"/>
      <c r="CS379" s="72"/>
      <c r="CT379" s="72"/>
      <c r="CU379" s="72"/>
      <c r="CV379" s="72"/>
      <c r="CW379" s="72"/>
      <c r="CX379" s="72"/>
      <c r="CY379" s="72"/>
      <c r="CZ379" s="72"/>
      <c r="DA379" s="72"/>
      <c r="DB379" s="72"/>
      <c r="DC379" s="72"/>
      <c r="DD379" s="72"/>
      <c r="DE379" s="72"/>
      <c r="DF379" s="72"/>
      <c r="DG379" s="72"/>
      <c r="DH379" s="72"/>
      <c r="DI379" s="72"/>
      <c r="DJ379" s="72"/>
      <c r="DK379" s="72"/>
      <c r="DL379" s="72"/>
      <c r="DM379" s="72"/>
      <c r="DN379" s="72"/>
      <c r="DO379" s="72"/>
      <c r="DP379" s="72"/>
      <c r="DQ379" s="72"/>
      <c r="DR379" s="72"/>
      <c r="DS379" s="72"/>
      <c r="DT379" s="72"/>
      <c r="DU379" s="72"/>
      <c r="DV379" s="72"/>
      <c r="DW379" s="72"/>
      <c r="DX379" s="72"/>
      <c r="DY379" s="72"/>
      <c r="DZ379" s="72"/>
      <c r="EA379" s="72"/>
      <c r="EB379" s="72"/>
      <c r="EC379" s="72"/>
      <c r="ED379" s="72"/>
      <c r="EE379" s="72"/>
      <c r="EF379" s="72"/>
      <c r="EG379" s="72"/>
      <c r="EH379" s="72"/>
      <c r="EI379" s="72"/>
      <c r="EJ379" s="72"/>
      <c r="EK379" s="72"/>
      <c r="EL379" s="72"/>
      <c r="EM379" s="72"/>
      <c r="EN379" s="72"/>
      <c r="EO379" s="72"/>
      <c r="EP379" s="72"/>
      <c r="EQ379" s="72"/>
      <c r="ER379" s="72"/>
      <c r="ES379" s="72"/>
      <c r="ET379" s="72"/>
      <c r="EU379" s="72"/>
      <c r="EV379" s="72"/>
      <c r="EW379" s="72"/>
      <c r="EX379" s="72"/>
      <c r="EY379" s="72"/>
      <c r="EZ379" s="72"/>
      <c r="FA379" s="72"/>
      <c r="FB379" s="72"/>
      <c r="FC379" s="72"/>
      <c r="FD379" s="72"/>
      <c r="FE379" s="72"/>
      <c r="FF379" s="72"/>
      <c r="FG379" s="72"/>
      <c r="FH379" s="72"/>
      <c r="FI379" s="72"/>
      <c r="FJ379" s="72"/>
      <c r="FK379" s="72"/>
      <c r="FL379" s="72"/>
      <c r="FM379" s="72"/>
      <c r="FN379" s="72"/>
      <c r="FO379" s="72"/>
      <c r="FP379" s="72"/>
      <c r="FQ379" s="72"/>
      <c r="FR379" s="72"/>
      <c r="FS379" s="72"/>
      <c r="FT379" s="72"/>
      <c r="FU379" s="72"/>
      <c r="FV379" s="72"/>
      <c r="FW379" s="72"/>
      <c r="FX379" s="72"/>
      <c r="FY379" s="72"/>
      <c r="FZ379" s="72"/>
      <c r="GA379" s="72"/>
      <c r="GB379" s="72"/>
      <c r="GC379" s="72"/>
      <c r="GD379" s="72"/>
      <c r="GE379" s="72"/>
      <c r="GF379" s="72"/>
      <c r="GG379" s="72"/>
      <c r="GH379" s="72"/>
      <c r="GI379" s="72"/>
      <c r="GJ379" s="72"/>
      <c r="GK379" s="72"/>
      <c r="GL379" s="72"/>
      <c r="GM379" s="72"/>
      <c r="GN379" s="72"/>
      <c r="GO379" s="72"/>
      <c r="GP379" s="72"/>
      <c r="GQ379" s="72"/>
      <c r="GR379" s="72"/>
      <c r="GS379" s="72"/>
      <c r="GT379" s="72"/>
      <c r="GU379" s="72"/>
      <c r="GV379" s="72"/>
      <c r="GW379" s="72"/>
      <c r="GX379" s="72"/>
      <c r="GY379" s="72"/>
      <c r="GZ379" s="72"/>
      <c r="HA379" s="72"/>
      <c r="HB379" s="72"/>
      <c r="HC379" s="72"/>
      <c r="HD379" s="72"/>
      <c r="HE379" s="72"/>
      <c r="HF379" s="72"/>
      <c r="HG379" s="72"/>
      <c r="HH379" s="72"/>
      <c r="HI379" s="72"/>
      <c r="HJ379" s="72"/>
      <c r="HK379" s="72"/>
      <c r="HL379" s="72"/>
      <c r="HM379" s="72"/>
      <c r="HN379" s="72"/>
      <c r="HO379" s="72"/>
      <c r="HP379" s="72"/>
      <c r="HQ379" s="72"/>
      <c r="HR379" s="72"/>
      <c r="HS379" s="72"/>
      <c r="HT379" s="72"/>
      <c r="HU379" s="72"/>
      <c r="HV379" s="72"/>
      <c r="HW379" s="72"/>
      <c r="HX379" s="72"/>
      <c r="HY379" s="72"/>
      <c r="HZ379" s="72"/>
      <c r="IA379" s="72"/>
      <c r="IB379" s="72"/>
      <c r="IC379" s="72"/>
      <c r="ID379" s="72"/>
      <c r="IE379" s="72"/>
      <c r="IF379" s="72"/>
      <c r="IG379" s="72"/>
      <c r="IH379" s="72"/>
      <c r="II379" s="72"/>
      <c r="IJ379" s="72"/>
      <c r="IK379" s="72"/>
      <c r="IL379" s="72"/>
      <c r="IM379" s="72"/>
      <c r="IN379" s="72"/>
      <c r="IO379" s="72"/>
      <c r="IP379" s="72"/>
      <c r="IQ379" s="72"/>
      <c r="IR379" s="72"/>
      <c r="IS379" s="72"/>
      <c r="IT379" s="72"/>
      <c r="IU379" s="72"/>
      <c r="IV379" s="72"/>
    </row>
    <row r="380" spans="1:256" ht="15">
      <c r="A380" s="72"/>
      <c r="B380" s="72"/>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c r="AA380" s="72"/>
      <c r="AB380" s="72"/>
      <c r="AC380" s="72"/>
      <c r="AD380" s="72"/>
      <c r="AE380" s="72"/>
      <c r="AF380" s="72"/>
      <c r="AG380" s="72"/>
      <c r="AH380" s="72"/>
      <c r="AI380" s="72"/>
      <c r="AJ380" s="72"/>
      <c r="AK380" s="72"/>
      <c r="AL380" s="72"/>
      <c r="AM380" s="72"/>
      <c r="AN380" s="72"/>
      <c r="AO380" s="72"/>
      <c r="AP380" s="72"/>
      <c r="AQ380" s="72"/>
      <c r="AR380" s="72"/>
      <c r="AS380" s="72"/>
      <c r="AT380" s="72"/>
      <c r="AU380" s="72"/>
      <c r="AV380" s="72"/>
      <c r="AW380" s="72"/>
      <c r="AX380" s="72"/>
      <c r="AY380" s="72"/>
      <c r="AZ380" s="72"/>
      <c r="BA380" s="72"/>
      <c r="BB380" s="72"/>
      <c r="BC380" s="72"/>
      <c r="BD380" s="72"/>
      <c r="BE380" s="72"/>
      <c r="BF380" s="72"/>
      <c r="BG380" s="72"/>
      <c r="BH380" s="72"/>
      <c r="BI380" s="72"/>
      <c r="BJ380" s="72"/>
      <c r="BK380" s="72"/>
      <c r="BL380" s="72"/>
      <c r="BM380" s="72"/>
      <c r="BN380" s="72"/>
      <c r="BO380" s="72"/>
      <c r="BP380" s="72"/>
      <c r="BQ380" s="72"/>
      <c r="BR380" s="72"/>
      <c r="BS380" s="72"/>
      <c r="BT380" s="72"/>
      <c r="BU380" s="72"/>
      <c r="BV380" s="72"/>
      <c r="BW380" s="72"/>
      <c r="BX380" s="72"/>
      <c r="BY380" s="72"/>
      <c r="BZ380" s="72"/>
      <c r="CA380" s="72"/>
      <c r="CB380" s="72"/>
      <c r="CC380" s="72"/>
      <c r="CD380" s="72"/>
      <c r="CE380" s="72"/>
      <c r="CF380" s="72"/>
      <c r="CG380" s="72"/>
      <c r="CH380" s="72"/>
      <c r="CI380" s="72"/>
      <c r="CJ380" s="72"/>
      <c r="CK380" s="72"/>
      <c r="CL380" s="72"/>
      <c r="CM380" s="72"/>
      <c r="CN380" s="72"/>
      <c r="CO380" s="72"/>
      <c r="CP380" s="72"/>
      <c r="CQ380" s="72"/>
      <c r="CR380" s="72"/>
      <c r="CS380" s="72"/>
      <c r="CT380" s="72"/>
      <c r="CU380" s="72"/>
      <c r="CV380" s="72"/>
      <c r="CW380" s="72"/>
      <c r="CX380" s="72"/>
      <c r="CY380" s="72"/>
      <c r="CZ380" s="72"/>
      <c r="DA380" s="72"/>
      <c r="DB380" s="72"/>
      <c r="DC380" s="72"/>
      <c r="DD380" s="72"/>
      <c r="DE380" s="72"/>
      <c r="DF380" s="72"/>
      <c r="DG380" s="72"/>
      <c r="DH380" s="72"/>
      <c r="DI380" s="72"/>
      <c r="DJ380" s="72"/>
      <c r="DK380" s="72"/>
      <c r="DL380" s="72"/>
      <c r="DM380" s="72"/>
      <c r="DN380" s="72"/>
      <c r="DO380" s="72"/>
      <c r="DP380" s="72"/>
      <c r="DQ380" s="72"/>
      <c r="DR380" s="72"/>
      <c r="DS380" s="72"/>
      <c r="DT380" s="72"/>
      <c r="DU380" s="72"/>
      <c r="DV380" s="72"/>
      <c r="DW380" s="72"/>
      <c r="DX380" s="72"/>
      <c r="DY380" s="72"/>
      <c r="DZ380" s="72"/>
      <c r="EA380" s="72"/>
      <c r="EB380" s="72"/>
      <c r="EC380" s="72"/>
      <c r="ED380" s="72"/>
      <c r="EE380" s="72"/>
      <c r="EF380" s="72"/>
      <c r="EG380" s="72"/>
      <c r="EH380" s="72"/>
      <c r="EI380" s="72"/>
      <c r="EJ380" s="72"/>
      <c r="EK380" s="72"/>
      <c r="EL380" s="72"/>
      <c r="EM380" s="72"/>
      <c r="EN380" s="72"/>
      <c r="EO380" s="72"/>
      <c r="EP380" s="72"/>
      <c r="EQ380" s="72"/>
      <c r="ER380" s="72"/>
      <c r="ES380" s="72"/>
      <c r="ET380" s="72"/>
      <c r="EU380" s="72"/>
      <c r="EV380" s="72"/>
      <c r="EW380" s="72"/>
      <c r="EX380" s="72"/>
      <c r="EY380" s="72"/>
      <c r="EZ380" s="72"/>
      <c r="FA380" s="72"/>
      <c r="FB380" s="72"/>
      <c r="FC380" s="72"/>
      <c r="FD380" s="72"/>
      <c r="FE380" s="72"/>
      <c r="FF380" s="72"/>
      <c r="FG380" s="72"/>
      <c r="FH380" s="72"/>
      <c r="FI380" s="72"/>
      <c r="FJ380" s="72"/>
      <c r="FK380" s="72"/>
      <c r="FL380" s="72"/>
      <c r="FM380" s="72"/>
      <c r="FN380" s="72"/>
      <c r="FO380" s="72"/>
      <c r="FP380" s="72"/>
      <c r="FQ380" s="72"/>
      <c r="FR380" s="72"/>
      <c r="FS380" s="72"/>
      <c r="FT380" s="72"/>
      <c r="FU380" s="72"/>
      <c r="FV380" s="72"/>
      <c r="FW380" s="72"/>
      <c r="FX380" s="72"/>
      <c r="FY380" s="72"/>
      <c r="FZ380" s="72"/>
      <c r="GA380" s="72"/>
      <c r="GB380" s="72"/>
      <c r="GC380" s="72"/>
      <c r="GD380" s="72"/>
      <c r="GE380" s="72"/>
      <c r="GF380" s="72"/>
      <c r="GG380" s="72"/>
      <c r="GH380" s="72"/>
      <c r="GI380" s="72"/>
      <c r="GJ380" s="72"/>
      <c r="GK380" s="72"/>
      <c r="GL380" s="72"/>
      <c r="GM380" s="72"/>
      <c r="GN380" s="72"/>
      <c r="GO380" s="72"/>
      <c r="GP380" s="72"/>
      <c r="GQ380" s="72"/>
      <c r="GR380" s="72"/>
      <c r="GS380" s="72"/>
      <c r="GT380" s="72"/>
      <c r="GU380" s="72"/>
      <c r="GV380" s="72"/>
      <c r="GW380" s="72"/>
      <c r="GX380" s="72"/>
      <c r="GY380" s="72"/>
      <c r="GZ380" s="72"/>
      <c r="HA380" s="72"/>
      <c r="HB380" s="72"/>
      <c r="HC380" s="72"/>
      <c r="HD380" s="72"/>
      <c r="HE380" s="72"/>
      <c r="HF380" s="72"/>
      <c r="HG380" s="72"/>
      <c r="HH380" s="72"/>
      <c r="HI380" s="72"/>
      <c r="HJ380" s="72"/>
      <c r="HK380" s="72"/>
      <c r="HL380" s="72"/>
      <c r="HM380" s="72"/>
      <c r="HN380" s="72"/>
      <c r="HO380" s="72"/>
      <c r="HP380" s="72"/>
      <c r="HQ380" s="72"/>
      <c r="HR380" s="72"/>
      <c r="HS380" s="72"/>
      <c r="HT380" s="72"/>
      <c r="HU380" s="72"/>
      <c r="HV380" s="72"/>
      <c r="HW380" s="72"/>
      <c r="HX380" s="72"/>
      <c r="HY380" s="72"/>
      <c r="HZ380" s="72"/>
      <c r="IA380" s="72"/>
      <c r="IB380" s="72"/>
      <c r="IC380" s="72"/>
      <c r="ID380" s="72"/>
      <c r="IE380" s="72"/>
      <c r="IF380" s="72"/>
      <c r="IG380" s="72"/>
      <c r="IH380" s="72"/>
      <c r="II380" s="72"/>
      <c r="IJ380" s="72"/>
      <c r="IK380" s="72"/>
      <c r="IL380" s="72"/>
      <c r="IM380" s="72"/>
      <c r="IN380" s="72"/>
      <c r="IO380" s="72"/>
      <c r="IP380" s="72"/>
      <c r="IQ380" s="72"/>
      <c r="IR380" s="72"/>
      <c r="IS380" s="72"/>
      <c r="IT380" s="72"/>
      <c r="IU380" s="72"/>
      <c r="IV380" s="72"/>
    </row>
    <row r="381" ht="15">
      <c r="A381" t="s">
        <v>231</v>
      </c>
    </row>
    <row r="383" spans="2:4" ht="15">
      <c r="B383" s="29" t="s">
        <v>115</v>
      </c>
      <c r="C383" s="29" t="s">
        <v>116</v>
      </c>
      <c r="D383" s="29" t="s">
        <v>116</v>
      </c>
    </row>
    <row r="384" spans="2:5" ht="15">
      <c r="B384" s="29"/>
      <c r="C384" s="29" t="s">
        <v>117</v>
      </c>
      <c r="D384" s="29" t="s">
        <v>118</v>
      </c>
      <c r="E384" s="29" t="s">
        <v>119</v>
      </c>
    </row>
    <row r="385" spans="2:4" ht="15">
      <c r="B385" s="29"/>
      <c r="C385" s="29"/>
      <c r="D385" s="29"/>
    </row>
    <row r="386" spans="1:5" ht="15">
      <c r="A386" t="s">
        <v>232</v>
      </c>
      <c r="B386">
        <f>858350</f>
        <v>858350</v>
      </c>
      <c r="C386" s="28">
        <f aca="true" t="shared" si="115" ref="C386:C393">0.032/12</f>
        <v>0.0026666666666666666</v>
      </c>
      <c r="D386">
        <f>ROUND(B386*C386/2,0)</f>
        <v>1144</v>
      </c>
      <c r="E386">
        <f>D386</f>
        <v>1144</v>
      </c>
    </row>
    <row r="387" spans="1:5" ht="15">
      <c r="A387" t="s">
        <v>233</v>
      </c>
      <c r="B387">
        <f>B386+37469</f>
        <v>895819</v>
      </c>
      <c r="C387" s="28">
        <f t="shared" si="115"/>
        <v>0.0026666666666666666</v>
      </c>
      <c r="D387">
        <f>ROUND((B386*C387),0)+ROUND(37469*C387/2,0)</f>
        <v>2339</v>
      </c>
      <c r="E387">
        <f>E386+D387</f>
        <v>3483</v>
      </c>
    </row>
    <row r="388" spans="1:5" ht="15">
      <c r="A388" t="s">
        <v>234</v>
      </c>
      <c r="B388">
        <f>B387+77855</f>
        <v>973674</v>
      </c>
      <c r="C388" s="28">
        <f t="shared" si="115"/>
        <v>0.0026666666666666666</v>
      </c>
      <c r="D388">
        <f>ROUND((B387*C388),0)+ROUND(77855*C388/2,0)</f>
        <v>2493</v>
      </c>
      <c r="E388">
        <f aca="true" t="shared" si="116" ref="E388:E393">E387+D388</f>
        <v>5976</v>
      </c>
    </row>
    <row r="389" spans="1:5" ht="15">
      <c r="A389" t="s">
        <v>235</v>
      </c>
      <c r="B389">
        <f>B388+9396</f>
        <v>983070</v>
      </c>
      <c r="C389" s="28">
        <f t="shared" si="115"/>
        <v>0.0026666666666666666</v>
      </c>
      <c r="D389">
        <f>ROUND((B388*C389),0)+ROUND(9396*C389/2,0)</f>
        <v>2609</v>
      </c>
      <c r="E389">
        <f t="shared" si="116"/>
        <v>8585</v>
      </c>
    </row>
    <row r="390" spans="1:5" ht="15">
      <c r="A390" t="s">
        <v>236</v>
      </c>
      <c r="B390">
        <f>B389+1428</f>
        <v>984498</v>
      </c>
      <c r="C390" s="28">
        <f t="shared" si="115"/>
        <v>0.0026666666666666666</v>
      </c>
      <c r="D390">
        <f>ROUND((B389*C390),0)+ROUND(1428*C390/2,0)</f>
        <v>2624</v>
      </c>
      <c r="E390">
        <f t="shared" si="116"/>
        <v>11209</v>
      </c>
    </row>
    <row r="391" spans="1:5" ht="15">
      <c r="A391" t="s">
        <v>237</v>
      </c>
      <c r="B391">
        <f>B390+296</f>
        <v>984794</v>
      </c>
      <c r="C391" s="28">
        <f t="shared" si="115"/>
        <v>0.0026666666666666666</v>
      </c>
      <c r="D391">
        <f>ROUND((B390*C391),0)+ROUND(296*C391/2,0)</f>
        <v>2625</v>
      </c>
      <c r="E391">
        <f t="shared" si="116"/>
        <v>13834</v>
      </c>
    </row>
    <row r="392" spans="1:5" ht="15">
      <c r="A392" t="s">
        <v>238</v>
      </c>
      <c r="B392">
        <f>B391</f>
        <v>984794</v>
      </c>
      <c r="C392" s="28">
        <f t="shared" si="115"/>
        <v>0.0026666666666666666</v>
      </c>
      <c r="D392">
        <f>ROUND((B392*C392),0)</f>
        <v>2626</v>
      </c>
      <c r="E392">
        <f t="shared" si="116"/>
        <v>16460</v>
      </c>
    </row>
    <row r="393" spans="1:5" ht="15">
      <c r="A393" t="s">
        <v>218</v>
      </c>
      <c r="B393">
        <f>B392</f>
        <v>984794</v>
      </c>
      <c r="C393" s="28">
        <f t="shared" si="115"/>
        <v>0.0026666666666666666</v>
      </c>
      <c r="D393">
        <f>ROUND((B393*C393),0)</f>
        <v>2626</v>
      </c>
      <c r="E393">
        <f t="shared" si="116"/>
        <v>19086</v>
      </c>
    </row>
    <row r="394" ht="15">
      <c r="C394" s="28"/>
    </row>
    <row r="395" spans="1:5" ht="15">
      <c r="A395" s="33" t="s">
        <v>219</v>
      </c>
      <c r="B395">
        <f>B393</f>
        <v>984794</v>
      </c>
      <c r="C395" s="28">
        <f>0.033/12</f>
        <v>0.0027500000000000003</v>
      </c>
      <c r="D395" s="47">
        <f aca="true" t="shared" si="117" ref="D395:D406">ROUND((B395*C395),0)</f>
        <v>2708</v>
      </c>
      <c r="E395">
        <f>D395+E393</f>
        <v>21794</v>
      </c>
    </row>
    <row r="396" spans="1:5" ht="15">
      <c r="A396" t="s">
        <v>220</v>
      </c>
      <c r="B396">
        <f aca="true" t="shared" si="118" ref="B396:B406">B395</f>
        <v>984794</v>
      </c>
      <c r="C396" s="28">
        <f aca="true" t="shared" si="119" ref="C396:C406">0.033/12</f>
        <v>0.0027500000000000003</v>
      </c>
      <c r="D396" s="47">
        <f t="shared" si="117"/>
        <v>2708</v>
      </c>
      <c r="E396">
        <f aca="true" t="shared" si="120" ref="E396:E406">ROUND(+E395+D396,0)</f>
        <v>24502</v>
      </c>
    </row>
    <row r="397" spans="1:5" ht="15">
      <c r="A397" t="s">
        <v>221</v>
      </c>
      <c r="B397">
        <f t="shared" si="118"/>
        <v>984794</v>
      </c>
      <c r="C397" s="28">
        <f t="shared" si="119"/>
        <v>0.0027500000000000003</v>
      </c>
      <c r="D397" s="47">
        <f t="shared" si="117"/>
        <v>2708</v>
      </c>
      <c r="E397">
        <f t="shared" si="120"/>
        <v>27210</v>
      </c>
    </row>
    <row r="398" spans="1:5" ht="15">
      <c r="A398" t="s">
        <v>222</v>
      </c>
      <c r="B398">
        <f t="shared" si="118"/>
        <v>984794</v>
      </c>
      <c r="C398" s="28">
        <f t="shared" si="119"/>
        <v>0.0027500000000000003</v>
      </c>
      <c r="D398" s="47">
        <f t="shared" si="117"/>
        <v>2708</v>
      </c>
      <c r="E398">
        <f t="shared" si="120"/>
        <v>29918</v>
      </c>
    </row>
    <row r="399" spans="1:5" ht="15">
      <c r="A399" t="s">
        <v>223</v>
      </c>
      <c r="B399">
        <f t="shared" si="118"/>
        <v>984794</v>
      </c>
      <c r="C399" s="28">
        <f t="shared" si="119"/>
        <v>0.0027500000000000003</v>
      </c>
      <c r="D399" s="47">
        <f t="shared" si="117"/>
        <v>2708</v>
      </c>
      <c r="E399">
        <f t="shared" si="120"/>
        <v>32626</v>
      </c>
    </row>
    <row r="400" spans="1:5" ht="15">
      <c r="A400" t="s">
        <v>224</v>
      </c>
      <c r="B400">
        <f t="shared" si="118"/>
        <v>984794</v>
      </c>
      <c r="C400" s="28">
        <f t="shared" si="119"/>
        <v>0.0027500000000000003</v>
      </c>
      <c r="D400" s="47">
        <f t="shared" si="117"/>
        <v>2708</v>
      </c>
      <c r="E400">
        <f t="shared" si="120"/>
        <v>35334</v>
      </c>
    </row>
    <row r="401" spans="1:5" ht="15">
      <c r="A401" t="s">
        <v>225</v>
      </c>
      <c r="B401">
        <f t="shared" si="118"/>
        <v>984794</v>
      </c>
      <c r="C401" s="28">
        <f t="shared" si="119"/>
        <v>0.0027500000000000003</v>
      </c>
      <c r="D401" s="47">
        <f t="shared" si="117"/>
        <v>2708</v>
      </c>
      <c r="E401">
        <f t="shared" si="120"/>
        <v>38042</v>
      </c>
    </row>
    <row r="402" spans="1:5" ht="15">
      <c r="A402" t="s">
        <v>226</v>
      </c>
      <c r="B402">
        <f t="shared" si="118"/>
        <v>984794</v>
      </c>
      <c r="C402" s="28">
        <f t="shared" si="119"/>
        <v>0.0027500000000000003</v>
      </c>
      <c r="D402" s="47">
        <f t="shared" si="117"/>
        <v>2708</v>
      </c>
      <c r="E402">
        <f t="shared" si="120"/>
        <v>40750</v>
      </c>
    </row>
    <row r="403" spans="1:5" ht="15">
      <c r="A403" t="s">
        <v>227</v>
      </c>
      <c r="B403">
        <f t="shared" si="118"/>
        <v>984794</v>
      </c>
      <c r="C403" s="28">
        <f t="shared" si="119"/>
        <v>0.0027500000000000003</v>
      </c>
      <c r="D403" s="47">
        <f t="shared" si="117"/>
        <v>2708</v>
      </c>
      <c r="E403">
        <f t="shared" si="120"/>
        <v>43458</v>
      </c>
    </row>
    <row r="404" spans="1:5" ht="15">
      <c r="A404" t="s">
        <v>228</v>
      </c>
      <c r="B404">
        <f t="shared" si="118"/>
        <v>984794</v>
      </c>
      <c r="C404" s="28">
        <f t="shared" si="119"/>
        <v>0.0027500000000000003</v>
      </c>
      <c r="D404" s="47">
        <f t="shared" si="117"/>
        <v>2708</v>
      </c>
      <c r="E404">
        <f t="shared" si="120"/>
        <v>46166</v>
      </c>
    </row>
    <row r="405" spans="1:5" ht="15">
      <c r="A405" t="s">
        <v>229</v>
      </c>
      <c r="B405">
        <f t="shared" si="118"/>
        <v>984794</v>
      </c>
      <c r="C405" s="28">
        <f t="shared" si="119"/>
        <v>0.0027500000000000003</v>
      </c>
      <c r="D405" s="47">
        <f t="shared" si="117"/>
        <v>2708</v>
      </c>
      <c r="E405">
        <f t="shared" si="120"/>
        <v>48874</v>
      </c>
    </row>
    <row r="406" spans="1:5" ht="15">
      <c r="A406" t="s">
        <v>230</v>
      </c>
      <c r="B406">
        <f t="shared" si="118"/>
        <v>984794</v>
      </c>
      <c r="C406" s="28">
        <f t="shared" si="119"/>
        <v>0.0027500000000000003</v>
      </c>
      <c r="D406" s="47">
        <f t="shared" si="117"/>
        <v>2708</v>
      </c>
      <c r="E406">
        <f t="shared" si="120"/>
        <v>51582</v>
      </c>
    </row>
    <row r="408" spans="1:5" ht="15">
      <c r="A408" s="33" t="s">
        <v>312</v>
      </c>
      <c r="B408">
        <f>B406</f>
        <v>984794</v>
      </c>
      <c r="C408" s="28">
        <f>0.033/12</f>
        <v>0.0027500000000000003</v>
      </c>
      <c r="D408" s="47">
        <f aca="true" t="shared" si="121" ref="D408:D419">ROUND((B408*C408),0)</f>
        <v>2708</v>
      </c>
      <c r="E408">
        <f>ROUND(+E406+D408,0)</f>
        <v>54290</v>
      </c>
    </row>
    <row r="409" spans="1:5" ht="15">
      <c r="A409" t="s">
        <v>313</v>
      </c>
      <c r="B409">
        <f>B408</f>
        <v>984794</v>
      </c>
      <c r="C409" s="28">
        <f aca="true" t="shared" si="122" ref="C409:C419">0.033/12</f>
        <v>0.0027500000000000003</v>
      </c>
      <c r="D409" s="47">
        <f t="shared" si="121"/>
        <v>2708</v>
      </c>
      <c r="E409">
        <f>ROUND(+E408+D409,0)</f>
        <v>56998</v>
      </c>
    </row>
    <row r="410" spans="1:5" ht="15">
      <c r="A410" t="s">
        <v>314</v>
      </c>
      <c r="B410">
        <f aca="true" t="shared" si="123" ref="B410:B419">B409</f>
        <v>984794</v>
      </c>
      <c r="C410" s="28">
        <f t="shared" si="122"/>
        <v>0.0027500000000000003</v>
      </c>
      <c r="D410" s="47">
        <f t="shared" si="121"/>
        <v>2708</v>
      </c>
      <c r="E410">
        <f aca="true" t="shared" si="124" ref="E410:E419">ROUND(+E409+D410,0)</f>
        <v>59706</v>
      </c>
    </row>
    <row r="411" spans="1:5" ht="15">
      <c r="A411" t="s">
        <v>315</v>
      </c>
      <c r="B411">
        <f t="shared" si="123"/>
        <v>984794</v>
      </c>
      <c r="C411" s="28">
        <f t="shared" si="122"/>
        <v>0.0027500000000000003</v>
      </c>
      <c r="D411" s="47">
        <f t="shared" si="121"/>
        <v>2708</v>
      </c>
      <c r="E411">
        <f t="shared" si="124"/>
        <v>62414</v>
      </c>
    </row>
    <row r="412" spans="1:5" ht="15">
      <c r="A412" t="s">
        <v>304</v>
      </c>
      <c r="B412">
        <f t="shared" si="123"/>
        <v>984794</v>
      </c>
      <c r="C412" s="28">
        <f t="shared" si="122"/>
        <v>0.0027500000000000003</v>
      </c>
      <c r="D412" s="47">
        <f t="shared" si="121"/>
        <v>2708</v>
      </c>
      <c r="E412">
        <f t="shared" si="124"/>
        <v>65122</v>
      </c>
    </row>
    <row r="413" spans="1:5" ht="15">
      <c r="A413" t="s">
        <v>316</v>
      </c>
      <c r="B413">
        <f t="shared" si="123"/>
        <v>984794</v>
      </c>
      <c r="C413" s="28">
        <f t="shared" si="122"/>
        <v>0.0027500000000000003</v>
      </c>
      <c r="D413" s="47">
        <f t="shared" si="121"/>
        <v>2708</v>
      </c>
      <c r="E413">
        <f t="shared" si="124"/>
        <v>67830</v>
      </c>
    </row>
    <row r="414" spans="1:5" ht="15">
      <c r="A414" t="s">
        <v>317</v>
      </c>
      <c r="B414">
        <f t="shared" si="123"/>
        <v>984794</v>
      </c>
      <c r="C414" s="28">
        <f t="shared" si="122"/>
        <v>0.0027500000000000003</v>
      </c>
      <c r="D414" s="47">
        <f t="shared" si="121"/>
        <v>2708</v>
      </c>
      <c r="E414">
        <f t="shared" si="124"/>
        <v>70538</v>
      </c>
    </row>
    <row r="415" spans="1:5" ht="15">
      <c r="A415" t="s">
        <v>318</v>
      </c>
      <c r="B415">
        <f t="shared" si="123"/>
        <v>984794</v>
      </c>
      <c r="C415" s="28">
        <f t="shared" si="122"/>
        <v>0.0027500000000000003</v>
      </c>
      <c r="D415" s="47">
        <f t="shared" si="121"/>
        <v>2708</v>
      </c>
      <c r="E415">
        <f t="shared" si="124"/>
        <v>73246</v>
      </c>
    </row>
    <row r="416" spans="1:5" ht="15">
      <c r="A416" t="s">
        <v>319</v>
      </c>
      <c r="B416">
        <f t="shared" si="123"/>
        <v>984794</v>
      </c>
      <c r="C416" s="28">
        <f t="shared" si="122"/>
        <v>0.0027500000000000003</v>
      </c>
      <c r="D416" s="47">
        <f t="shared" si="121"/>
        <v>2708</v>
      </c>
      <c r="E416">
        <f t="shared" si="124"/>
        <v>75954</v>
      </c>
    </row>
    <row r="417" spans="1:5" ht="15">
      <c r="A417" t="s">
        <v>320</v>
      </c>
      <c r="B417">
        <f t="shared" si="123"/>
        <v>984794</v>
      </c>
      <c r="C417" s="28">
        <f t="shared" si="122"/>
        <v>0.0027500000000000003</v>
      </c>
      <c r="D417" s="47">
        <f t="shared" si="121"/>
        <v>2708</v>
      </c>
      <c r="E417">
        <f t="shared" si="124"/>
        <v>78662</v>
      </c>
    </row>
    <row r="418" spans="1:5" ht="15">
      <c r="A418" t="s">
        <v>321</v>
      </c>
      <c r="B418">
        <f t="shared" si="123"/>
        <v>984794</v>
      </c>
      <c r="C418" s="28">
        <f t="shared" si="122"/>
        <v>0.0027500000000000003</v>
      </c>
      <c r="D418" s="47">
        <f t="shared" si="121"/>
        <v>2708</v>
      </c>
      <c r="E418">
        <f t="shared" si="124"/>
        <v>81370</v>
      </c>
    </row>
    <row r="419" spans="1:5" ht="15">
      <c r="A419" t="s">
        <v>322</v>
      </c>
      <c r="B419">
        <f t="shared" si="123"/>
        <v>984794</v>
      </c>
      <c r="C419" s="28">
        <f t="shared" si="122"/>
        <v>0.0027500000000000003</v>
      </c>
      <c r="D419" s="47">
        <f t="shared" si="121"/>
        <v>2708</v>
      </c>
      <c r="E419">
        <f t="shared" si="124"/>
        <v>84078</v>
      </c>
    </row>
    <row r="421" spans="1:5" ht="15">
      <c r="A421" s="33" t="s">
        <v>346</v>
      </c>
      <c r="B421">
        <f>B419</f>
        <v>984794</v>
      </c>
      <c r="C421" s="28">
        <f>0.033/12</f>
        <v>0.0027500000000000003</v>
      </c>
      <c r="D421" s="47">
        <f aca="true" t="shared" si="125" ref="D421:D432">ROUND((B421*C421),0)</f>
        <v>2708</v>
      </c>
      <c r="E421">
        <f>ROUND(+E419+D421,0)</f>
        <v>86786</v>
      </c>
    </row>
    <row r="422" spans="1:5" ht="15">
      <c r="A422" t="s">
        <v>347</v>
      </c>
      <c r="B422">
        <f>B421</f>
        <v>984794</v>
      </c>
      <c r="C422" s="28">
        <f aca="true" t="shared" si="126" ref="C422:C432">0.033/12</f>
        <v>0.0027500000000000003</v>
      </c>
      <c r="D422" s="47">
        <f t="shared" si="125"/>
        <v>2708</v>
      </c>
      <c r="E422">
        <f>ROUND(+E421+D422,0)</f>
        <v>89494</v>
      </c>
    </row>
    <row r="423" spans="1:5" ht="15">
      <c r="A423" t="s">
        <v>348</v>
      </c>
      <c r="B423">
        <f aca="true" t="shared" si="127" ref="B423:B432">B422</f>
        <v>984794</v>
      </c>
      <c r="C423" s="28">
        <f t="shared" si="126"/>
        <v>0.0027500000000000003</v>
      </c>
      <c r="D423" s="47">
        <f t="shared" si="125"/>
        <v>2708</v>
      </c>
      <c r="E423">
        <f aca="true" t="shared" si="128" ref="E423:E432">ROUND(+E422+D423,0)</f>
        <v>92202</v>
      </c>
    </row>
    <row r="424" spans="1:5" ht="15">
      <c r="A424" t="s">
        <v>349</v>
      </c>
      <c r="B424">
        <f t="shared" si="127"/>
        <v>984794</v>
      </c>
      <c r="C424" s="28">
        <f t="shared" si="126"/>
        <v>0.0027500000000000003</v>
      </c>
      <c r="D424" s="47">
        <f t="shared" si="125"/>
        <v>2708</v>
      </c>
      <c r="E424">
        <f t="shared" si="128"/>
        <v>94910</v>
      </c>
    </row>
    <row r="425" spans="1:5" ht="15">
      <c r="A425" t="s">
        <v>345</v>
      </c>
      <c r="B425">
        <f t="shared" si="127"/>
        <v>984794</v>
      </c>
      <c r="C425" s="28">
        <f t="shared" si="126"/>
        <v>0.0027500000000000003</v>
      </c>
      <c r="D425" s="47">
        <f t="shared" si="125"/>
        <v>2708</v>
      </c>
      <c r="E425">
        <f t="shared" si="128"/>
        <v>97618</v>
      </c>
    </row>
    <row r="426" spans="1:5" ht="15">
      <c r="A426" t="s">
        <v>350</v>
      </c>
      <c r="B426">
        <f t="shared" si="127"/>
        <v>984794</v>
      </c>
      <c r="C426" s="28">
        <f t="shared" si="126"/>
        <v>0.0027500000000000003</v>
      </c>
      <c r="D426" s="47">
        <f t="shared" si="125"/>
        <v>2708</v>
      </c>
      <c r="E426">
        <f t="shared" si="128"/>
        <v>100326</v>
      </c>
    </row>
    <row r="427" spans="1:5" ht="15">
      <c r="A427" t="s">
        <v>351</v>
      </c>
      <c r="B427">
        <f t="shared" si="127"/>
        <v>984794</v>
      </c>
      <c r="C427" s="28">
        <f t="shared" si="126"/>
        <v>0.0027500000000000003</v>
      </c>
      <c r="D427" s="47">
        <f t="shared" si="125"/>
        <v>2708</v>
      </c>
      <c r="E427">
        <f t="shared" si="128"/>
        <v>103034</v>
      </c>
    </row>
    <row r="428" spans="1:5" ht="15">
      <c r="A428" t="s">
        <v>352</v>
      </c>
      <c r="B428">
        <f t="shared" si="127"/>
        <v>984794</v>
      </c>
      <c r="C428" s="28">
        <f t="shared" si="126"/>
        <v>0.0027500000000000003</v>
      </c>
      <c r="D428" s="47">
        <f t="shared" si="125"/>
        <v>2708</v>
      </c>
      <c r="E428">
        <f t="shared" si="128"/>
        <v>105742</v>
      </c>
    </row>
    <row r="429" spans="1:5" ht="15">
      <c r="A429" t="s">
        <v>353</v>
      </c>
      <c r="B429">
        <f t="shared" si="127"/>
        <v>984794</v>
      </c>
      <c r="C429" s="28">
        <f t="shared" si="126"/>
        <v>0.0027500000000000003</v>
      </c>
      <c r="D429" s="47">
        <f t="shared" si="125"/>
        <v>2708</v>
      </c>
      <c r="E429">
        <f t="shared" si="128"/>
        <v>108450</v>
      </c>
    </row>
    <row r="430" spans="1:5" ht="15">
      <c r="A430" t="s">
        <v>354</v>
      </c>
      <c r="B430">
        <f t="shared" si="127"/>
        <v>984794</v>
      </c>
      <c r="C430" s="28">
        <f t="shared" si="126"/>
        <v>0.0027500000000000003</v>
      </c>
      <c r="D430" s="47">
        <f t="shared" si="125"/>
        <v>2708</v>
      </c>
      <c r="E430">
        <f t="shared" si="128"/>
        <v>111158</v>
      </c>
    </row>
    <row r="431" spans="1:5" ht="15">
      <c r="A431" t="s">
        <v>355</v>
      </c>
      <c r="B431">
        <f t="shared" si="127"/>
        <v>984794</v>
      </c>
      <c r="C431" s="28">
        <f t="shared" si="126"/>
        <v>0.0027500000000000003</v>
      </c>
      <c r="D431" s="47">
        <f t="shared" si="125"/>
        <v>2708</v>
      </c>
      <c r="E431">
        <f t="shared" si="128"/>
        <v>113866</v>
      </c>
    </row>
    <row r="432" spans="1:5" ht="15">
      <c r="A432" t="s">
        <v>356</v>
      </c>
      <c r="B432">
        <f t="shared" si="127"/>
        <v>984794</v>
      </c>
      <c r="C432" s="28">
        <f t="shared" si="126"/>
        <v>0.0027500000000000003</v>
      </c>
      <c r="D432" s="47">
        <f t="shared" si="125"/>
        <v>2708</v>
      </c>
      <c r="E432">
        <f t="shared" si="128"/>
        <v>116574</v>
      </c>
    </row>
    <row r="434" spans="1:5" ht="15">
      <c r="A434" s="73" t="s">
        <v>423</v>
      </c>
      <c r="B434">
        <f>B432</f>
        <v>984794</v>
      </c>
      <c r="C434" s="28">
        <f>0.033/12</f>
        <v>0.0027500000000000003</v>
      </c>
      <c r="D434" s="47">
        <f aca="true" t="shared" si="129" ref="D434:D445">ROUND((B434*C434),0)</f>
        <v>2708</v>
      </c>
      <c r="E434">
        <f>ROUND(+E432+D434,0)</f>
        <v>119282</v>
      </c>
    </row>
    <row r="435" spans="1:5" ht="15">
      <c r="A435" s="72" t="s">
        <v>424</v>
      </c>
      <c r="B435">
        <f>B434</f>
        <v>984794</v>
      </c>
      <c r="C435" s="28">
        <f aca="true" t="shared" si="130" ref="C435:C445">0.033/12</f>
        <v>0.0027500000000000003</v>
      </c>
      <c r="D435" s="47">
        <f t="shared" si="129"/>
        <v>2708</v>
      </c>
      <c r="E435">
        <f>ROUND(+E434+D435,0)</f>
        <v>121990</v>
      </c>
    </row>
    <row r="436" spans="1:5" ht="15">
      <c r="A436" s="72" t="s">
        <v>425</v>
      </c>
      <c r="B436">
        <f aca="true" t="shared" si="131" ref="B436:B445">B435</f>
        <v>984794</v>
      </c>
      <c r="C436" s="28">
        <f t="shared" si="130"/>
        <v>0.0027500000000000003</v>
      </c>
      <c r="D436" s="47">
        <f t="shared" si="129"/>
        <v>2708</v>
      </c>
      <c r="E436">
        <f aca="true" t="shared" si="132" ref="E436:E445">ROUND(+E435+D436,0)</f>
        <v>124698</v>
      </c>
    </row>
    <row r="437" spans="1:5" ht="15">
      <c r="A437" s="72" t="s">
        <v>426</v>
      </c>
      <c r="B437">
        <f t="shared" si="131"/>
        <v>984794</v>
      </c>
      <c r="C437" s="28">
        <f t="shared" si="130"/>
        <v>0.0027500000000000003</v>
      </c>
      <c r="D437" s="47">
        <f t="shared" si="129"/>
        <v>2708</v>
      </c>
      <c r="E437">
        <f t="shared" si="132"/>
        <v>127406</v>
      </c>
    </row>
    <row r="438" spans="1:5" ht="15">
      <c r="A438" s="72" t="s">
        <v>410</v>
      </c>
      <c r="B438">
        <f t="shared" si="131"/>
        <v>984794</v>
      </c>
      <c r="C438" s="28">
        <f t="shared" si="130"/>
        <v>0.0027500000000000003</v>
      </c>
      <c r="D438" s="47">
        <f t="shared" si="129"/>
        <v>2708</v>
      </c>
      <c r="E438">
        <f t="shared" si="132"/>
        <v>130114</v>
      </c>
    </row>
    <row r="439" spans="1:5" ht="15">
      <c r="A439" s="72" t="s">
        <v>427</v>
      </c>
      <c r="B439">
        <f t="shared" si="131"/>
        <v>984794</v>
      </c>
      <c r="C439" s="28">
        <f t="shared" si="130"/>
        <v>0.0027500000000000003</v>
      </c>
      <c r="D439" s="47">
        <f t="shared" si="129"/>
        <v>2708</v>
      </c>
      <c r="E439">
        <f t="shared" si="132"/>
        <v>132822</v>
      </c>
    </row>
    <row r="440" spans="1:5" ht="15">
      <c r="A440" s="72" t="s">
        <v>428</v>
      </c>
      <c r="B440">
        <f t="shared" si="131"/>
        <v>984794</v>
      </c>
      <c r="C440" s="28">
        <f t="shared" si="130"/>
        <v>0.0027500000000000003</v>
      </c>
      <c r="D440" s="47">
        <f t="shared" si="129"/>
        <v>2708</v>
      </c>
      <c r="E440">
        <f t="shared" si="132"/>
        <v>135530</v>
      </c>
    </row>
    <row r="441" spans="1:5" ht="15">
      <c r="A441" s="72" t="s">
        <v>429</v>
      </c>
      <c r="B441">
        <f t="shared" si="131"/>
        <v>984794</v>
      </c>
      <c r="C441" s="28">
        <f t="shared" si="130"/>
        <v>0.0027500000000000003</v>
      </c>
      <c r="D441" s="47">
        <f t="shared" si="129"/>
        <v>2708</v>
      </c>
      <c r="E441">
        <f t="shared" si="132"/>
        <v>138238</v>
      </c>
    </row>
    <row r="442" spans="1:5" ht="15">
      <c r="A442" s="72" t="s">
        <v>430</v>
      </c>
      <c r="B442">
        <f t="shared" si="131"/>
        <v>984794</v>
      </c>
      <c r="C442" s="28">
        <f t="shared" si="130"/>
        <v>0.0027500000000000003</v>
      </c>
      <c r="D442" s="47">
        <f t="shared" si="129"/>
        <v>2708</v>
      </c>
      <c r="E442">
        <f t="shared" si="132"/>
        <v>140946</v>
      </c>
    </row>
    <row r="443" spans="1:5" ht="15">
      <c r="A443" s="72" t="s">
        <v>431</v>
      </c>
      <c r="B443">
        <f t="shared" si="131"/>
        <v>984794</v>
      </c>
      <c r="C443" s="28">
        <f t="shared" si="130"/>
        <v>0.0027500000000000003</v>
      </c>
      <c r="D443" s="47">
        <f t="shared" si="129"/>
        <v>2708</v>
      </c>
      <c r="E443">
        <f t="shared" si="132"/>
        <v>143654</v>
      </c>
    </row>
    <row r="444" spans="1:5" ht="15">
      <c r="A444" s="72" t="s">
        <v>432</v>
      </c>
      <c r="B444">
        <f t="shared" si="131"/>
        <v>984794</v>
      </c>
      <c r="C444" s="28">
        <f t="shared" si="130"/>
        <v>0.0027500000000000003</v>
      </c>
      <c r="D444" s="47">
        <f t="shared" si="129"/>
        <v>2708</v>
      </c>
      <c r="E444">
        <f t="shared" si="132"/>
        <v>146362</v>
      </c>
    </row>
    <row r="445" spans="1:5" ht="15">
      <c r="A445" s="72" t="s">
        <v>433</v>
      </c>
      <c r="B445">
        <f t="shared" si="131"/>
        <v>984794</v>
      </c>
      <c r="C445" s="28">
        <f t="shared" si="130"/>
        <v>0.0027500000000000003</v>
      </c>
      <c r="D445" s="47">
        <f t="shared" si="129"/>
        <v>2708</v>
      </c>
      <c r="E445">
        <f t="shared" si="132"/>
        <v>149070</v>
      </c>
    </row>
    <row r="448" ht="15">
      <c r="A448" t="s">
        <v>239</v>
      </c>
    </row>
    <row r="450" spans="2:4" ht="15">
      <c r="B450" s="29" t="s">
        <v>115</v>
      </c>
      <c r="C450" s="29" t="s">
        <v>116</v>
      </c>
      <c r="D450" s="29" t="s">
        <v>116</v>
      </c>
    </row>
    <row r="451" spans="3:5" ht="15">
      <c r="C451" s="29" t="s">
        <v>117</v>
      </c>
      <c r="D451" s="29" t="s">
        <v>118</v>
      </c>
      <c r="E451" s="29" t="s">
        <v>119</v>
      </c>
    </row>
    <row r="453" spans="1:5" ht="15">
      <c r="A453" s="33" t="s">
        <v>240</v>
      </c>
      <c r="B453">
        <f>397036+77935</f>
        <v>474971</v>
      </c>
      <c r="C453" s="28">
        <f>0.039/12</f>
        <v>0.00325</v>
      </c>
      <c r="D453">
        <f>ROUND((B453*C453)/2,0)</f>
        <v>772</v>
      </c>
      <c r="E453">
        <f>D453</f>
        <v>772</v>
      </c>
    </row>
    <row r="454" spans="1:6" ht="15">
      <c r="A454" t="s">
        <v>241</v>
      </c>
      <c r="B454">
        <f>$B$453+82874</f>
        <v>557845</v>
      </c>
      <c r="C454" s="28">
        <f aca="true" t="shared" si="133" ref="C454:C464">0.039/12</f>
        <v>0.00325</v>
      </c>
      <c r="D454">
        <f>ROUND((B453*C454),0)+ROUND(82874*C454/2,0)</f>
        <v>1679</v>
      </c>
      <c r="E454">
        <f aca="true" t="shared" si="134" ref="E454:E464">ROUND(+E453+D454,0)</f>
        <v>2451</v>
      </c>
      <c r="F454">
        <f>+B454-B453</f>
        <v>82874</v>
      </c>
    </row>
    <row r="455" spans="1:5" ht="15">
      <c r="A455" t="s">
        <v>242</v>
      </c>
      <c r="B455">
        <f>B454+15075</f>
        <v>572920</v>
      </c>
      <c r="C455" s="28">
        <f t="shared" si="133"/>
        <v>0.00325</v>
      </c>
      <c r="D455">
        <f>ROUND((B454*C455),0)+ROUND(15075*C455/2,0)</f>
        <v>1837</v>
      </c>
      <c r="E455">
        <f t="shared" si="134"/>
        <v>4288</v>
      </c>
    </row>
    <row r="456" spans="1:5" ht="15">
      <c r="A456" t="s">
        <v>243</v>
      </c>
      <c r="B456">
        <f>B455+-59097</f>
        <v>513823</v>
      </c>
      <c r="C456" s="28">
        <f t="shared" si="133"/>
        <v>0.00325</v>
      </c>
      <c r="D456">
        <f>ROUND((B455*C456),0)+ROUND(-59097*C456/2,0)</f>
        <v>1766</v>
      </c>
      <c r="E456">
        <f t="shared" si="134"/>
        <v>6054</v>
      </c>
    </row>
    <row r="457" spans="1:5" ht="15">
      <c r="A457" t="s">
        <v>232</v>
      </c>
      <c r="B457">
        <f>B456+98929</f>
        <v>612752</v>
      </c>
      <c r="C457" s="28">
        <f t="shared" si="133"/>
        <v>0.00325</v>
      </c>
      <c r="D457">
        <f>ROUND((B456*C457),0)+ROUND(98929*C457/2,0)</f>
        <v>1831</v>
      </c>
      <c r="E457">
        <f t="shared" si="134"/>
        <v>7885</v>
      </c>
    </row>
    <row r="458" spans="1:5" ht="15">
      <c r="A458" t="s">
        <v>233</v>
      </c>
      <c r="B458">
        <f>B457</f>
        <v>612752</v>
      </c>
      <c r="C458" s="28">
        <f t="shared" si="133"/>
        <v>0.00325</v>
      </c>
      <c r="D458">
        <f>ROUND((B457*C458),0)+ROUND(0*C458/2,0)</f>
        <v>1991</v>
      </c>
      <c r="E458">
        <f t="shared" si="134"/>
        <v>9876</v>
      </c>
    </row>
    <row r="459" spans="1:5" ht="15">
      <c r="A459" t="s">
        <v>234</v>
      </c>
      <c r="B459">
        <f>B458-23000</f>
        <v>589752</v>
      </c>
      <c r="C459" s="28">
        <f t="shared" si="133"/>
        <v>0.00325</v>
      </c>
      <c r="D459">
        <f>ROUND(B458*C458,0)+ROUND(-23000*C459/2,0)</f>
        <v>1954</v>
      </c>
      <c r="E459">
        <f t="shared" si="134"/>
        <v>11830</v>
      </c>
    </row>
    <row r="460" spans="1:5" ht="15">
      <c r="A460" t="s">
        <v>235</v>
      </c>
      <c r="B460">
        <f>B459</f>
        <v>589752</v>
      </c>
      <c r="C460" s="28">
        <f t="shared" si="133"/>
        <v>0.00325</v>
      </c>
      <c r="D460">
        <f>ROUND((B460*C460),0)</f>
        <v>1917</v>
      </c>
      <c r="E460">
        <f t="shared" si="134"/>
        <v>13747</v>
      </c>
    </row>
    <row r="461" spans="1:5" ht="15">
      <c r="A461" t="s">
        <v>236</v>
      </c>
      <c r="B461">
        <f>B460</f>
        <v>589752</v>
      </c>
      <c r="C461" s="28">
        <f t="shared" si="133"/>
        <v>0.00325</v>
      </c>
      <c r="D461">
        <f>ROUND((B461*C461),0)</f>
        <v>1917</v>
      </c>
      <c r="E461">
        <f t="shared" si="134"/>
        <v>15664</v>
      </c>
    </row>
    <row r="462" spans="1:5" ht="15">
      <c r="A462" t="s">
        <v>237</v>
      </c>
      <c r="B462">
        <f>B461</f>
        <v>589752</v>
      </c>
      <c r="C462" s="28">
        <f t="shared" si="133"/>
        <v>0.00325</v>
      </c>
      <c r="D462">
        <f>ROUND((B462*C462),0)</f>
        <v>1917</v>
      </c>
      <c r="E462">
        <f t="shared" si="134"/>
        <v>17581</v>
      </c>
    </row>
    <row r="463" spans="1:5" ht="15">
      <c r="A463" t="s">
        <v>238</v>
      </c>
      <c r="B463">
        <f>B462</f>
        <v>589752</v>
      </c>
      <c r="C463" s="28">
        <f t="shared" si="133"/>
        <v>0.00325</v>
      </c>
      <c r="D463">
        <f>ROUND((B463*C463),0)</f>
        <v>1917</v>
      </c>
      <c r="E463">
        <f t="shared" si="134"/>
        <v>19498</v>
      </c>
    </row>
    <row r="464" spans="1:5" ht="15">
      <c r="A464" t="s">
        <v>218</v>
      </c>
      <c r="B464">
        <f>B463</f>
        <v>589752</v>
      </c>
      <c r="C464" s="28">
        <f t="shared" si="133"/>
        <v>0.00325</v>
      </c>
      <c r="D464">
        <f>ROUND((B464*C464),0)</f>
        <v>1917</v>
      </c>
      <c r="E464">
        <f t="shared" si="134"/>
        <v>21415</v>
      </c>
    </row>
    <row r="465" ht="15">
      <c r="C465" s="28"/>
    </row>
    <row r="466" spans="1:5" ht="15">
      <c r="A466" s="33" t="s">
        <v>219</v>
      </c>
      <c r="B466">
        <f>B464</f>
        <v>589752</v>
      </c>
      <c r="C466" s="28">
        <f>0.04/12</f>
        <v>0.0033333333333333335</v>
      </c>
      <c r="D466">
        <f aca="true" t="shared" si="135" ref="D466:D476">ROUND((B466*C466),0)</f>
        <v>1966</v>
      </c>
      <c r="E466">
        <f>E464+D466</f>
        <v>23381</v>
      </c>
    </row>
    <row r="467" spans="1:5" ht="15">
      <c r="A467" t="s">
        <v>220</v>
      </c>
      <c r="B467">
        <f aca="true" t="shared" si="136" ref="B467:B477">B466</f>
        <v>589752</v>
      </c>
      <c r="C467" s="28">
        <f aca="true" t="shared" si="137" ref="C467:C477">0.04/12</f>
        <v>0.0033333333333333335</v>
      </c>
      <c r="D467">
        <f t="shared" si="135"/>
        <v>1966</v>
      </c>
      <c r="E467">
        <f aca="true" t="shared" si="138" ref="E467:E490">ROUND(+E466+D467,0)</f>
        <v>25347</v>
      </c>
    </row>
    <row r="468" spans="1:5" ht="15">
      <c r="A468" t="s">
        <v>221</v>
      </c>
      <c r="B468">
        <f t="shared" si="136"/>
        <v>589752</v>
      </c>
      <c r="C468" s="28">
        <f t="shared" si="137"/>
        <v>0.0033333333333333335</v>
      </c>
      <c r="D468">
        <f t="shared" si="135"/>
        <v>1966</v>
      </c>
      <c r="E468">
        <f t="shared" si="138"/>
        <v>27313</v>
      </c>
    </row>
    <row r="469" spans="1:5" ht="15">
      <c r="A469" t="s">
        <v>222</v>
      </c>
      <c r="B469">
        <f t="shared" si="136"/>
        <v>589752</v>
      </c>
      <c r="C469" s="28">
        <f t="shared" si="137"/>
        <v>0.0033333333333333335</v>
      </c>
      <c r="D469">
        <f t="shared" si="135"/>
        <v>1966</v>
      </c>
      <c r="E469">
        <f t="shared" si="138"/>
        <v>29279</v>
      </c>
    </row>
    <row r="470" spans="1:5" ht="15">
      <c r="A470" t="s">
        <v>223</v>
      </c>
      <c r="B470">
        <f t="shared" si="136"/>
        <v>589752</v>
      </c>
      <c r="C470" s="28">
        <f t="shared" si="137"/>
        <v>0.0033333333333333335</v>
      </c>
      <c r="D470">
        <f t="shared" si="135"/>
        <v>1966</v>
      </c>
      <c r="E470">
        <f t="shared" si="138"/>
        <v>31245</v>
      </c>
    </row>
    <row r="471" spans="1:5" ht="15">
      <c r="A471" t="s">
        <v>224</v>
      </c>
      <c r="B471">
        <f t="shared" si="136"/>
        <v>589752</v>
      </c>
      <c r="C471" s="28">
        <f t="shared" si="137"/>
        <v>0.0033333333333333335</v>
      </c>
      <c r="D471">
        <f t="shared" si="135"/>
        <v>1966</v>
      </c>
      <c r="E471">
        <f t="shared" si="138"/>
        <v>33211</v>
      </c>
    </row>
    <row r="472" spans="1:5" ht="15">
      <c r="A472" t="s">
        <v>225</v>
      </c>
      <c r="B472">
        <f t="shared" si="136"/>
        <v>589752</v>
      </c>
      <c r="C472" s="28">
        <f t="shared" si="137"/>
        <v>0.0033333333333333335</v>
      </c>
      <c r="D472">
        <f t="shared" si="135"/>
        <v>1966</v>
      </c>
      <c r="E472">
        <f t="shared" si="138"/>
        <v>35177</v>
      </c>
    </row>
    <row r="473" spans="1:5" ht="15">
      <c r="A473" t="s">
        <v>226</v>
      </c>
      <c r="B473">
        <f t="shared" si="136"/>
        <v>589752</v>
      </c>
      <c r="C473" s="28">
        <f t="shared" si="137"/>
        <v>0.0033333333333333335</v>
      </c>
      <c r="D473">
        <f t="shared" si="135"/>
        <v>1966</v>
      </c>
      <c r="E473">
        <f t="shared" si="138"/>
        <v>37143</v>
      </c>
    </row>
    <row r="474" spans="1:5" ht="15">
      <c r="A474" t="s">
        <v>227</v>
      </c>
      <c r="B474">
        <f t="shared" si="136"/>
        <v>589752</v>
      </c>
      <c r="C474" s="28">
        <f t="shared" si="137"/>
        <v>0.0033333333333333335</v>
      </c>
      <c r="D474">
        <f t="shared" si="135"/>
        <v>1966</v>
      </c>
      <c r="E474">
        <f t="shared" si="138"/>
        <v>39109</v>
      </c>
    </row>
    <row r="475" spans="1:5" ht="15">
      <c r="A475" t="s">
        <v>228</v>
      </c>
      <c r="B475">
        <f t="shared" si="136"/>
        <v>589752</v>
      </c>
      <c r="C475" s="28">
        <f t="shared" si="137"/>
        <v>0.0033333333333333335</v>
      </c>
      <c r="D475">
        <f t="shared" si="135"/>
        <v>1966</v>
      </c>
      <c r="E475">
        <f t="shared" si="138"/>
        <v>41075</v>
      </c>
    </row>
    <row r="476" spans="1:5" ht="15">
      <c r="A476" t="s">
        <v>229</v>
      </c>
      <c r="B476">
        <f t="shared" si="136"/>
        <v>589752</v>
      </c>
      <c r="C476" s="28">
        <f t="shared" si="137"/>
        <v>0.0033333333333333335</v>
      </c>
      <c r="D476">
        <f t="shared" si="135"/>
        <v>1966</v>
      </c>
      <c r="E476">
        <f t="shared" si="138"/>
        <v>43041</v>
      </c>
    </row>
    <row r="477" spans="1:5" ht="15">
      <c r="A477" t="s">
        <v>230</v>
      </c>
      <c r="B477">
        <f t="shared" si="136"/>
        <v>589752</v>
      </c>
      <c r="C477" s="28">
        <f t="shared" si="137"/>
        <v>0.0033333333333333335</v>
      </c>
      <c r="D477">
        <f>ROUND((B477*C477),0)</f>
        <v>1966</v>
      </c>
      <c r="E477">
        <f t="shared" si="138"/>
        <v>45007</v>
      </c>
    </row>
    <row r="478" ht="15">
      <c r="C478" s="28"/>
    </row>
    <row r="479" spans="1:5" ht="15">
      <c r="A479" s="33" t="s">
        <v>312</v>
      </c>
      <c r="B479">
        <f>B477-E477</f>
        <v>544745</v>
      </c>
      <c r="C479" s="28"/>
      <c r="D479">
        <f>544745/60</f>
        <v>9079.083333333334</v>
      </c>
      <c r="E479">
        <f>ROUND(+E477+D479,0)</f>
        <v>54086</v>
      </c>
    </row>
    <row r="480" spans="1:5" ht="15">
      <c r="A480" t="s">
        <v>313</v>
      </c>
      <c r="B480">
        <f>B479</f>
        <v>544745</v>
      </c>
      <c r="C480" s="28"/>
      <c r="D480">
        <f>544745/60</f>
        <v>9079.083333333334</v>
      </c>
      <c r="E480">
        <f t="shared" si="138"/>
        <v>63165</v>
      </c>
    </row>
    <row r="481" spans="1:5" ht="15">
      <c r="A481" t="s">
        <v>314</v>
      </c>
      <c r="B481">
        <f aca="true" t="shared" si="139" ref="B481:B490">B480</f>
        <v>544745</v>
      </c>
      <c r="C481" s="28"/>
      <c r="D481">
        <f>544745/60</f>
        <v>9079.083333333334</v>
      </c>
      <c r="E481">
        <f t="shared" si="138"/>
        <v>72244</v>
      </c>
    </row>
    <row r="482" spans="1:5" ht="15">
      <c r="A482" t="s">
        <v>315</v>
      </c>
      <c r="B482">
        <f t="shared" si="139"/>
        <v>544745</v>
      </c>
      <c r="C482" s="28"/>
      <c r="D482">
        <f aca="true" t="shared" si="140" ref="D482:D490">544745/60</f>
        <v>9079.083333333334</v>
      </c>
      <c r="E482">
        <f t="shared" si="138"/>
        <v>81323</v>
      </c>
    </row>
    <row r="483" spans="1:5" ht="15">
      <c r="A483" t="s">
        <v>304</v>
      </c>
      <c r="B483">
        <f t="shared" si="139"/>
        <v>544745</v>
      </c>
      <c r="C483" s="28"/>
      <c r="D483">
        <f t="shared" si="140"/>
        <v>9079.083333333334</v>
      </c>
      <c r="E483">
        <f t="shared" si="138"/>
        <v>90402</v>
      </c>
    </row>
    <row r="484" spans="1:5" ht="15">
      <c r="A484" t="s">
        <v>316</v>
      </c>
      <c r="B484">
        <f t="shared" si="139"/>
        <v>544745</v>
      </c>
      <c r="C484" s="28"/>
      <c r="D484">
        <f t="shared" si="140"/>
        <v>9079.083333333334</v>
      </c>
      <c r="E484">
        <f t="shared" si="138"/>
        <v>99481</v>
      </c>
    </row>
    <row r="485" spans="1:5" ht="15">
      <c r="A485" t="s">
        <v>317</v>
      </c>
      <c r="B485">
        <f t="shared" si="139"/>
        <v>544745</v>
      </c>
      <c r="C485" s="28"/>
      <c r="D485">
        <f t="shared" si="140"/>
        <v>9079.083333333334</v>
      </c>
      <c r="E485">
        <f t="shared" si="138"/>
        <v>108560</v>
      </c>
    </row>
    <row r="486" spans="1:5" ht="15">
      <c r="A486" t="s">
        <v>318</v>
      </c>
      <c r="B486">
        <f t="shared" si="139"/>
        <v>544745</v>
      </c>
      <c r="C486" s="28"/>
      <c r="D486">
        <f t="shared" si="140"/>
        <v>9079.083333333334</v>
      </c>
      <c r="E486">
        <f t="shared" si="138"/>
        <v>117639</v>
      </c>
    </row>
    <row r="487" spans="1:5" ht="15">
      <c r="A487" t="s">
        <v>319</v>
      </c>
      <c r="B487">
        <f t="shared" si="139"/>
        <v>544745</v>
      </c>
      <c r="C487" s="28"/>
      <c r="D487">
        <f t="shared" si="140"/>
        <v>9079.083333333334</v>
      </c>
      <c r="E487">
        <f t="shared" si="138"/>
        <v>126718</v>
      </c>
    </row>
    <row r="488" spans="1:5" ht="15">
      <c r="A488" t="s">
        <v>320</v>
      </c>
      <c r="B488">
        <f t="shared" si="139"/>
        <v>544745</v>
      </c>
      <c r="C488" s="28"/>
      <c r="D488">
        <f t="shared" si="140"/>
        <v>9079.083333333334</v>
      </c>
      <c r="E488">
        <f t="shared" si="138"/>
        <v>135797</v>
      </c>
    </row>
    <row r="489" spans="1:5" ht="15">
      <c r="A489" t="s">
        <v>321</v>
      </c>
      <c r="B489">
        <f t="shared" si="139"/>
        <v>544745</v>
      </c>
      <c r="C489" s="28"/>
      <c r="D489">
        <f t="shared" si="140"/>
        <v>9079.083333333334</v>
      </c>
      <c r="E489">
        <f t="shared" si="138"/>
        <v>144876</v>
      </c>
    </row>
    <row r="490" spans="1:5" ht="15">
      <c r="A490" t="s">
        <v>322</v>
      </c>
      <c r="B490">
        <f t="shared" si="139"/>
        <v>544745</v>
      </c>
      <c r="C490" s="28"/>
      <c r="D490">
        <f t="shared" si="140"/>
        <v>9079.083333333334</v>
      </c>
      <c r="E490">
        <f t="shared" si="138"/>
        <v>153955</v>
      </c>
    </row>
    <row r="491" ht="15">
      <c r="C491" s="28"/>
    </row>
    <row r="492" spans="1:5" ht="15">
      <c r="A492" s="33" t="s">
        <v>346</v>
      </c>
      <c r="B492">
        <f>B490</f>
        <v>544745</v>
      </c>
      <c r="C492" s="28"/>
      <c r="D492">
        <f>544745/60</f>
        <v>9079.083333333334</v>
      </c>
      <c r="E492">
        <f>ROUND(+E490+D492,0)</f>
        <v>163034</v>
      </c>
    </row>
    <row r="493" spans="1:5" ht="15">
      <c r="A493" t="s">
        <v>347</v>
      </c>
      <c r="B493">
        <f>B492</f>
        <v>544745</v>
      </c>
      <c r="C493" s="28"/>
      <c r="D493">
        <f aca="true" t="shared" si="141" ref="D493:D503">544745/60</f>
        <v>9079.083333333334</v>
      </c>
      <c r="E493">
        <f aca="true" t="shared" si="142" ref="E493:E503">ROUND(+E492+D493,0)</f>
        <v>172113</v>
      </c>
    </row>
    <row r="494" spans="1:5" ht="15">
      <c r="A494" t="s">
        <v>348</v>
      </c>
      <c r="B494">
        <f aca="true" t="shared" si="143" ref="B494:B503">B493</f>
        <v>544745</v>
      </c>
      <c r="C494" s="28"/>
      <c r="D494">
        <f t="shared" si="141"/>
        <v>9079.083333333334</v>
      </c>
      <c r="E494">
        <f t="shared" si="142"/>
        <v>181192</v>
      </c>
    </row>
    <row r="495" spans="1:5" ht="15">
      <c r="A495" t="s">
        <v>349</v>
      </c>
      <c r="B495">
        <f t="shared" si="143"/>
        <v>544745</v>
      </c>
      <c r="C495" s="28"/>
      <c r="D495">
        <f t="shared" si="141"/>
        <v>9079.083333333334</v>
      </c>
      <c r="E495">
        <f t="shared" si="142"/>
        <v>190271</v>
      </c>
    </row>
    <row r="496" spans="1:5" ht="15">
      <c r="A496" t="s">
        <v>345</v>
      </c>
      <c r="B496">
        <f t="shared" si="143"/>
        <v>544745</v>
      </c>
      <c r="C496" s="28"/>
      <c r="D496">
        <f t="shared" si="141"/>
        <v>9079.083333333334</v>
      </c>
      <c r="E496">
        <f t="shared" si="142"/>
        <v>199350</v>
      </c>
    </row>
    <row r="497" spans="1:5" ht="15">
      <c r="A497" t="s">
        <v>350</v>
      </c>
      <c r="B497">
        <f t="shared" si="143"/>
        <v>544745</v>
      </c>
      <c r="C497" s="28"/>
      <c r="D497">
        <f t="shared" si="141"/>
        <v>9079.083333333334</v>
      </c>
      <c r="E497">
        <f t="shared" si="142"/>
        <v>208429</v>
      </c>
    </row>
    <row r="498" spans="1:5" ht="15">
      <c r="A498" t="s">
        <v>351</v>
      </c>
      <c r="B498">
        <f t="shared" si="143"/>
        <v>544745</v>
      </c>
      <c r="C498" s="28"/>
      <c r="D498">
        <f t="shared" si="141"/>
        <v>9079.083333333334</v>
      </c>
      <c r="E498">
        <f t="shared" si="142"/>
        <v>217508</v>
      </c>
    </row>
    <row r="499" spans="1:5" ht="15">
      <c r="A499" t="s">
        <v>352</v>
      </c>
      <c r="B499">
        <f t="shared" si="143"/>
        <v>544745</v>
      </c>
      <c r="C499" s="28"/>
      <c r="D499">
        <f t="shared" si="141"/>
        <v>9079.083333333334</v>
      </c>
      <c r="E499">
        <f t="shared" si="142"/>
        <v>226587</v>
      </c>
    </row>
    <row r="500" spans="1:5" ht="15">
      <c r="A500" t="s">
        <v>353</v>
      </c>
      <c r="B500">
        <f t="shared" si="143"/>
        <v>544745</v>
      </c>
      <c r="C500" s="28"/>
      <c r="D500">
        <f t="shared" si="141"/>
        <v>9079.083333333334</v>
      </c>
      <c r="E500">
        <f t="shared" si="142"/>
        <v>235666</v>
      </c>
    </row>
    <row r="501" spans="1:5" ht="15">
      <c r="A501" t="s">
        <v>354</v>
      </c>
      <c r="B501">
        <f t="shared" si="143"/>
        <v>544745</v>
      </c>
      <c r="C501" s="28"/>
      <c r="D501">
        <f t="shared" si="141"/>
        <v>9079.083333333334</v>
      </c>
      <c r="E501">
        <f t="shared" si="142"/>
        <v>244745</v>
      </c>
    </row>
    <row r="502" spans="1:5" ht="15">
      <c r="A502" t="s">
        <v>355</v>
      </c>
      <c r="B502">
        <f t="shared" si="143"/>
        <v>544745</v>
      </c>
      <c r="C502" s="28"/>
      <c r="D502">
        <f t="shared" si="141"/>
        <v>9079.083333333334</v>
      </c>
      <c r="E502">
        <f t="shared" si="142"/>
        <v>253824</v>
      </c>
    </row>
    <row r="503" spans="1:5" ht="15">
      <c r="A503" t="s">
        <v>356</v>
      </c>
      <c r="B503">
        <f t="shared" si="143"/>
        <v>544745</v>
      </c>
      <c r="C503" s="28"/>
      <c r="D503">
        <f t="shared" si="141"/>
        <v>9079.083333333334</v>
      </c>
      <c r="E503">
        <f t="shared" si="142"/>
        <v>262903</v>
      </c>
    </row>
    <row r="504" ht="15">
      <c r="C504" s="28"/>
    </row>
    <row r="505" spans="1:5" ht="15">
      <c r="A505" s="73" t="s">
        <v>423</v>
      </c>
      <c r="B505">
        <f>B503</f>
        <v>544745</v>
      </c>
      <c r="C505" s="28"/>
      <c r="D505">
        <f>544745/60</f>
        <v>9079.083333333334</v>
      </c>
      <c r="E505">
        <f>ROUND(+E503+D505,0)</f>
        <v>271982</v>
      </c>
    </row>
    <row r="506" spans="1:5" ht="15">
      <c r="A506" s="72" t="s">
        <v>424</v>
      </c>
      <c r="B506">
        <f>B505</f>
        <v>544745</v>
      </c>
      <c r="C506" s="28"/>
      <c r="D506">
        <f aca="true" t="shared" si="144" ref="D506:D516">544745/60</f>
        <v>9079.083333333334</v>
      </c>
      <c r="E506">
        <f aca="true" t="shared" si="145" ref="E506:E516">ROUND(+E505+D506,0)</f>
        <v>281061</v>
      </c>
    </row>
    <row r="507" spans="1:5" ht="15">
      <c r="A507" s="72" t="s">
        <v>425</v>
      </c>
      <c r="B507">
        <f aca="true" t="shared" si="146" ref="B507:B516">B506</f>
        <v>544745</v>
      </c>
      <c r="C507" s="28"/>
      <c r="D507">
        <f t="shared" si="144"/>
        <v>9079.083333333334</v>
      </c>
      <c r="E507">
        <f t="shared" si="145"/>
        <v>290140</v>
      </c>
    </row>
    <row r="508" spans="1:5" ht="15">
      <c r="A508" s="72" t="s">
        <v>426</v>
      </c>
      <c r="B508">
        <f t="shared" si="146"/>
        <v>544745</v>
      </c>
      <c r="C508" s="28"/>
      <c r="D508">
        <f t="shared" si="144"/>
        <v>9079.083333333334</v>
      </c>
      <c r="E508">
        <f t="shared" si="145"/>
        <v>299219</v>
      </c>
    </row>
    <row r="509" spans="1:5" ht="15">
      <c r="A509" s="72" t="s">
        <v>410</v>
      </c>
      <c r="B509">
        <f t="shared" si="146"/>
        <v>544745</v>
      </c>
      <c r="C509" s="28"/>
      <c r="D509">
        <f t="shared" si="144"/>
        <v>9079.083333333334</v>
      </c>
      <c r="E509">
        <f t="shared" si="145"/>
        <v>308298</v>
      </c>
    </row>
    <row r="510" spans="1:5" ht="15">
      <c r="A510" s="72" t="s">
        <v>427</v>
      </c>
      <c r="B510">
        <f t="shared" si="146"/>
        <v>544745</v>
      </c>
      <c r="C510" s="28"/>
      <c r="D510">
        <f t="shared" si="144"/>
        <v>9079.083333333334</v>
      </c>
      <c r="E510">
        <f t="shared" si="145"/>
        <v>317377</v>
      </c>
    </row>
    <row r="511" spans="1:5" ht="15">
      <c r="A511" s="72" t="s">
        <v>428</v>
      </c>
      <c r="B511">
        <f t="shared" si="146"/>
        <v>544745</v>
      </c>
      <c r="C511" s="28"/>
      <c r="D511">
        <f t="shared" si="144"/>
        <v>9079.083333333334</v>
      </c>
      <c r="E511">
        <f t="shared" si="145"/>
        <v>326456</v>
      </c>
    </row>
    <row r="512" spans="1:5" ht="15">
      <c r="A512" s="72" t="s">
        <v>429</v>
      </c>
      <c r="B512">
        <f t="shared" si="146"/>
        <v>544745</v>
      </c>
      <c r="C512" s="28"/>
      <c r="D512">
        <f t="shared" si="144"/>
        <v>9079.083333333334</v>
      </c>
      <c r="E512">
        <f t="shared" si="145"/>
        <v>335535</v>
      </c>
    </row>
    <row r="513" spans="1:5" ht="15">
      <c r="A513" s="72" t="s">
        <v>430</v>
      </c>
      <c r="B513">
        <f t="shared" si="146"/>
        <v>544745</v>
      </c>
      <c r="C513" s="28"/>
      <c r="D513">
        <f t="shared" si="144"/>
        <v>9079.083333333334</v>
      </c>
      <c r="E513">
        <f t="shared" si="145"/>
        <v>344614</v>
      </c>
    </row>
    <row r="514" spans="1:5" ht="15">
      <c r="A514" s="72" t="s">
        <v>431</v>
      </c>
      <c r="B514">
        <f t="shared" si="146"/>
        <v>544745</v>
      </c>
      <c r="C514" s="28"/>
      <c r="D514">
        <f t="shared" si="144"/>
        <v>9079.083333333334</v>
      </c>
      <c r="E514">
        <f t="shared" si="145"/>
        <v>353693</v>
      </c>
    </row>
    <row r="515" spans="1:5" ht="15">
      <c r="A515" s="72" t="s">
        <v>432</v>
      </c>
      <c r="B515">
        <f t="shared" si="146"/>
        <v>544745</v>
      </c>
      <c r="C515" s="28"/>
      <c r="D515">
        <f t="shared" si="144"/>
        <v>9079.083333333334</v>
      </c>
      <c r="E515">
        <f t="shared" si="145"/>
        <v>362772</v>
      </c>
    </row>
    <row r="516" spans="1:5" ht="15">
      <c r="A516" s="72" t="s">
        <v>433</v>
      </c>
      <c r="B516">
        <f t="shared" si="146"/>
        <v>544745</v>
      </c>
      <c r="C516" s="28"/>
      <c r="D516">
        <f t="shared" si="144"/>
        <v>9079.083333333334</v>
      </c>
      <c r="E516">
        <f t="shared" si="145"/>
        <v>371851</v>
      </c>
    </row>
    <row r="517" ht="15">
      <c r="C517" s="28"/>
    </row>
    <row r="518" ht="15">
      <c r="A518" t="s">
        <v>287</v>
      </c>
    </row>
    <row r="520" spans="2:4" ht="15">
      <c r="B520" s="29" t="s">
        <v>115</v>
      </c>
      <c r="C520" s="29" t="s">
        <v>116</v>
      </c>
      <c r="D520" s="29" t="s">
        <v>116</v>
      </c>
    </row>
    <row r="521" spans="3:5" ht="15">
      <c r="C521" s="29" t="s">
        <v>117</v>
      </c>
      <c r="D521" s="29" t="s">
        <v>118</v>
      </c>
      <c r="E521" s="29" t="s">
        <v>119</v>
      </c>
    </row>
    <row r="523" spans="1:5" ht="15">
      <c r="A523" s="33" t="s">
        <v>244</v>
      </c>
      <c r="B523">
        <f>1206766</f>
        <v>1206766</v>
      </c>
      <c r="C523" s="28">
        <f>0.038/12</f>
        <v>0.0031666666666666666</v>
      </c>
      <c r="D523">
        <f>ROUND((B523*C523)/2,0)</f>
        <v>1911</v>
      </c>
      <c r="E523">
        <f>D523</f>
        <v>1911</v>
      </c>
    </row>
    <row r="524" spans="1:5" ht="15">
      <c r="A524" t="s">
        <v>240</v>
      </c>
      <c r="B524">
        <f>B523+15381</f>
        <v>1222147</v>
      </c>
      <c r="C524" s="28">
        <f aca="true" t="shared" si="147" ref="C524:C535">0.038/12</f>
        <v>0.0031666666666666666</v>
      </c>
      <c r="D524">
        <f>ROUND((B523*C524),0)+ROUND(15381*C524/2,0)</f>
        <v>3845</v>
      </c>
      <c r="E524">
        <f aca="true" t="shared" si="148" ref="E524:E535">ROUND(+E523+D524,0)</f>
        <v>5756</v>
      </c>
    </row>
    <row r="525" spans="1:5" ht="15">
      <c r="A525" t="s">
        <v>241</v>
      </c>
      <c r="B525">
        <f>B524+16459</f>
        <v>1238606</v>
      </c>
      <c r="C525" s="28">
        <f t="shared" si="147"/>
        <v>0.0031666666666666666</v>
      </c>
      <c r="D525">
        <f>ROUND((B524*C525),0)+ROUND(16459*C525/2,0)</f>
        <v>3896</v>
      </c>
      <c r="E525">
        <f t="shared" si="148"/>
        <v>9652</v>
      </c>
    </row>
    <row r="526" spans="1:5" ht="15">
      <c r="A526" t="s">
        <v>242</v>
      </c>
      <c r="B526">
        <f>B525+12473</f>
        <v>1251079</v>
      </c>
      <c r="C526" s="28">
        <f t="shared" si="147"/>
        <v>0.0031666666666666666</v>
      </c>
      <c r="D526">
        <f>ROUND((B525*C526),0)+ROUND(12473*C526/2,0)</f>
        <v>3942</v>
      </c>
      <c r="E526">
        <f t="shared" si="148"/>
        <v>13594</v>
      </c>
    </row>
    <row r="527" spans="1:5" ht="15">
      <c r="A527" t="s">
        <v>243</v>
      </c>
      <c r="B527">
        <f>B526+79841</f>
        <v>1330920</v>
      </c>
      <c r="C527" s="28">
        <f t="shared" si="147"/>
        <v>0.0031666666666666666</v>
      </c>
      <c r="D527">
        <f>ROUND((B526*C527),0)+ROUND(79841*C527/2,0)</f>
        <v>4088</v>
      </c>
      <c r="E527">
        <f t="shared" si="148"/>
        <v>17682</v>
      </c>
    </row>
    <row r="528" spans="1:5" ht="15">
      <c r="A528" t="s">
        <v>232</v>
      </c>
      <c r="B528">
        <f>B527+17344</f>
        <v>1348264</v>
      </c>
      <c r="C528" s="28">
        <f t="shared" si="147"/>
        <v>0.0031666666666666666</v>
      </c>
      <c r="D528">
        <f>ROUND((B527*C528),0)+ROUND(17344*C528/2,0)</f>
        <v>4242</v>
      </c>
      <c r="E528">
        <f t="shared" si="148"/>
        <v>21924</v>
      </c>
    </row>
    <row r="529" spans="1:5" ht="15">
      <c r="A529" t="s">
        <v>233</v>
      </c>
      <c r="B529">
        <f>B528+6719</f>
        <v>1354983</v>
      </c>
      <c r="C529" s="28">
        <f t="shared" si="147"/>
        <v>0.0031666666666666666</v>
      </c>
      <c r="D529">
        <f>ROUND((B528*C529),0)+ROUND(6719*C529/2,0)</f>
        <v>4281</v>
      </c>
      <c r="E529">
        <f t="shared" si="148"/>
        <v>26205</v>
      </c>
    </row>
    <row r="530" spans="1:5" ht="15">
      <c r="A530" t="s">
        <v>234</v>
      </c>
      <c r="B530">
        <f>B529+2057</f>
        <v>1357040</v>
      </c>
      <c r="C530" s="28">
        <f t="shared" si="147"/>
        <v>0.0031666666666666666</v>
      </c>
      <c r="D530">
        <f>ROUND((B529*C530),0)+ROUND(2057*C530/2,0)</f>
        <v>4294</v>
      </c>
      <c r="E530">
        <f t="shared" si="148"/>
        <v>30499</v>
      </c>
    </row>
    <row r="531" spans="1:5" ht="15">
      <c r="A531" t="s">
        <v>235</v>
      </c>
      <c r="B531">
        <f>B530</f>
        <v>1357040</v>
      </c>
      <c r="C531" s="28">
        <f t="shared" si="147"/>
        <v>0.0031666666666666666</v>
      </c>
      <c r="D531">
        <f>ROUND((B531*C531),0)</f>
        <v>4297</v>
      </c>
      <c r="E531">
        <f t="shared" si="148"/>
        <v>34796</v>
      </c>
    </row>
    <row r="532" spans="1:5" ht="15">
      <c r="A532" t="s">
        <v>236</v>
      </c>
      <c r="B532">
        <f>B531</f>
        <v>1357040</v>
      </c>
      <c r="C532" s="28">
        <f t="shared" si="147"/>
        <v>0.0031666666666666666</v>
      </c>
      <c r="D532">
        <f>ROUND((B532*C532),0)</f>
        <v>4297</v>
      </c>
      <c r="E532">
        <f t="shared" si="148"/>
        <v>39093</v>
      </c>
    </row>
    <row r="533" spans="1:5" ht="15">
      <c r="A533" t="s">
        <v>237</v>
      </c>
      <c r="B533">
        <f>B532</f>
        <v>1357040</v>
      </c>
      <c r="C533" s="28">
        <f t="shared" si="147"/>
        <v>0.0031666666666666666</v>
      </c>
      <c r="D533">
        <f>ROUND((B533*C533),0)</f>
        <v>4297</v>
      </c>
      <c r="E533">
        <f t="shared" si="148"/>
        <v>43390</v>
      </c>
    </row>
    <row r="534" spans="1:5" ht="15">
      <c r="A534" t="s">
        <v>238</v>
      </c>
      <c r="B534">
        <f>B533</f>
        <v>1357040</v>
      </c>
      <c r="C534" s="28">
        <f t="shared" si="147"/>
        <v>0.0031666666666666666</v>
      </c>
      <c r="D534">
        <f>ROUND((B534*C534),0)</f>
        <v>4297</v>
      </c>
      <c r="E534">
        <f t="shared" si="148"/>
        <v>47687</v>
      </c>
    </row>
    <row r="535" spans="1:5" ht="15">
      <c r="A535" t="s">
        <v>218</v>
      </c>
      <c r="B535">
        <f>B534</f>
        <v>1357040</v>
      </c>
      <c r="C535" s="28">
        <f t="shared" si="147"/>
        <v>0.0031666666666666666</v>
      </c>
      <c r="D535">
        <f>ROUND((B535*C535),0)</f>
        <v>4297</v>
      </c>
      <c r="E535">
        <f t="shared" si="148"/>
        <v>51984</v>
      </c>
    </row>
    <row r="536" ht="15">
      <c r="C536" s="28"/>
    </row>
    <row r="537" spans="1:5" ht="15">
      <c r="A537" s="33" t="s">
        <v>219</v>
      </c>
      <c r="B537">
        <f>B535</f>
        <v>1357040</v>
      </c>
      <c r="C537" s="28">
        <f aca="true" t="shared" si="149" ref="C537:C548">0.043/12</f>
        <v>0.003583333333333333</v>
      </c>
      <c r="D537">
        <f aca="true" t="shared" si="150" ref="D537:D548">ROUND((B537*C537),0)</f>
        <v>4863</v>
      </c>
      <c r="E537">
        <f>E535+D537</f>
        <v>56847</v>
      </c>
    </row>
    <row r="538" spans="1:5" ht="15">
      <c r="A538" t="s">
        <v>220</v>
      </c>
      <c r="B538">
        <f aca="true" t="shared" si="151" ref="B538:B548">B537</f>
        <v>1357040</v>
      </c>
      <c r="C538" s="28">
        <f t="shared" si="149"/>
        <v>0.003583333333333333</v>
      </c>
      <c r="D538">
        <f t="shared" si="150"/>
        <v>4863</v>
      </c>
      <c r="E538">
        <f aca="true" t="shared" si="152" ref="E538:E561">ROUND(+E537+D538,0)</f>
        <v>61710</v>
      </c>
    </row>
    <row r="539" spans="1:5" ht="15">
      <c r="A539" t="s">
        <v>221</v>
      </c>
      <c r="B539">
        <f t="shared" si="151"/>
        <v>1357040</v>
      </c>
      <c r="C539" s="28">
        <f t="shared" si="149"/>
        <v>0.003583333333333333</v>
      </c>
      <c r="D539">
        <f t="shared" si="150"/>
        <v>4863</v>
      </c>
      <c r="E539">
        <f t="shared" si="152"/>
        <v>66573</v>
      </c>
    </row>
    <row r="540" spans="1:5" ht="15">
      <c r="A540" t="s">
        <v>222</v>
      </c>
      <c r="B540">
        <f t="shared" si="151"/>
        <v>1357040</v>
      </c>
      <c r="C540" s="28">
        <f t="shared" si="149"/>
        <v>0.003583333333333333</v>
      </c>
      <c r="D540">
        <f t="shared" si="150"/>
        <v>4863</v>
      </c>
      <c r="E540">
        <f t="shared" si="152"/>
        <v>71436</v>
      </c>
    </row>
    <row r="541" spans="1:5" ht="15">
      <c r="A541" t="s">
        <v>223</v>
      </c>
      <c r="B541">
        <f t="shared" si="151"/>
        <v>1357040</v>
      </c>
      <c r="C541" s="28">
        <f t="shared" si="149"/>
        <v>0.003583333333333333</v>
      </c>
      <c r="D541">
        <f t="shared" si="150"/>
        <v>4863</v>
      </c>
      <c r="E541">
        <f t="shared" si="152"/>
        <v>76299</v>
      </c>
    </row>
    <row r="542" spans="1:5" ht="15">
      <c r="A542" t="s">
        <v>224</v>
      </c>
      <c r="B542">
        <f t="shared" si="151"/>
        <v>1357040</v>
      </c>
      <c r="C542" s="28">
        <f t="shared" si="149"/>
        <v>0.003583333333333333</v>
      </c>
      <c r="D542">
        <f t="shared" si="150"/>
        <v>4863</v>
      </c>
      <c r="E542">
        <f t="shared" si="152"/>
        <v>81162</v>
      </c>
    </row>
    <row r="543" spans="1:5" ht="15">
      <c r="A543" t="s">
        <v>225</v>
      </c>
      <c r="B543">
        <f t="shared" si="151"/>
        <v>1357040</v>
      </c>
      <c r="C543" s="28">
        <f t="shared" si="149"/>
        <v>0.003583333333333333</v>
      </c>
      <c r="D543">
        <f t="shared" si="150"/>
        <v>4863</v>
      </c>
      <c r="E543">
        <f t="shared" si="152"/>
        <v>86025</v>
      </c>
    </row>
    <row r="544" spans="1:5" ht="15">
      <c r="A544" t="s">
        <v>226</v>
      </c>
      <c r="B544">
        <f t="shared" si="151"/>
        <v>1357040</v>
      </c>
      <c r="C544" s="28">
        <f t="shared" si="149"/>
        <v>0.003583333333333333</v>
      </c>
      <c r="D544">
        <f t="shared" si="150"/>
        <v>4863</v>
      </c>
      <c r="E544">
        <f t="shared" si="152"/>
        <v>90888</v>
      </c>
    </row>
    <row r="545" spans="1:5" ht="15">
      <c r="A545" t="s">
        <v>227</v>
      </c>
      <c r="B545">
        <f t="shared" si="151"/>
        <v>1357040</v>
      </c>
      <c r="C545" s="28">
        <f t="shared" si="149"/>
        <v>0.003583333333333333</v>
      </c>
      <c r="D545">
        <f t="shared" si="150"/>
        <v>4863</v>
      </c>
      <c r="E545">
        <f t="shared" si="152"/>
        <v>95751</v>
      </c>
    </row>
    <row r="546" spans="1:5" ht="15">
      <c r="A546" t="s">
        <v>228</v>
      </c>
      <c r="B546">
        <f t="shared" si="151"/>
        <v>1357040</v>
      </c>
      <c r="C546" s="28">
        <f t="shared" si="149"/>
        <v>0.003583333333333333</v>
      </c>
      <c r="D546">
        <f t="shared" si="150"/>
        <v>4863</v>
      </c>
      <c r="E546">
        <f t="shared" si="152"/>
        <v>100614</v>
      </c>
    </row>
    <row r="547" spans="1:5" ht="15">
      <c r="A547" t="s">
        <v>229</v>
      </c>
      <c r="B547">
        <f t="shared" si="151"/>
        <v>1357040</v>
      </c>
      <c r="C547" s="28">
        <f t="shared" si="149"/>
        <v>0.003583333333333333</v>
      </c>
      <c r="D547">
        <f t="shared" si="150"/>
        <v>4863</v>
      </c>
      <c r="E547">
        <f t="shared" si="152"/>
        <v>105477</v>
      </c>
    </row>
    <row r="548" spans="1:5" ht="15">
      <c r="A548" t="s">
        <v>230</v>
      </c>
      <c r="B548">
        <f t="shared" si="151"/>
        <v>1357040</v>
      </c>
      <c r="C548" s="28">
        <f t="shared" si="149"/>
        <v>0.003583333333333333</v>
      </c>
      <c r="D548">
        <f t="shared" si="150"/>
        <v>4863</v>
      </c>
      <c r="E548">
        <f t="shared" si="152"/>
        <v>110340</v>
      </c>
    </row>
    <row r="549" ht="15">
      <c r="C549" s="28"/>
    </row>
    <row r="550" spans="1:5" ht="15">
      <c r="A550" s="33" t="s">
        <v>312</v>
      </c>
      <c r="B550">
        <f>B548-E548</f>
        <v>1246700</v>
      </c>
      <c r="C550" s="28">
        <v>0</v>
      </c>
      <c r="D550">
        <f>1246700/60</f>
        <v>20778.333333333332</v>
      </c>
      <c r="E550">
        <f>ROUND(+E548+D550,0)</f>
        <v>131118</v>
      </c>
    </row>
    <row r="551" spans="1:5" ht="15">
      <c r="A551" t="s">
        <v>313</v>
      </c>
      <c r="B551">
        <f>B550</f>
        <v>1246700</v>
      </c>
      <c r="C551" s="28">
        <v>0</v>
      </c>
      <c r="D551">
        <f aca="true" t="shared" si="153" ref="D551:D587">1246700/60</f>
        <v>20778.333333333332</v>
      </c>
      <c r="E551">
        <f t="shared" si="152"/>
        <v>151896</v>
      </c>
    </row>
    <row r="552" spans="1:5" ht="15">
      <c r="A552" t="s">
        <v>314</v>
      </c>
      <c r="B552">
        <f aca="true" t="shared" si="154" ref="B552:B561">B551</f>
        <v>1246700</v>
      </c>
      <c r="C552" s="28">
        <v>0</v>
      </c>
      <c r="D552">
        <f t="shared" si="153"/>
        <v>20778.333333333332</v>
      </c>
      <c r="E552">
        <f t="shared" si="152"/>
        <v>172674</v>
      </c>
    </row>
    <row r="553" spans="1:5" ht="15">
      <c r="A553" t="s">
        <v>315</v>
      </c>
      <c r="B553">
        <f t="shared" si="154"/>
        <v>1246700</v>
      </c>
      <c r="C553" s="28">
        <v>0</v>
      </c>
      <c r="D553">
        <f t="shared" si="153"/>
        <v>20778.333333333332</v>
      </c>
      <c r="E553">
        <f t="shared" si="152"/>
        <v>193452</v>
      </c>
    </row>
    <row r="554" spans="1:5" ht="15">
      <c r="A554" t="s">
        <v>304</v>
      </c>
      <c r="B554">
        <f t="shared" si="154"/>
        <v>1246700</v>
      </c>
      <c r="C554" s="28">
        <v>0</v>
      </c>
      <c r="D554">
        <f t="shared" si="153"/>
        <v>20778.333333333332</v>
      </c>
      <c r="E554">
        <f t="shared" si="152"/>
        <v>214230</v>
      </c>
    </row>
    <row r="555" spans="1:5" ht="15">
      <c r="A555" t="s">
        <v>316</v>
      </c>
      <c r="B555">
        <f t="shared" si="154"/>
        <v>1246700</v>
      </c>
      <c r="C555" s="28">
        <v>0</v>
      </c>
      <c r="D555">
        <f t="shared" si="153"/>
        <v>20778.333333333332</v>
      </c>
      <c r="E555">
        <f t="shared" si="152"/>
        <v>235008</v>
      </c>
    </row>
    <row r="556" spans="1:5" ht="15">
      <c r="A556" t="s">
        <v>317</v>
      </c>
      <c r="B556">
        <f t="shared" si="154"/>
        <v>1246700</v>
      </c>
      <c r="C556" s="28">
        <v>0</v>
      </c>
      <c r="D556">
        <f t="shared" si="153"/>
        <v>20778.333333333332</v>
      </c>
      <c r="E556">
        <f t="shared" si="152"/>
        <v>255786</v>
      </c>
    </row>
    <row r="557" spans="1:5" ht="15">
      <c r="A557" t="s">
        <v>318</v>
      </c>
      <c r="B557">
        <f t="shared" si="154"/>
        <v>1246700</v>
      </c>
      <c r="C557" s="28">
        <v>0</v>
      </c>
      <c r="D557">
        <f t="shared" si="153"/>
        <v>20778.333333333332</v>
      </c>
      <c r="E557">
        <f t="shared" si="152"/>
        <v>276564</v>
      </c>
    </row>
    <row r="558" spans="1:5" ht="15">
      <c r="A558" t="s">
        <v>319</v>
      </c>
      <c r="B558">
        <f t="shared" si="154"/>
        <v>1246700</v>
      </c>
      <c r="C558" s="28">
        <v>0</v>
      </c>
      <c r="D558">
        <f t="shared" si="153"/>
        <v>20778.333333333332</v>
      </c>
      <c r="E558">
        <f t="shared" si="152"/>
        <v>297342</v>
      </c>
    </row>
    <row r="559" spans="1:5" ht="15">
      <c r="A559" t="s">
        <v>320</v>
      </c>
      <c r="B559">
        <f t="shared" si="154"/>
        <v>1246700</v>
      </c>
      <c r="C559" s="28">
        <v>0</v>
      </c>
      <c r="D559">
        <f t="shared" si="153"/>
        <v>20778.333333333332</v>
      </c>
      <c r="E559">
        <f t="shared" si="152"/>
        <v>318120</v>
      </c>
    </row>
    <row r="560" spans="1:5" ht="15">
      <c r="A560" t="s">
        <v>321</v>
      </c>
      <c r="B560">
        <f t="shared" si="154"/>
        <v>1246700</v>
      </c>
      <c r="C560" s="28">
        <v>0</v>
      </c>
      <c r="D560">
        <f t="shared" si="153"/>
        <v>20778.333333333332</v>
      </c>
      <c r="E560">
        <f t="shared" si="152"/>
        <v>338898</v>
      </c>
    </row>
    <row r="561" spans="1:5" ht="15">
      <c r="A561" t="s">
        <v>322</v>
      </c>
      <c r="B561">
        <f t="shared" si="154"/>
        <v>1246700</v>
      </c>
      <c r="C561" s="28">
        <v>0</v>
      </c>
      <c r="D561">
        <f t="shared" si="153"/>
        <v>20778.333333333332</v>
      </c>
      <c r="E561">
        <f t="shared" si="152"/>
        <v>359676</v>
      </c>
    </row>
    <row r="562" ht="15">
      <c r="C562" s="28"/>
    </row>
    <row r="563" spans="1:5" ht="15">
      <c r="A563" s="33" t="s">
        <v>346</v>
      </c>
      <c r="B563">
        <f>B561</f>
        <v>1246700</v>
      </c>
      <c r="C563" s="28"/>
      <c r="D563">
        <f t="shared" si="153"/>
        <v>20778.333333333332</v>
      </c>
      <c r="E563">
        <f>ROUND(+E561+D563,0)</f>
        <v>380454</v>
      </c>
    </row>
    <row r="564" spans="1:5" ht="15">
      <c r="A564" t="s">
        <v>347</v>
      </c>
      <c r="B564">
        <f>B563</f>
        <v>1246700</v>
      </c>
      <c r="C564" s="28"/>
      <c r="D564">
        <f t="shared" si="153"/>
        <v>20778.333333333332</v>
      </c>
      <c r="E564">
        <f aca="true" t="shared" si="155" ref="E564:E574">ROUND(+E563+D564,0)</f>
        <v>401232</v>
      </c>
    </row>
    <row r="565" spans="1:5" ht="15">
      <c r="A565" t="s">
        <v>348</v>
      </c>
      <c r="B565">
        <f aca="true" t="shared" si="156" ref="B565:B574">B564</f>
        <v>1246700</v>
      </c>
      <c r="C565" s="28"/>
      <c r="D565">
        <f t="shared" si="153"/>
        <v>20778.333333333332</v>
      </c>
      <c r="E565">
        <f t="shared" si="155"/>
        <v>422010</v>
      </c>
    </row>
    <row r="566" spans="1:5" ht="15">
      <c r="A566" t="s">
        <v>349</v>
      </c>
      <c r="B566">
        <f t="shared" si="156"/>
        <v>1246700</v>
      </c>
      <c r="C566" s="28"/>
      <c r="D566">
        <f t="shared" si="153"/>
        <v>20778.333333333332</v>
      </c>
      <c r="E566">
        <f t="shared" si="155"/>
        <v>442788</v>
      </c>
    </row>
    <row r="567" spans="1:5" ht="15">
      <c r="A567" t="s">
        <v>345</v>
      </c>
      <c r="B567">
        <f t="shared" si="156"/>
        <v>1246700</v>
      </c>
      <c r="C567" s="28"/>
      <c r="D567">
        <f t="shared" si="153"/>
        <v>20778.333333333332</v>
      </c>
      <c r="E567">
        <f t="shared" si="155"/>
        <v>463566</v>
      </c>
    </row>
    <row r="568" spans="1:5" ht="15">
      <c r="A568" t="s">
        <v>350</v>
      </c>
      <c r="B568">
        <f t="shared" si="156"/>
        <v>1246700</v>
      </c>
      <c r="C568" s="28"/>
      <c r="D568">
        <f t="shared" si="153"/>
        <v>20778.333333333332</v>
      </c>
      <c r="E568">
        <f t="shared" si="155"/>
        <v>484344</v>
      </c>
    </row>
    <row r="569" spans="1:5" ht="15">
      <c r="A569" t="s">
        <v>351</v>
      </c>
      <c r="B569">
        <f t="shared" si="156"/>
        <v>1246700</v>
      </c>
      <c r="C569" s="28"/>
      <c r="D569">
        <f t="shared" si="153"/>
        <v>20778.333333333332</v>
      </c>
      <c r="E569">
        <f t="shared" si="155"/>
        <v>505122</v>
      </c>
    </row>
    <row r="570" spans="1:5" ht="15">
      <c r="A570" t="s">
        <v>352</v>
      </c>
      <c r="B570">
        <f t="shared" si="156"/>
        <v>1246700</v>
      </c>
      <c r="C570" s="28"/>
      <c r="D570">
        <f t="shared" si="153"/>
        <v>20778.333333333332</v>
      </c>
      <c r="E570">
        <f t="shared" si="155"/>
        <v>525900</v>
      </c>
    </row>
    <row r="571" spans="1:5" ht="15">
      <c r="A571" t="s">
        <v>353</v>
      </c>
      <c r="B571">
        <f t="shared" si="156"/>
        <v>1246700</v>
      </c>
      <c r="C571" s="28"/>
      <c r="D571">
        <f t="shared" si="153"/>
        <v>20778.333333333332</v>
      </c>
      <c r="E571">
        <f t="shared" si="155"/>
        <v>546678</v>
      </c>
    </row>
    <row r="572" spans="1:5" ht="15">
      <c r="A572" t="s">
        <v>354</v>
      </c>
      <c r="B572">
        <f t="shared" si="156"/>
        <v>1246700</v>
      </c>
      <c r="C572" s="28"/>
      <c r="D572">
        <f t="shared" si="153"/>
        <v>20778.333333333332</v>
      </c>
      <c r="E572">
        <f t="shared" si="155"/>
        <v>567456</v>
      </c>
    </row>
    <row r="573" spans="1:5" ht="15">
      <c r="A573" t="s">
        <v>355</v>
      </c>
      <c r="B573">
        <f t="shared" si="156"/>
        <v>1246700</v>
      </c>
      <c r="C573" s="28"/>
      <c r="D573">
        <f t="shared" si="153"/>
        <v>20778.333333333332</v>
      </c>
      <c r="E573">
        <f t="shared" si="155"/>
        <v>588234</v>
      </c>
    </row>
    <row r="574" spans="1:5" ht="15">
      <c r="A574" t="s">
        <v>356</v>
      </c>
      <c r="B574">
        <f t="shared" si="156"/>
        <v>1246700</v>
      </c>
      <c r="C574" s="28"/>
      <c r="D574">
        <f t="shared" si="153"/>
        <v>20778.333333333332</v>
      </c>
      <c r="E574">
        <f t="shared" si="155"/>
        <v>609012</v>
      </c>
    </row>
    <row r="575" ht="15">
      <c r="C575" s="28"/>
    </row>
    <row r="576" spans="1:5" ht="15">
      <c r="A576" s="73" t="s">
        <v>423</v>
      </c>
      <c r="B576">
        <f>B574</f>
        <v>1246700</v>
      </c>
      <c r="C576" s="28"/>
      <c r="D576">
        <f t="shared" si="153"/>
        <v>20778.333333333332</v>
      </c>
      <c r="E576">
        <f>ROUND(+E574+D576,0)</f>
        <v>629790</v>
      </c>
    </row>
    <row r="577" spans="1:5" ht="15">
      <c r="A577" s="72" t="s">
        <v>424</v>
      </c>
      <c r="B577">
        <f>B576</f>
        <v>1246700</v>
      </c>
      <c r="C577" s="28"/>
      <c r="D577">
        <f t="shared" si="153"/>
        <v>20778.333333333332</v>
      </c>
      <c r="E577">
        <f aca="true" t="shared" si="157" ref="E577:E587">ROUND(+E576+D577,0)</f>
        <v>650568</v>
      </c>
    </row>
    <row r="578" spans="1:5" ht="15">
      <c r="A578" s="72" t="s">
        <v>425</v>
      </c>
      <c r="B578">
        <f aca="true" t="shared" si="158" ref="B578:B587">B577</f>
        <v>1246700</v>
      </c>
      <c r="C578" s="28"/>
      <c r="D578">
        <f t="shared" si="153"/>
        <v>20778.333333333332</v>
      </c>
      <c r="E578">
        <f t="shared" si="157"/>
        <v>671346</v>
      </c>
    </row>
    <row r="579" spans="1:5" ht="15">
      <c r="A579" s="72" t="s">
        <v>426</v>
      </c>
      <c r="B579">
        <f t="shared" si="158"/>
        <v>1246700</v>
      </c>
      <c r="C579" s="28"/>
      <c r="D579">
        <f t="shared" si="153"/>
        <v>20778.333333333332</v>
      </c>
      <c r="E579">
        <f t="shared" si="157"/>
        <v>692124</v>
      </c>
    </row>
    <row r="580" spans="1:5" ht="15">
      <c r="A580" s="72" t="s">
        <v>410</v>
      </c>
      <c r="B580">
        <f t="shared" si="158"/>
        <v>1246700</v>
      </c>
      <c r="C580" s="28"/>
      <c r="D580">
        <f t="shared" si="153"/>
        <v>20778.333333333332</v>
      </c>
      <c r="E580">
        <f t="shared" si="157"/>
        <v>712902</v>
      </c>
    </row>
    <row r="581" spans="1:5" ht="15">
      <c r="A581" s="72" t="s">
        <v>427</v>
      </c>
      <c r="B581">
        <f t="shared" si="158"/>
        <v>1246700</v>
      </c>
      <c r="C581" s="28"/>
      <c r="D581">
        <f t="shared" si="153"/>
        <v>20778.333333333332</v>
      </c>
      <c r="E581">
        <f t="shared" si="157"/>
        <v>733680</v>
      </c>
    </row>
    <row r="582" spans="1:5" ht="15">
      <c r="A582" s="72" t="s">
        <v>428</v>
      </c>
      <c r="B582">
        <f t="shared" si="158"/>
        <v>1246700</v>
      </c>
      <c r="C582" s="28"/>
      <c r="D582">
        <f t="shared" si="153"/>
        <v>20778.333333333332</v>
      </c>
      <c r="E582">
        <f t="shared" si="157"/>
        <v>754458</v>
      </c>
    </row>
    <row r="583" spans="1:5" ht="15">
      <c r="A583" s="72" t="s">
        <v>429</v>
      </c>
      <c r="B583">
        <f t="shared" si="158"/>
        <v>1246700</v>
      </c>
      <c r="C583" s="28"/>
      <c r="D583">
        <f t="shared" si="153"/>
        <v>20778.333333333332</v>
      </c>
      <c r="E583">
        <f t="shared" si="157"/>
        <v>775236</v>
      </c>
    </row>
    <row r="584" spans="1:5" ht="15">
      <c r="A584" s="72" t="s">
        <v>430</v>
      </c>
      <c r="B584">
        <f t="shared" si="158"/>
        <v>1246700</v>
      </c>
      <c r="C584" s="28"/>
      <c r="D584">
        <f t="shared" si="153"/>
        <v>20778.333333333332</v>
      </c>
      <c r="E584">
        <f t="shared" si="157"/>
        <v>796014</v>
      </c>
    </row>
    <row r="585" spans="1:5" ht="15">
      <c r="A585" s="72" t="s">
        <v>431</v>
      </c>
      <c r="B585">
        <f t="shared" si="158"/>
        <v>1246700</v>
      </c>
      <c r="C585" s="28"/>
      <c r="D585">
        <f t="shared" si="153"/>
        <v>20778.333333333332</v>
      </c>
      <c r="E585">
        <f t="shared" si="157"/>
        <v>816792</v>
      </c>
    </row>
    <row r="586" spans="1:5" ht="15">
      <c r="A586" s="72" t="s">
        <v>432</v>
      </c>
      <c r="B586">
        <f t="shared" si="158"/>
        <v>1246700</v>
      </c>
      <c r="C586" s="28"/>
      <c r="D586">
        <f t="shared" si="153"/>
        <v>20778.333333333332</v>
      </c>
      <c r="E586">
        <f t="shared" si="157"/>
        <v>837570</v>
      </c>
    </row>
    <row r="587" spans="1:5" ht="15">
      <c r="A587" s="72" t="s">
        <v>433</v>
      </c>
      <c r="B587">
        <f t="shared" si="158"/>
        <v>1246700</v>
      </c>
      <c r="C587" s="28"/>
      <c r="D587">
        <f t="shared" si="153"/>
        <v>20778.333333333332</v>
      </c>
      <c r="E587">
        <f t="shared" si="157"/>
        <v>858348</v>
      </c>
    </row>
    <row r="588" ht="15">
      <c r="C588" s="28"/>
    </row>
    <row r="589" ht="15">
      <c r="A589" t="s">
        <v>245</v>
      </c>
    </row>
    <row r="591" spans="2:4" ht="15">
      <c r="B591" s="29" t="s">
        <v>115</v>
      </c>
      <c r="C591" s="29" t="s">
        <v>116</v>
      </c>
      <c r="D591" s="29" t="s">
        <v>116</v>
      </c>
    </row>
    <row r="592" spans="3:5" ht="15">
      <c r="C592" s="29" t="s">
        <v>117</v>
      </c>
      <c r="D592" s="29" t="s">
        <v>118</v>
      </c>
      <c r="E592" s="29" t="s">
        <v>119</v>
      </c>
    </row>
    <row r="594" spans="1:5" ht="15">
      <c r="A594" t="s">
        <v>237</v>
      </c>
      <c r="B594">
        <v>91432</v>
      </c>
      <c r="C594" s="28">
        <f>0.028/12</f>
        <v>0.0023333333333333335</v>
      </c>
      <c r="D594">
        <f>ROUND((B594*C594/2),0)</f>
        <v>107</v>
      </c>
      <c r="E594">
        <f>ROUND(+E593+D594,0)</f>
        <v>107</v>
      </c>
    </row>
    <row r="595" spans="1:5" ht="15">
      <c r="A595" t="s">
        <v>238</v>
      </c>
      <c r="B595">
        <f>B594+113400</f>
        <v>204832</v>
      </c>
      <c r="C595" s="28">
        <f aca="true" t="shared" si="159" ref="C595:C648">0.028/12</f>
        <v>0.0023333333333333335</v>
      </c>
      <c r="D595">
        <f>ROUND((B594*C595)+(113400*C595/2),0)</f>
        <v>346</v>
      </c>
      <c r="E595">
        <f>ROUND(+E594+D595,0)</f>
        <v>453</v>
      </c>
    </row>
    <row r="596" spans="1:5" ht="15">
      <c r="A596" t="s">
        <v>218</v>
      </c>
      <c r="B596">
        <f>B595+87845</f>
        <v>292677</v>
      </c>
      <c r="C596" s="28">
        <f t="shared" si="159"/>
        <v>0.0023333333333333335</v>
      </c>
      <c r="D596">
        <f>ROUND((B595*C596),0)+ROUND(87845*C596/2,0)</f>
        <v>580</v>
      </c>
      <c r="E596">
        <f>ROUND(+E595+D596,0)</f>
        <v>1033</v>
      </c>
    </row>
    <row r="597" ht="15">
      <c r="C597" s="28"/>
    </row>
    <row r="598" spans="1:5" ht="15">
      <c r="A598" s="33" t="s">
        <v>219</v>
      </c>
      <c r="B598" s="47">
        <f>B596+4880</f>
        <v>297557</v>
      </c>
      <c r="C598" s="28">
        <f t="shared" si="159"/>
        <v>0.0023333333333333335</v>
      </c>
      <c r="D598" s="47">
        <f>ROUND((B596*C598),0)+ROUND(4880*C598/2,0)</f>
        <v>689</v>
      </c>
      <c r="E598">
        <f>E596+D598</f>
        <v>1722</v>
      </c>
    </row>
    <row r="599" spans="1:5" ht="15">
      <c r="A599" t="s">
        <v>220</v>
      </c>
      <c r="B599" s="47">
        <f>B598+125475</f>
        <v>423032</v>
      </c>
      <c r="C599" s="28">
        <f t="shared" si="159"/>
        <v>0.0023333333333333335</v>
      </c>
      <c r="D599" s="47">
        <f>ROUND((B598*C599),0)+ROUND(125475*C599/2,0)</f>
        <v>840</v>
      </c>
      <c r="E599">
        <f aca="true" t="shared" si="160" ref="E599:E622">ROUND(+E598+D599,0)</f>
        <v>2562</v>
      </c>
    </row>
    <row r="600" spans="1:5" ht="15">
      <c r="A600" t="s">
        <v>221</v>
      </c>
      <c r="B600" s="47">
        <f>B599+15263</f>
        <v>438295</v>
      </c>
      <c r="C600" s="28">
        <f t="shared" si="159"/>
        <v>0.0023333333333333335</v>
      </c>
      <c r="D600" s="47">
        <f>ROUND((B599*C600),0)+ROUND(15263*C600/2,0)</f>
        <v>1005</v>
      </c>
      <c r="E600">
        <f t="shared" si="160"/>
        <v>3567</v>
      </c>
    </row>
    <row r="601" spans="1:5" ht="15">
      <c r="A601" t="s">
        <v>222</v>
      </c>
      <c r="B601" s="47">
        <f>B600+6796</f>
        <v>445091</v>
      </c>
      <c r="C601" s="28">
        <f t="shared" si="159"/>
        <v>0.0023333333333333335</v>
      </c>
      <c r="D601" s="47">
        <f>ROUND((B600*C601),0)+ROUND(6796*C601/2,0)</f>
        <v>1031</v>
      </c>
      <c r="E601">
        <f t="shared" si="160"/>
        <v>4598</v>
      </c>
    </row>
    <row r="602" spans="1:5" ht="15">
      <c r="A602" t="s">
        <v>223</v>
      </c>
      <c r="B602" s="47">
        <f>B601+9984</f>
        <v>455075</v>
      </c>
      <c r="C602" s="28">
        <f t="shared" si="159"/>
        <v>0.0023333333333333335</v>
      </c>
      <c r="D602" s="47">
        <f>ROUND((B601*C602),0)+ROUND(9984*C602/2,0)</f>
        <v>1051</v>
      </c>
      <c r="E602">
        <f t="shared" si="160"/>
        <v>5649</v>
      </c>
    </row>
    <row r="603" spans="1:5" ht="15">
      <c r="A603" t="s">
        <v>224</v>
      </c>
      <c r="B603" s="47">
        <f>B602+40411</f>
        <v>495486</v>
      </c>
      <c r="C603" s="28">
        <f t="shared" si="159"/>
        <v>0.0023333333333333335</v>
      </c>
      <c r="D603" s="47">
        <f>ROUND((B602*C603),0)+ROUND(40411*C603/2,0)</f>
        <v>1109</v>
      </c>
      <c r="E603">
        <f t="shared" si="160"/>
        <v>6758</v>
      </c>
    </row>
    <row r="604" spans="1:5" ht="15">
      <c r="A604" t="s">
        <v>225</v>
      </c>
      <c r="B604" s="47">
        <f>B603+-2676</f>
        <v>492810</v>
      </c>
      <c r="C604" s="28">
        <f t="shared" si="159"/>
        <v>0.0023333333333333335</v>
      </c>
      <c r="D604" s="47">
        <f>ROUND((B603*C604),0)+ROUND(-2676*C604/2,0)</f>
        <v>1153</v>
      </c>
      <c r="E604">
        <f t="shared" si="160"/>
        <v>7911</v>
      </c>
    </row>
    <row r="605" spans="1:5" ht="15">
      <c r="A605" t="s">
        <v>226</v>
      </c>
      <c r="B605" s="47">
        <f>B604+3788</f>
        <v>496598</v>
      </c>
      <c r="C605" s="28">
        <f t="shared" si="159"/>
        <v>0.0023333333333333335</v>
      </c>
      <c r="D605" s="47">
        <f>ROUND((B604*C605),0)+ROUND(3788*C605/2,0)</f>
        <v>1154</v>
      </c>
      <c r="E605">
        <f t="shared" si="160"/>
        <v>9065</v>
      </c>
    </row>
    <row r="606" spans="1:5" ht="15">
      <c r="A606" t="s">
        <v>227</v>
      </c>
      <c r="B606" s="47">
        <f>B605+980</f>
        <v>497578</v>
      </c>
      <c r="C606" s="28">
        <f t="shared" si="159"/>
        <v>0.0023333333333333335</v>
      </c>
      <c r="D606" s="47">
        <f>ROUND((B605*C606),0)+ROUND(980*C606/2,0)</f>
        <v>1160</v>
      </c>
      <c r="E606">
        <f t="shared" si="160"/>
        <v>10225</v>
      </c>
    </row>
    <row r="607" spans="1:5" ht="15">
      <c r="A607" t="s">
        <v>228</v>
      </c>
      <c r="B607" s="47">
        <f>B606</f>
        <v>497578</v>
      </c>
      <c r="C607" s="28">
        <f t="shared" si="159"/>
        <v>0.0023333333333333335</v>
      </c>
      <c r="D607" s="47">
        <f>ROUND((B607*C607),0)</f>
        <v>1161</v>
      </c>
      <c r="E607">
        <f t="shared" si="160"/>
        <v>11386</v>
      </c>
    </row>
    <row r="608" spans="1:5" ht="15">
      <c r="A608" t="s">
        <v>229</v>
      </c>
      <c r="B608" s="47">
        <f>B607</f>
        <v>497578</v>
      </c>
      <c r="C608" s="28">
        <f t="shared" si="159"/>
        <v>0.0023333333333333335</v>
      </c>
      <c r="D608" s="47">
        <f>ROUND((B608*C608),0)</f>
        <v>1161</v>
      </c>
      <c r="E608">
        <f t="shared" si="160"/>
        <v>12547</v>
      </c>
    </row>
    <row r="609" spans="1:5" ht="15">
      <c r="A609" t="s">
        <v>230</v>
      </c>
      <c r="B609" s="47">
        <f>B608</f>
        <v>497578</v>
      </c>
      <c r="C609" s="28">
        <f t="shared" si="159"/>
        <v>0.0023333333333333335</v>
      </c>
      <c r="D609" s="47">
        <f>ROUND((B609*C609),0)</f>
        <v>1161</v>
      </c>
      <c r="E609">
        <f t="shared" si="160"/>
        <v>13708</v>
      </c>
    </row>
    <row r="610" ht="15">
      <c r="C610" s="28"/>
    </row>
    <row r="611" spans="1:5" ht="15">
      <c r="A611" s="33" t="s">
        <v>312</v>
      </c>
      <c r="B611">
        <f>B609</f>
        <v>497578</v>
      </c>
      <c r="C611" s="28">
        <f t="shared" si="159"/>
        <v>0.0023333333333333335</v>
      </c>
      <c r="D611" s="47">
        <f>ROUND((B611*C611),0)</f>
        <v>1161</v>
      </c>
      <c r="E611">
        <f>ROUND(+E609+D611,0)</f>
        <v>14869</v>
      </c>
    </row>
    <row r="612" spans="1:5" ht="15">
      <c r="A612" t="s">
        <v>313</v>
      </c>
      <c r="B612">
        <f>B611</f>
        <v>497578</v>
      </c>
      <c r="C612" s="28">
        <f t="shared" si="159"/>
        <v>0.0023333333333333335</v>
      </c>
      <c r="D612" s="47">
        <f aca="true" t="shared" si="161" ref="D612:D622">ROUND((B612*C612),0)</f>
        <v>1161</v>
      </c>
      <c r="E612">
        <f t="shared" si="160"/>
        <v>16030</v>
      </c>
    </row>
    <row r="613" spans="1:5" ht="15">
      <c r="A613" t="s">
        <v>314</v>
      </c>
      <c r="B613">
        <f aca="true" t="shared" si="162" ref="B613:B622">B612</f>
        <v>497578</v>
      </c>
      <c r="C613" s="28">
        <f t="shared" si="159"/>
        <v>0.0023333333333333335</v>
      </c>
      <c r="D613" s="47">
        <f t="shared" si="161"/>
        <v>1161</v>
      </c>
      <c r="E613">
        <f t="shared" si="160"/>
        <v>17191</v>
      </c>
    </row>
    <row r="614" spans="1:5" ht="15">
      <c r="A614" t="s">
        <v>315</v>
      </c>
      <c r="B614">
        <f t="shared" si="162"/>
        <v>497578</v>
      </c>
      <c r="C614" s="28">
        <f t="shared" si="159"/>
        <v>0.0023333333333333335</v>
      </c>
      <c r="D614" s="47">
        <f t="shared" si="161"/>
        <v>1161</v>
      </c>
      <c r="E614">
        <f t="shared" si="160"/>
        <v>18352</v>
      </c>
    </row>
    <row r="615" spans="1:5" ht="15">
      <c r="A615" t="s">
        <v>304</v>
      </c>
      <c r="B615">
        <f t="shared" si="162"/>
        <v>497578</v>
      </c>
      <c r="C615" s="28">
        <f t="shared" si="159"/>
        <v>0.0023333333333333335</v>
      </c>
      <c r="D615" s="47">
        <f t="shared" si="161"/>
        <v>1161</v>
      </c>
      <c r="E615">
        <f t="shared" si="160"/>
        <v>19513</v>
      </c>
    </row>
    <row r="616" spans="1:5" ht="15">
      <c r="A616" t="s">
        <v>316</v>
      </c>
      <c r="B616">
        <f t="shared" si="162"/>
        <v>497578</v>
      </c>
      <c r="C616" s="28">
        <f t="shared" si="159"/>
        <v>0.0023333333333333335</v>
      </c>
      <c r="D616" s="47">
        <f t="shared" si="161"/>
        <v>1161</v>
      </c>
      <c r="E616">
        <f t="shared" si="160"/>
        <v>20674</v>
      </c>
    </row>
    <row r="617" spans="1:5" ht="15">
      <c r="A617" t="s">
        <v>317</v>
      </c>
      <c r="B617">
        <f t="shared" si="162"/>
        <v>497578</v>
      </c>
      <c r="C617" s="28">
        <f t="shared" si="159"/>
        <v>0.0023333333333333335</v>
      </c>
      <c r="D617" s="47">
        <f t="shared" si="161"/>
        <v>1161</v>
      </c>
      <c r="E617">
        <f t="shared" si="160"/>
        <v>21835</v>
      </c>
    </row>
    <row r="618" spans="1:5" ht="15">
      <c r="A618" t="s">
        <v>318</v>
      </c>
      <c r="B618">
        <f t="shared" si="162"/>
        <v>497578</v>
      </c>
      <c r="C618" s="28">
        <f t="shared" si="159"/>
        <v>0.0023333333333333335</v>
      </c>
      <c r="D618" s="47">
        <f t="shared" si="161"/>
        <v>1161</v>
      </c>
      <c r="E618">
        <f t="shared" si="160"/>
        <v>22996</v>
      </c>
    </row>
    <row r="619" spans="1:5" ht="15">
      <c r="A619" t="s">
        <v>319</v>
      </c>
      <c r="B619">
        <f t="shared" si="162"/>
        <v>497578</v>
      </c>
      <c r="C619" s="28">
        <f t="shared" si="159"/>
        <v>0.0023333333333333335</v>
      </c>
      <c r="D619" s="47">
        <f t="shared" si="161"/>
        <v>1161</v>
      </c>
      <c r="E619">
        <f t="shared" si="160"/>
        <v>24157</v>
      </c>
    </row>
    <row r="620" spans="1:5" ht="15">
      <c r="A620" t="s">
        <v>320</v>
      </c>
      <c r="B620">
        <f t="shared" si="162"/>
        <v>497578</v>
      </c>
      <c r="C620" s="28">
        <f t="shared" si="159"/>
        <v>0.0023333333333333335</v>
      </c>
      <c r="D620" s="47">
        <f t="shared" si="161"/>
        <v>1161</v>
      </c>
      <c r="E620">
        <f t="shared" si="160"/>
        <v>25318</v>
      </c>
    </row>
    <row r="621" spans="1:5" ht="15">
      <c r="A621" t="s">
        <v>321</v>
      </c>
      <c r="B621">
        <f t="shared" si="162"/>
        <v>497578</v>
      </c>
      <c r="C621" s="28">
        <f t="shared" si="159"/>
        <v>0.0023333333333333335</v>
      </c>
      <c r="D621" s="47">
        <f t="shared" si="161"/>
        <v>1161</v>
      </c>
      <c r="E621">
        <f t="shared" si="160"/>
        <v>26479</v>
      </c>
    </row>
    <row r="622" spans="1:5" ht="15">
      <c r="A622" t="s">
        <v>322</v>
      </c>
      <c r="B622">
        <f t="shared" si="162"/>
        <v>497578</v>
      </c>
      <c r="C622" s="28">
        <f t="shared" si="159"/>
        <v>0.0023333333333333335</v>
      </c>
      <c r="D622" s="47">
        <f t="shared" si="161"/>
        <v>1161</v>
      </c>
      <c r="E622">
        <f t="shared" si="160"/>
        <v>27640</v>
      </c>
    </row>
    <row r="623" ht="15">
      <c r="C623" s="28"/>
    </row>
    <row r="624" spans="1:5" ht="15">
      <c r="A624" s="33" t="s">
        <v>346</v>
      </c>
      <c r="B624">
        <f>B622</f>
        <v>497578</v>
      </c>
      <c r="C624" s="28">
        <f t="shared" si="159"/>
        <v>0.0023333333333333335</v>
      </c>
      <c r="D624" s="47">
        <f>ROUND((B624*C624),0)</f>
        <v>1161</v>
      </c>
      <c r="E624">
        <f>ROUND(+E622+D624,0)</f>
        <v>28801</v>
      </c>
    </row>
    <row r="625" spans="1:5" ht="15">
      <c r="A625" t="s">
        <v>347</v>
      </c>
      <c r="B625">
        <f>B624</f>
        <v>497578</v>
      </c>
      <c r="C625" s="28">
        <f t="shared" si="159"/>
        <v>0.0023333333333333335</v>
      </c>
      <c r="D625" s="47">
        <f aca="true" t="shared" si="163" ref="D625:D635">ROUND((B625*C625),0)</f>
        <v>1161</v>
      </c>
      <c r="E625">
        <f aca="true" t="shared" si="164" ref="E625:E635">ROUND(+E624+D625,0)</f>
        <v>29962</v>
      </c>
    </row>
    <row r="626" spans="1:5" ht="15">
      <c r="A626" t="s">
        <v>348</v>
      </c>
      <c r="B626">
        <f aca="true" t="shared" si="165" ref="B626:B635">B625</f>
        <v>497578</v>
      </c>
      <c r="C626" s="28">
        <f t="shared" si="159"/>
        <v>0.0023333333333333335</v>
      </c>
      <c r="D626" s="47">
        <f t="shared" si="163"/>
        <v>1161</v>
      </c>
      <c r="E626">
        <f t="shared" si="164"/>
        <v>31123</v>
      </c>
    </row>
    <row r="627" spans="1:5" ht="15">
      <c r="A627" t="s">
        <v>349</v>
      </c>
      <c r="B627">
        <f t="shared" si="165"/>
        <v>497578</v>
      </c>
      <c r="C627" s="28">
        <f t="shared" si="159"/>
        <v>0.0023333333333333335</v>
      </c>
      <c r="D627" s="47">
        <f t="shared" si="163"/>
        <v>1161</v>
      </c>
      <c r="E627">
        <f t="shared" si="164"/>
        <v>32284</v>
      </c>
    </row>
    <row r="628" spans="1:5" ht="15">
      <c r="A628" t="s">
        <v>345</v>
      </c>
      <c r="B628">
        <f t="shared" si="165"/>
        <v>497578</v>
      </c>
      <c r="C628" s="28">
        <f t="shared" si="159"/>
        <v>0.0023333333333333335</v>
      </c>
      <c r="D628" s="47">
        <f t="shared" si="163"/>
        <v>1161</v>
      </c>
      <c r="E628">
        <f t="shared" si="164"/>
        <v>33445</v>
      </c>
    </row>
    <row r="629" spans="1:5" ht="15">
      <c r="A629" t="s">
        <v>350</v>
      </c>
      <c r="B629">
        <f t="shared" si="165"/>
        <v>497578</v>
      </c>
      <c r="C629" s="28">
        <f t="shared" si="159"/>
        <v>0.0023333333333333335</v>
      </c>
      <c r="D629" s="47">
        <f t="shared" si="163"/>
        <v>1161</v>
      </c>
      <c r="E629">
        <f t="shared" si="164"/>
        <v>34606</v>
      </c>
    </row>
    <row r="630" spans="1:5" ht="15">
      <c r="A630" t="s">
        <v>351</v>
      </c>
      <c r="B630">
        <f t="shared" si="165"/>
        <v>497578</v>
      </c>
      <c r="C630" s="28">
        <f t="shared" si="159"/>
        <v>0.0023333333333333335</v>
      </c>
      <c r="D630" s="47">
        <f t="shared" si="163"/>
        <v>1161</v>
      </c>
      <c r="E630">
        <f t="shared" si="164"/>
        <v>35767</v>
      </c>
    </row>
    <row r="631" spans="1:5" ht="15">
      <c r="A631" t="s">
        <v>352</v>
      </c>
      <c r="B631">
        <f t="shared" si="165"/>
        <v>497578</v>
      </c>
      <c r="C631" s="28">
        <f t="shared" si="159"/>
        <v>0.0023333333333333335</v>
      </c>
      <c r="D631" s="47">
        <f t="shared" si="163"/>
        <v>1161</v>
      </c>
      <c r="E631">
        <f t="shared" si="164"/>
        <v>36928</v>
      </c>
    </row>
    <row r="632" spans="1:5" ht="15">
      <c r="A632" t="s">
        <v>353</v>
      </c>
      <c r="B632">
        <f t="shared" si="165"/>
        <v>497578</v>
      </c>
      <c r="C632" s="28">
        <f t="shared" si="159"/>
        <v>0.0023333333333333335</v>
      </c>
      <c r="D632" s="47">
        <f t="shared" si="163"/>
        <v>1161</v>
      </c>
      <c r="E632">
        <f t="shared" si="164"/>
        <v>38089</v>
      </c>
    </row>
    <row r="633" spans="1:5" ht="15">
      <c r="A633" t="s">
        <v>354</v>
      </c>
      <c r="B633">
        <f t="shared" si="165"/>
        <v>497578</v>
      </c>
      <c r="C633" s="28">
        <f t="shared" si="159"/>
        <v>0.0023333333333333335</v>
      </c>
      <c r="D633" s="47">
        <f t="shared" si="163"/>
        <v>1161</v>
      </c>
      <c r="E633">
        <f t="shared" si="164"/>
        <v>39250</v>
      </c>
    </row>
    <row r="634" spans="1:5" ht="15">
      <c r="A634" t="s">
        <v>355</v>
      </c>
      <c r="B634">
        <f t="shared" si="165"/>
        <v>497578</v>
      </c>
      <c r="C634" s="28">
        <f t="shared" si="159"/>
        <v>0.0023333333333333335</v>
      </c>
      <c r="D634" s="47">
        <f t="shared" si="163"/>
        <v>1161</v>
      </c>
      <c r="E634">
        <f t="shared" si="164"/>
        <v>40411</v>
      </c>
    </row>
    <row r="635" spans="1:5" ht="15">
      <c r="A635" t="s">
        <v>356</v>
      </c>
      <c r="B635">
        <f t="shared" si="165"/>
        <v>497578</v>
      </c>
      <c r="C635" s="28">
        <f t="shared" si="159"/>
        <v>0.0023333333333333335</v>
      </c>
      <c r="D635" s="47">
        <f t="shared" si="163"/>
        <v>1161</v>
      </c>
      <c r="E635">
        <f t="shared" si="164"/>
        <v>41572</v>
      </c>
    </row>
    <row r="636" ht="15">
      <c r="C636" s="28"/>
    </row>
    <row r="637" spans="1:5" ht="15">
      <c r="A637" s="73" t="s">
        <v>423</v>
      </c>
      <c r="B637">
        <f>B635</f>
        <v>497578</v>
      </c>
      <c r="C637" s="28">
        <f t="shared" si="159"/>
        <v>0.0023333333333333335</v>
      </c>
      <c r="D637" s="47">
        <f>ROUND((B637*C637),0)</f>
        <v>1161</v>
      </c>
      <c r="E637">
        <f>ROUND(+E635+D637,0)</f>
        <v>42733</v>
      </c>
    </row>
    <row r="638" spans="1:5" ht="15">
      <c r="A638" s="72" t="s">
        <v>424</v>
      </c>
      <c r="B638">
        <f>B637</f>
        <v>497578</v>
      </c>
      <c r="C638" s="28">
        <f t="shared" si="159"/>
        <v>0.0023333333333333335</v>
      </c>
      <c r="D638" s="47">
        <f aca="true" t="shared" si="166" ref="D638:D648">ROUND((B638*C638),0)</f>
        <v>1161</v>
      </c>
      <c r="E638">
        <f aca="true" t="shared" si="167" ref="E638:E648">ROUND(+E637+D638,0)</f>
        <v>43894</v>
      </c>
    </row>
    <row r="639" spans="1:5" ht="15">
      <c r="A639" s="72" t="s">
        <v>425</v>
      </c>
      <c r="B639">
        <f aca="true" t="shared" si="168" ref="B639:B648">B638</f>
        <v>497578</v>
      </c>
      <c r="C639" s="28">
        <f t="shared" si="159"/>
        <v>0.0023333333333333335</v>
      </c>
      <c r="D639" s="47">
        <f t="shared" si="166"/>
        <v>1161</v>
      </c>
      <c r="E639">
        <f t="shared" si="167"/>
        <v>45055</v>
      </c>
    </row>
    <row r="640" spans="1:5" ht="15">
      <c r="A640" s="72" t="s">
        <v>426</v>
      </c>
      <c r="B640">
        <f t="shared" si="168"/>
        <v>497578</v>
      </c>
      <c r="C640" s="28">
        <f t="shared" si="159"/>
        <v>0.0023333333333333335</v>
      </c>
      <c r="D640" s="47">
        <f t="shared" si="166"/>
        <v>1161</v>
      </c>
      <c r="E640">
        <f t="shared" si="167"/>
        <v>46216</v>
      </c>
    </row>
    <row r="641" spans="1:5" ht="15">
      <c r="A641" s="72" t="s">
        <v>410</v>
      </c>
      <c r="B641">
        <f t="shared" si="168"/>
        <v>497578</v>
      </c>
      <c r="C641" s="28">
        <f t="shared" si="159"/>
        <v>0.0023333333333333335</v>
      </c>
      <c r="D641" s="47">
        <f t="shared" si="166"/>
        <v>1161</v>
      </c>
      <c r="E641">
        <f t="shared" si="167"/>
        <v>47377</v>
      </c>
    </row>
    <row r="642" spans="1:5" ht="15">
      <c r="A642" s="72" t="s">
        <v>427</v>
      </c>
      <c r="B642">
        <f t="shared" si="168"/>
        <v>497578</v>
      </c>
      <c r="C642" s="28">
        <f t="shared" si="159"/>
        <v>0.0023333333333333335</v>
      </c>
      <c r="D642" s="47">
        <f t="shared" si="166"/>
        <v>1161</v>
      </c>
      <c r="E642">
        <f t="shared" si="167"/>
        <v>48538</v>
      </c>
    </row>
    <row r="643" spans="1:5" ht="15">
      <c r="A643" s="72" t="s">
        <v>428</v>
      </c>
      <c r="B643">
        <f t="shared" si="168"/>
        <v>497578</v>
      </c>
      <c r="C643" s="28">
        <f t="shared" si="159"/>
        <v>0.0023333333333333335</v>
      </c>
      <c r="D643" s="47">
        <f t="shared" si="166"/>
        <v>1161</v>
      </c>
      <c r="E643">
        <f t="shared" si="167"/>
        <v>49699</v>
      </c>
    </row>
    <row r="644" spans="1:5" ht="15">
      <c r="A644" s="72" t="s">
        <v>429</v>
      </c>
      <c r="B644">
        <f t="shared" si="168"/>
        <v>497578</v>
      </c>
      <c r="C644" s="28">
        <f t="shared" si="159"/>
        <v>0.0023333333333333335</v>
      </c>
      <c r="D644" s="47">
        <f t="shared" si="166"/>
        <v>1161</v>
      </c>
      <c r="E644">
        <f t="shared" si="167"/>
        <v>50860</v>
      </c>
    </row>
    <row r="645" spans="1:5" ht="15">
      <c r="A645" s="72" t="s">
        <v>430</v>
      </c>
      <c r="B645">
        <f t="shared" si="168"/>
        <v>497578</v>
      </c>
      <c r="C645" s="28">
        <f t="shared" si="159"/>
        <v>0.0023333333333333335</v>
      </c>
      <c r="D645" s="47">
        <f t="shared" si="166"/>
        <v>1161</v>
      </c>
      <c r="E645">
        <f t="shared" si="167"/>
        <v>52021</v>
      </c>
    </row>
    <row r="646" spans="1:5" ht="15">
      <c r="A646" s="72" t="s">
        <v>431</v>
      </c>
      <c r="B646">
        <f t="shared" si="168"/>
        <v>497578</v>
      </c>
      <c r="C646" s="28">
        <f t="shared" si="159"/>
        <v>0.0023333333333333335</v>
      </c>
      <c r="D646" s="47">
        <f t="shared" si="166"/>
        <v>1161</v>
      </c>
      <c r="E646">
        <f t="shared" si="167"/>
        <v>53182</v>
      </c>
    </row>
    <row r="647" spans="1:5" ht="15">
      <c r="A647" s="72" t="s">
        <v>432</v>
      </c>
      <c r="B647">
        <f t="shared" si="168"/>
        <v>497578</v>
      </c>
      <c r="C647" s="28">
        <f t="shared" si="159"/>
        <v>0.0023333333333333335</v>
      </c>
      <c r="D647" s="47">
        <f t="shared" si="166"/>
        <v>1161</v>
      </c>
      <c r="E647">
        <f t="shared" si="167"/>
        <v>54343</v>
      </c>
    </row>
    <row r="648" spans="1:5" ht="15">
      <c r="A648" s="72" t="s">
        <v>433</v>
      </c>
      <c r="B648">
        <f t="shared" si="168"/>
        <v>497578</v>
      </c>
      <c r="C648" s="28">
        <f t="shared" si="159"/>
        <v>0.0023333333333333335</v>
      </c>
      <c r="D648" s="47">
        <f t="shared" si="166"/>
        <v>1161</v>
      </c>
      <c r="E648">
        <f t="shared" si="167"/>
        <v>55504</v>
      </c>
    </row>
    <row r="649" ht="15">
      <c r="C649" s="28"/>
    </row>
    <row r="650" ht="15">
      <c r="C650" s="28"/>
    </row>
    <row r="651" ht="15">
      <c r="A651" t="s">
        <v>246</v>
      </c>
    </row>
    <row r="653" spans="2:4" ht="15">
      <c r="B653" s="29" t="s">
        <v>115</v>
      </c>
      <c r="C653" s="29" t="s">
        <v>116</v>
      </c>
      <c r="D653" s="29" t="s">
        <v>116</v>
      </c>
    </row>
    <row r="654" spans="3:5" ht="15">
      <c r="C654" s="29" t="s">
        <v>117</v>
      </c>
      <c r="D654" s="29" t="s">
        <v>118</v>
      </c>
      <c r="E654" s="29" t="s">
        <v>119</v>
      </c>
    </row>
    <row r="656" spans="1:5" ht="15">
      <c r="A656" t="s">
        <v>237</v>
      </c>
      <c r="B656">
        <v>0</v>
      </c>
      <c r="C656" s="28">
        <f>0.028/12</f>
        <v>0.0023333333333333335</v>
      </c>
      <c r="D656">
        <f>ROUND((B656*C656/2),0)</f>
        <v>0</v>
      </c>
      <c r="E656">
        <f>ROUND(+E655+D656,0)</f>
        <v>0</v>
      </c>
    </row>
    <row r="657" spans="1:5" ht="15">
      <c r="A657" t="s">
        <v>238</v>
      </c>
      <c r="B657">
        <v>0</v>
      </c>
      <c r="C657" s="28">
        <f aca="true" t="shared" si="169" ref="C657:C710">0.028/12</f>
        <v>0.0023333333333333335</v>
      </c>
      <c r="D657">
        <f>ROUND((B657*C657/2),0)</f>
        <v>0</v>
      </c>
      <c r="E657">
        <f>ROUND(+E656+D657,0)</f>
        <v>0</v>
      </c>
    </row>
    <row r="658" spans="1:5" ht="15">
      <c r="A658" t="s">
        <v>218</v>
      </c>
      <c r="B658">
        <v>816047</v>
      </c>
      <c r="C658" s="28">
        <f t="shared" si="169"/>
        <v>0.0023333333333333335</v>
      </c>
      <c r="D658">
        <f>ROUND((B658*C658/2),0)</f>
        <v>952</v>
      </c>
      <c r="E658">
        <f>ROUND(+E657+D658,0)</f>
        <v>952</v>
      </c>
    </row>
    <row r="659" ht="15">
      <c r="C659" s="28"/>
    </row>
    <row r="660" spans="1:5" ht="15">
      <c r="A660" s="33" t="s">
        <v>219</v>
      </c>
      <c r="B660" s="47">
        <f>B658+52974</f>
        <v>869021</v>
      </c>
      <c r="C660" s="28">
        <f t="shared" si="169"/>
        <v>0.0023333333333333335</v>
      </c>
      <c r="D660" s="47">
        <f>ROUND((B658*C660),0)+ROUND(52974*C660/2,0)</f>
        <v>1966</v>
      </c>
      <c r="E660">
        <f>E658+D660</f>
        <v>2918</v>
      </c>
    </row>
    <row r="661" spans="1:5" ht="15">
      <c r="A661" t="s">
        <v>220</v>
      </c>
      <c r="B661" s="47">
        <f>B660+-215228</f>
        <v>653793</v>
      </c>
      <c r="C661" s="28">
        <f t="shared" si="169"/>
        <v>0.0023333333333333335</v>
      </c>
      <c r="D661" s="47">
        <f>ROUND((B660*C661),0)+ROUND(-215228*C661/2,0)</f>
        <v>1777</v>
      </c>
      <c r="E661">
        <f aca="true" t="shared" si="170" ref="E661:E684">ROUND(+E660+D661,0)</f>
        <v>4695</v>
      </c>
    </row>
    <row r="662" spans="1:5" ht="15">
      <c r="A662" t="s">
        <v>221</v>
      </c>
      <c r="B662" s="47">
        <f>B661+10308</f>
        <v>664101</v>
      </c>
      <c r="C662" s="28">
        <f t="shared" si="169"/>
        <v>0.0023333333333333335</v>
      </c>
      <c r="D662" s="47">
        <f>ROUND((B661*C662),0)+ROUND(10308*C662/2,0)</f>
        <v>1538</v>
      </c>
      <c r="E662">
        <f t="shared" si="170"/>
        <v>6233</v>
      </c>
    </row>
    <row r="663" spans="1:5" ht="15">
      <c r="A663" t="s">
        <v>222</v>
      </c>
      <c r="B663" s="47">
        <f>B662+3056</f>
        <v>667157</v>
      </c>
      <c r="C663" s="28">
        <f t="shared" si="169"/>
        <v>0.0023333333333333335</v>
      </c>
      <c r="D663" s="47">
        <f>ROUND((B662*C663),0)+ROUND(3056*C663/2,0)</f>
        <v>1554</v>
      </c>
      <c r="E663">
        <f t="shared" si="170"/>
        <v>7787</v>
      </c>
    </row>
    <row r="664" spans="1:5" ht="15">
      <c r="A664" t="s">
        <v>223</v>
      </c>
      <c r="B664" s="47">
        <f>B663+11607</f>
        <v>678764</v>
      </c>
      <c r="C664" s="28">
        <f t="shared" si="169"/>
        <v>0.0023333333333333335</v>
      </c>
      <c r="D664" s="47">
        <f>ROUND((B663*C664),0)+ROUND(11607*C664/2,0)</f>
        <v>1571</v>
      </c>
      <c r="E664">
        <f t="shared" si="170"/>
        <v>9358</v>
      </c>
    </row>
    <row r="665" spans="1:5" ht="15">
      <c r="A665" t="s">
        <v>224</v>
      </c>
      <c r="B665" s="47">
        <f>B664+139747</f>
        <v>818511</v>
      </c>
      <c r="C665" s="28">
        <f t="shared" si="169"/>
        <v>0.0023333333333333335</v>
      </c>
      <c r="D665" s="47">
        <f>ROUND((B664*C665),0)+ROUND(139747*C665/2,0)</f>
        <v>1747</v>
      </c>
      <c r="E665">
        <f t="shared" si="170"/>
        <v>11105</v>
      </c>
    </row>
    <row r="666" spans="1:5" ht="15">
      <c r="A666" t="s">
        <v>225</v>
      </c>
      <c r="B666" s="47">
        <f>B665+375</f>
        <v>818886</v>
      </c>
      <c r="C666" s="28">
        <f t="shared" si="169"/>
        <v>0.0023333333333333335</v>
      </c>
      <c r="D666" s="47">
        <f>ROUND((B665*C666),0)+ROUND(375*C666/2,0)</f>
        <v>1910</v>
      </c>
      <c r="E666">
        <f t="shared" si="170"/>
        <v>13015</v>
      </c>
    </row>
    <row r="667" spans="1:5" ht="15">
      <c r="A667" t="s">
        <v>226</v>
      </c>
      <c r="B667" s="47">
        <f>B666+-1276</f>
        <v>817610</v>
      </c>
      <c r="C667" s="28">
        <f t="shared" si="169"/>
        <v>0.0023333333333333335</v>
      </c>
      <c r="D667" s="47">
        <f>ROUND((B666*C667),0)+ROUND(-1276*C667/2,0)</f>
        <v>1910</v>
      </c>
      <c r="E667">
        <f t="shared" si="170"/>
        <v>14925</v>
      </c>
    </row>
    <row r="668" spans="1:5" ht="15">
      <c r="A668" t="s">
        <v>227</v>
      </c>
      <c r="B668" s="47">
        <f>B667+791</f>
        <v>818401</v>
      </c>
      <c r="C668" s="28">
        <f t="shared" si="169"/>
        <v>0.0023333333333333335</v>
      </c>
      <c r="D668" s="47">
        <f>ROUND((B667*C668),0)+ROUND(791*C668/2,0)</f>
        <v>1909</v>
      </c>
      <c r="E668">
        <f t="shared" si="170"/>
        <v>16834</v>
      </c>
    </row>
    <row r="669" spans="1:5" ht="15">
      <c r="A669" t="s">
        <v>228</v>
      </c>
      <c r="B669" s="47">
        <f>B668</f>
        <v>818401</v>
      </c>
      <c r="C669" s="28">
        <f t="shared" si="169"/>
        <v>0.0023333333333333335</v>
      </c>
      <c r="D669" s="47">
        <f>ROUND((B669*C669),0)</f>
        <v>1910</v>
      </c>
      <c r="E669">
        <f t="shared" si="170"/>
        <v>18744</v>
      </c>
    </row>
    <row r="670" spans="1:5" ht="15">
      <c r="A670" t="s">
        <v>229</v>
      </c>
      <c r="B670" s="47">
        <f>B669</f>
        <v>818401</v>
      </c>
      <c r="C670" s="28">
        <f t="shared" si="169"/>
        <v>0.0023333333333333335</v>
      </c>
      <c r="D670" s="47">
        <f>ROUND((B670*C670),0)</f>
        <v>1910</v>
      </c>
      <c r="E670">
        <f t="shared" si="170"/>
        <v>20654</v>
      </c>
    </row>
    <row r="671" spans="1:5" ht="15">
      <c r="A671" t="s">
        <v>230</v>
      </c>
      <c r="B671" s="47">
        <f>B670</f>
        <v>818401</v>
      </c>
      <c r="C671" s="28">
        <f t="shared" si="169"/>
        <v>0.0023333333333333335</v>
      </c>
      <c r="D671" s="47">
        <f>ROUND((B671*C671),0)</f>
        <v>1910</v>
      </c>
      <c r="E671">
        <f t="shared" si="170"/>
        <v>22564</v>
      </c>
    </row>
    <row r="672" spans="2:4" ht="15">
      <c r="B672" s="47"/>
      <c r="C672" s="28"/>
      <c r="D672" s="47"/>
    </row>
    <row r="673" spans="1:5" ht="15">
      <c r="A673" s="33" t="s">
        <v>312</v>
      </c>
      <c r="B673" s="47">
        <f>B671</f>
        <v>818401</v>
      </c>
      <c r="C673" s="28">
        <f t="shared" si="169"/>
        <v>0.0023333333333333335</v>
      </c>
      <c r="D673" s="47">
        <f>ROUND((B673*C673),0)</f>
        <v>1910</v>
      </c>
      <c r="E673">
        <f>ROUND(+E671+D673,0)</f>
        <v>24474</v>
      </c>
    </row>
    <row r="674" spans="1:5" ht="15">
      <c r="A674" t="s">
        <v>313</v>
      </c>
      <c r="B674" s="47">
        <f>B673</f>
        <v>818401</v>
      </c>
      <c r="C674" s="28">
        <f t="shared" si="169"/>
        <v>0.0023333333333333335</v>
      </c>
      <c r="D674" s="47">
        <f aca="true" t="shared" si="171" ref="D674:D684">ROUND((B674*C674),0)</f>
        <v>1910</v>
      </c>
      <c r="E674">
        <f t="shared" si="170"/>
        <v>26384</v>
      </c>
    </row>
    <row r="675" spans="1:5" ht="15">
      <c r="A675" t="s">
        <v>314</v>
      </c>
      <c r="B675" s="47">
        <f aca="true" t="shared" si="172" ref="B675:B684">B674</f>
        <v>818401</v>
      </c>
      <c r="C675" s="28">
        <f t="shared" si="169"/>
        <v>0.0023333333333333335</v>
      </c>
      <c r="D675" s="47">
        <f t="shared" si="171"/>
        <v>1910</v>
      </c>
      <c r="E675">
        <f t="shared" si="170"/>
        <v>28294</v>
      </c>
    </row>
    <row r="676" spans="1:5" ht="15">
      <c r="A676" t="s">
        <v>315</v>
      </c>
      <c r="B676" s="47">
        <f t="shared" si="172"/>
        <v>818401</v>
      </c>
      <c r="C676" s="28">
        <f t="shared" si="169"/>
        <v>0.0023333333333333335</v>
      </c>
      <c r="D676" s="47">
        <f t="shared" si="171"/>
        <v>1910</v>
      </c>
      <c r="E676">
        <f t="shared" si="170"/>
        <v>30204</v>
      </c>
    </row>
    <row r="677" spans="1:5" ht="15">
      <c r="A677" t="s">
        <v>304</v>
      </c>
      <c r="B677" s="47">
        <f t="shared" si="172"/>
        <v>818401</v>
      </c>
      <c r="C677" s="28">
        <f t="shared" si="169"/>
        <v>0.0023333333333333335</v>
      </c>
      <c r="D677" s="47">
        <f t="shared" si="171"/>
        <v>1910</v>
      </c>
      <c r="E677">
        <f t="shared" si="170"/>
        <v>32114</v>
      </c>
    </row>
    <row r="678" spans="1:5" ht="15">
      <c r="A678" t="s">
        <v>316</v>
      </c>
      <c r="B678" s="47">
        <f t="shared" si="172"/>
        <v>818401</v>
      </c>
      <c r="C678" s="28">
        <f t="shared" si="169"/>
        <v>0.0023333333333333335</v>
      </c>
      <c r="D678" s="47">
        <f t="shared" si="171"/>
        <v>1910</v>
      </c>
      <c r="E678">
        <f t="shared" si="170"/>
        <v>34024</v>
      </c>
    </row>
    <row r="679" spans="1:5" ht="15">
      <c r="A679" t="s">
        <v>317</v>
      </c>
      <c r="B679" s="47">
        <f t="shared" si="172"/>
        <v>818401</v>
      </c>
      <c r="C679" s="28">
        <f t="shared" si="169"/>
        <v>0.0023333333333333335</v>
      </c>
      <c r="D679" s="47">
        <f t="shared" si="171"/>
        <v>1910</v>
      </c>
      <c r="E679">
        <f t="shared" si="170"/>
        <v>35934</v>
      </c>
    </row>
    <row r="680" spans="1:5" ht="15">
      <c r="A680" t="s">
        <v>318</v>
      </c>
      <c r="B680" s="47">
        <f t="shared" si="172"/>
        <v>818401</v>
      </c>
      <c r="C680" s="28">
        <f t="shared" si="169"/>
        <v>0.0023333333333333335</v>
      </c>
      <c r="D680" s="47">
        <f t="shared" si="171"/>
        <v>1910</v>
      </c>
      <c r="E680">
        <f t="shared" si="170"/>
        <v>37844</v>
      </c>
    </row>
    <row r="681" spans="1:5" ht="15">
      <c r="A681" t="s">
        <v>319</v>
      </c>
      <c r="B681" s="47">
        <f t="shared" si="172"/>
        <v>818401</v>
      </c>
      <c r="C681" s="28">
        <f t="shared" si="169"/>
        <v>0.0023333333333333335</v>
      </c>
      <c r="D681" s="47">
        <f t="shared" si="171"/>
        <v>1910</v>
      </c>
      <c r="E681">
        <f t="shared" si="170"/>
        <v>39754</v>
      </c>
    </row>
    <row r="682" spans="1:5" ht="15">
      <c r="A682" t="s">
        <v>320</v>
      </c>
      <c r="B682" s="47">
        <f t="shared" si="172"/>
        <v>818401</v>
      </c>
      <c r="C682" s="28">
        <f t="shared" si="169"/>
        <v>0.0023333333333333335</v>
      </c>
      <c r="D682" s="47">
        <f t="shared" si="171"/>
        <v>1910</v>
      </c>
      <c r="E682">
        <f t="shared" si="170"/>
        <v>41664</v>
      </c>
    </row>
    <row r="683" spans="1:5" ht="15">
      <c r="A683" t="s">
        <v>321</v>
      </c>
      <c r="B683" s="47">
        <f t="shared" si="172"/>
        <v>818401</v>
      </c>
      <c r="C683" s="28">
        <f t="shared" si="169"/>
        <v>0.0023333333333333335</v>
      </c>
      <c r="D683" s="47">
        <f t="shared" si="171"/>
        <v>1910</v>
      </c>
      <c r="E683">
        <f t="shared" si="170"/>
        <v>43574</v>
      </c>
    </row>
    <row r="684" spans="1:5" ht="15">
      <c r="A684" t="s">
        <v>322</v>
      </c>
      <c r="B684" s="47">
        <f t="shared" si="172"/>
        <v>818401</v>
      </c>
      <c r="C684" s="28">
        <f t="shared" si="169"/>
        <v>0.0023333333333333335</v>
      </c>
      <c r="D684" s="47">
        <f t="shared" si="171"/>
        <v>1910</v>
      </c>
      <c r="E684">
        <f t="shared" si="170"/>
        <v>45484</v>
      </c>
    </row>
    <row r="685" spans="2:4" ht="15">
      <c r="B685" s="47"/>
      <c r="C685" s="28"/>
      <c r="D685" s="47"/>
    </row>
    <row r="686" spans="1:5" ht="15">
      <c r="A686" s="33" t="s">
        <v>346</v>
      </c>
      <c r="B686" s="47">
        <f>B684</f>
        <v>818401</v>
      </c>
      <c r="C686" s="28">
        <f t="shared" si="169"/>
        <v>0.0023333333333333335</v>
      </c>
      <c r="D686" s="47">
        <f>ROUND((B686*C686),0)</f>
        <v>1910</v>
      </c>
      <c r="E686">
        <f>ROUND(+E684+D686,0)</f>
        <v>47394</v>
      </c>
    </row>
    <row r="687" spans="1:5" ht="15">
      <c r="A687" t="s">
        <v>347</v>
      </c>
      <c r="B687" s="47">
        <f>B686</f>
        <v>818401</v>
      </c>
      <c r="C687" s="28">
        <f t="shared" si="169"/>
        <v>0.0023333333333333335</v>
      </c>
      <c r="D687" s="47">
        <f aca="true" t="shared" si="173" ref="D687:D697">ROUND((B687*C687),0)</f>
        <v>1910</v>
      </c>
      <c r="E687">
        <f aca="true" t="shared" si="174" ref="E687:E697">ROUND(+E686+D687,0)</f>
        <v>49304</v>
      </c>
    </row>
    <row r="688" spans="1:5" ht="15">
      <c r="A688" t="s">
        <v>348</v>
      </c>
      <c r="B688" s="47">
        <f aca="true" t="shared" si="175" ref="B688:B697">B687</f>
        <v>818401</v>
      </c>
      <c r="C688" s="28">
        <f t="shared" si="169"/>
        <v>0.0023333333333333335</v>
      </c>
      <c r="D688" s="47">
        <f t="shared" si="173"/>
        <v>1910</v>
      </c>
      <c r="E688">
        <f t="shared" si="174"/>
        <v>51214</v>
      </c>
    </row>
    <row r="689" spans="1:5" ht="15">
      <c r="A689" t="s">
        <v>349</v>
      </c>
      <c r="B689" s="47">
        <f t="shared" si="175"/>
        <v>818401</v>
      </c>
      <c r="C689" s="28">
        <f t="shared" si="169"/>
        <v>0.0023333333333333335</v>
      </c>
      <c r="D689" s="47">
        <f t="shared" si="173"/>
        <v>1910</v>
      </c>
      <c r="E689">
        <f t="shared" si="174"/>
        <v>53124</v>
      </c>
    </row>
    <row r="690" spans="1:5" ht="15">
      <c r="A690" t="s">
        <v>345</v>
      </c>
      <c r="B690" s="47">
        <f t="shared" si="175"/>
        <v>818401</v>
      </c>
      <c r="C690" s="28">
        <f t="shared" si="169"/>
        <v>0.0023333333333333335</v>
      </c>
      <c r="D690" s="47">
        <f t="shared" si="173"/>
        <v>1910</v>
      </c>
      <c r="E690">
        <f t="shared" si="174"/>
        <v>55034</v>
      </c>
    </row>
    <row r="691" spans="1:5" ht="15">
      <c r="A691" t="s">
        <v>350</v>
      </c>
      <c r="B691" s="47">
        <f t="shared" si="175"/>
        <v>818401</v>
      </c>
      <c r="C691" s="28">
        <f t="shared" si="169"/>
        <v>0.0023333333333333335</v>
      </c>
      <c r="D691" s="47">
        <f t="shared" si="173"/>
        <v>1910</v>
      </c>
      <c r="E691">
        <f t="shared" si="174"/>
        <v>56944</v>
      </c>
    </row>
    <row r="692" spans="1:5" ht="15">
      <c r="A692" t="s">
        <v>351</v>
      </c>
      <c r="B692" s="47">
        <f t="shared" si="175"/>
        <v>818401</v>
      </c>
      <c r="C692" s="28">
        <f t="shared" si="169"/>
        <v>0.0023333333333333335</v>
      </c>
      <c r="D692" s="47">
        <f t="shared" si="173"/>
        <v>1910</v>
      </c>
      <c r="E692">
        <f t="shared" si="174"/>
        <v>58854</v>
      </c>
    </row>
    <row r="693" spans="1:5" ht="15">
      <c r="A693" t="s">
        <v>352</v>
      </c>
      <c r="B693" s="47">
        <f t="shared" si="175"/>
        <v>818401</v>
      </c>
      <c r="C693" s="28">
        <f t="shared" si="169"/>
        <v>0.0023333333333333335</v>
      </c>
      <c r="D693" s="47">
        <f t="shared" si="173"/>
        <v>1910</v>
      </c>
      <c r="E693">
        <f t="shared" si="174"/>
        <v>60764</v>
      </c>
    </row>
    <row r="694" spans="1:5" ht="15">
      <c r="A694" t="s">
        <v>353</v>
      </c>
      <c r="B694" s="47">
        <f t="shared" si="175"/>
        <v>818401</v>
      </c>
      <c r="C694" s="28">
        <f t="shared" si="169"/>
        <v>0.0023333333333333335</v>
      </c>
      <c r="D694" s="47">
        <f t="shared" si="173"/>
        <v>1910</v>
      </c>
      <c r="E694">
        <f t="shared" si="174"/>
        <v>62674</v>
      </c>
    </row>
    <row r="695" spans="1:5" ht="15">
      <c r="A695" t="s">
        <v>354</v>
      </c>
      <c r="B695" s="47">
        <f t="shared" si="175"/>
        <v>818401</v>
      </c>
      <c r="C695" s="28">
        <f t="shared" si="169"/>
        <v>0.0023333333333333335</v>
      </c>
      <c r="D695" s="47">
        <f t="shared" si="173"/>
        <v>1910</v>
      </c>
      <c r="E695">
        <f t="shared" si="174"/>
        <v>64584</v>
      </c>
    </row>
    <row r="696" spans="1:5" ht="15">
      <c r="A696" t="s">
        <v>355</v>
      </c>
      <c r="B696" s="47">
        <f t="shared" si="175"/>
        <v>818401</v>
      </c>
      <c r="C696" s="28">
        <f t="shared" si="169"/>
        <v>0.0023333333333333335</v>
      </c>
      <c r="D696" s="47">
        <f t="shared" si="173"/>
        <v>1910</v>
      </c>
      <c r="E696">
        <f t="shared" si="174"/>
        <v>66494</v>
      </c>
    </row>
    <row r="697" spans="1:5" ht="15">
      <c r="A697" t="s">
        <v>356</v>
      </c>
      <c r="B697" s="47">
        <f t="shared" si="175"/>
        <v>818401</v>
      </c>
      <c r="C697" s="28">
        <f t="shared" si="169"/>
        <v>0.0023333333333333335</v>
      </c>
      <c r="D697" s="47">
        <f t="shared" si="173"/>
        <v>1910</v>
      </c>
      <c r="E697">
        <f t="shared" si="174"/>
        <v>68404</v>
      </c>
    </row>
    <row r="698" ht="15">
      <c r="C698" s="28"/>
    </row>
    <row r="699" spans="1:5" ht="15">
      <c r="A699" s="73" t="s">
        <v>423</v>
      </c>
      <c r="B699" s="47">
        <f>B697</f>
        <v>818401</v>
      </c>
      <c r="C699" s="28">
        <f t="shared" si="169"/>
        <v>0.0023333333333333335</v>
      </c>
      <c r="D699" s="47">
        <f>ROUND((B699*C699),0)</f>
        <v>1910</v>
      </c>
      <c r="E699">
        <f>ROUND(+E697+D699,0)</f>
        <v>70314</v>
      </c>
    </row>
    <row r="700" spans="1:5" ht="15">
      <c r="A700" s="72" t="s">
        <v>424</v>
      </c>
      <c r="B700" s="47">
        <f>B699</f>
        <v>818401</v>
      </c>
      <c r="C700" s="28">
        <f t="shared" si="169"/>
        <v>0.0023333333333333335</v>
      </c>
      <c r="D700" s="47">
        <f aca="true" t="shared" si="176" ref="D700:D710">ROUND((B700*C700),0)</f>
        <v>1910</v>
      </c>
      <c r="E700">
        <f aca="true" t="shared" si="177" ref="E700:E710">ROUND(+E699+D700,0)</f>
        <v>72224</v>
      </c>
    </row>
    <row r="701" spans="1:5" ht="15">
      <c r="A701" s="72" t="s">
        <v>425</v>
      </c>
      <c r="B701" s="47">
        <f aca="true" t="shared" si="178" ref="B701:B710">B700</f>
        <v>818401</v>
      </c>
      <c r="C701" s="28">
        <f t="shared" si="169"/>
        <v>0.0023333333333333335</v>
      </c>
      <c r="D701" s="47">
        <f t="shared" si="176"/>
        <v>1910</v>
      </c>
      <c r="E701">
        <f t="shared" si="177"/>
        <v>74134</v>
      </c>
    </row>
    <row r="702" spans="1:5" ht="15">
      <c r="A702" s="72" t="s">
        <v>426</v>
      </c>
      <c r="B702" s="47">
        <f t="shared" si="178"/>
        <v>818401</v>
      </c>
      <c r="C702" s="28">
        <f t="shared" si="169"/>
        <v>0.0023333333333333335</v>
      </c>
      <c r="D702" s="47">
        <f t="shared" si="176"/>
        <v>1910</v>
      </c>
      <c r="E702">
        <f t="shared" si="177"/>
        <v>76044</v>
      </c>
    </row>
    <row r="703" spans="1:5" ht="15">
      <c r="A703" s="72" t="s">
        <v>410</v>
      </c>
      <c r="B703" s="47">
        <f t="shared" si="178"/>
        <v>818401</v>
      </c>
      <c r="C703" s="28">
        <f t="shared" si="169"/>
        <v>0.0023333333333333335</v>
      </c>
      <c r="D703" s="47">
        <f t="shared" si="176"/>
        <v>1910</v>
      </c>
      <c r="E703">
        <f t="shared" si="177"/>
        <v>77954</v>
      </c>
    </row>
    <row r="704" spans="1:5" ht="15">
      <c r="A704" s="72" t="s">
        <v>427</v>
      </c>
      <c r="B704" s="47">
        <f t="shared" si="178"/>
        <v>818401</v>
      </c>
      <c r="C704" s="28">
        <f t="shared" si="169"/>
        <v>0.0023333333333333335</v>
      </c>
      <c r="D704" s="47">
        <f t="shared" si="176"/>
        <v>1910</v>
      </c>
      <c r="E704">
        <f t="shared" si="177"/>
        <v>79864</v>
      </c>
    </row>
    <row r="705" spans="1:5" ht="15">
      <c r="A705" s="72" t="s">
        <v>428</v>
      </c>
      <c r="B705" s="47">
        <f t="shared" si="178"/>
        <v>818401</v>
      </c>
      <c r="C705" s="28">
        <f t="shared" si="169"/>
        <v>0.0023333333333333335</v>
      </c>
      <c r="D705" s="47">
        <f t="shared" si="176"/>
        <v>1910</v>
      </c>
      <c r="E705">
        <f t="shared" si="177"/>
        <v>81774</v>
      </c>
    </row>
    <row r="706" spans="1:5" ht="15">
      <c r="A706" s="72" t="s">
        <v>429</v>
      </c>
      <c r="B706" s="47">
        <f t="shared" si="178"/>
        <v>818401</v>
      </c>
      <c r="C706" s="28">
        <f t="shared" si="169"/>
        <v>0.0023333333333333335</v>
      </c>
      <c r="D706" s="47">
        <f t="shared" si="176"/>
        <v>1910</v>
      </c>
      <c r="E706">
        <f t="shared" si="177"/>
        <v>83684</v>
      </c>
    </row>
    <row r="707" spans="1:5" ht="15">
      <c r="A707" s="72" t="s">
        <v>430</v>
      </c>
      <c r="B707" s="47">
        <f t="shared" si="178"/>
        <v>818401</v>
      </c>
      <c r="C707" s="28">
        <f t="shared" si="169"/>
        <v>0.0023333333333333335</v>
      </c>
      <c r="D707" s="47">
        <f t="shared" si="176"/>
        <v>1910</v>
      </c>
      <c r="E707">
        <f t="shared" si="177"/>
        <v>85594</v>
      </c>
    </row>
    <row r="708" spans="1:5" ht="15">
      <c r="A708" s="72" t="s">
        <v>431</v>
      </c>
      <c r="B708" s="47">
        <f t="shared" si="178"/>
        <v>818401</v>
      </c>
      <c r="C708" s="28">
        <f t="shared" si="169"/>
        <v>0.0023333333333333335</v>
      </c>
      <c r="D708" s="47">
        <f t="shared" si="176"/>
        <v>1910</v>
      </c>
      <c r="E708">
        <f t="shared" si="177"/>
        <v>87504</v>
      </c>
    </row>
    <row r="709" spans="1:5" ht="15">
      <c r="A709" s="72" t="s">
        <v>432</v>
      </c>
      <c r="B709" s="47">
        <f t="shared" si="178"/>
        <v>818401</v>
      </c>
      <c r="C709" s="28">
        <f t="shared" si="169"/>
        <v>0.0023333333333333335</v>
      </c>
      <c r="D709" s="47">
        <f t="shared" si="176"/>
        <v>1910</v>
      </c>
      <c r="E709">
        <f t="shared" si="177"/>
        <v>89414</v>
      </c>
    </row>
    <row r="710" spans="1:5" ht="15">
      <c r="A710" s="72" t="s">
        <v>433</v>
      </c>
      <c r="B710" s="47">
        <f t="shared" si="178"/>
        <v>818401</v>
      </c>
      <c r="C710" s="28">
        <f t="shared" si="169"/>
        <v>0.0023333333333333335</v>
      </c>
      <c r="D710" s="47">
        <f t="shared" si="176"/>
        <v>1910</v>
      </c>
      <c r="E710">
        <f t="shared" si="177"/>
        <v>91324</v>
      </c>
    </row>
    <row r="711" ht="15">
      <c r="C711" s="28"/>
    </row>
    <row r="712" ht="15">
      <c r="A712" t="s">
        <v>247</v>
      </c>
    </row>
    <row r="714" spans="2:4" ht="15">
      <c r="B714" s="29" t="s">
        <v>115</v>
      </c>
      <c r="C714" s="29" t="s">
        <v>116</v>
      </c>
      <c r="D714" s="29" t="s">
        <v>116</v>
      </c>
    </row>
    <row r="715" spans="3:5" ht="15">
      <c r="C715" s="29" t="s">
        <v>117</v>
      </c>
      <c r="D715" s="29" t="s">
        <v>118</v>
      </c>
      <c r="E715" s="29" t="s">
        <v>119</v>
      </c>
    </row>
    <row r="717" spans="1:5" ht="15">
      <c r="A717" t="s">
        <v>237</v>
      </c>
      <c r="B717">
        <v>9206</v>
      </c>
      <c r="C717" s="28">
        <f>0.038/12</f>
        <v>0.0031666666666666666</v>
      </c>
      <c r="D717">
        <v>25</v>
      </c>
      <c r="E717">
        <v>70</v>
      </c>
    </row>
    <row r="718" spans="1:5" ht="15">
      <c r="A718" t="s">
        <v>238</v>
      </c>
      <c r="B718">
        <f>B717+3616</f>
        <v>12822</v>
      </c>
      <c r="C718" s="28">
        <f>0.038/12</f>
        <v>0.0031666666666666666</v>
      </c>
      <c r="D718">
        <f>ROUND((B717*C718)+(3616*C718/2),0)</f>
        <v>35</v>
      </c>
      <c r="E718">
        <f>ROUND(+E717+D718,0)</f>
        <v>105</v>
      </c>
    </row>
    <row r="719" spans="1:5" ht="15">
      <c r="A719" t="s">
        <v>218</v>
      </c>
      <c r="B719">
        <f>B718+22679</f>
        <v>35501</v>
      </c>
      <c r="C719" s="28">
        <f>0.038/12</f>
        <v>0.0031666666666666666</v>
      </c>
      <c r="D719">
        <f>ROUND((B718*C719),0)+ROUND(22679*C719/2,0)</f>
        <v>77</v>
      </c>
      <c r="E719">
        <v>182</v>
      </c>
    </row>
    <row r="720" ht="15">
      <c r="C720" s="28"/>
    </row>
    <row r="721" spans="1:5" ht="15">
      <c r="A721" s="33" t="s">
        <v>219</v>
      </c>
      <c r="B721" s="47">
        <f>B719+1192</f>
        <v>36693</v>
      </c>
      <c r="C721" s="28">
        <f>0.042/12</f>
        <v>0.0035</v>
      </c>
      <c r="D721" s="47">
        <f>ROUND((B719*C721),0)+ROUND(1192*C721/2,0)</f>
        <v>126</v>
      </c>
      <c r="E721">
        <f>E719+D721</f>
        <v>308</v>
      </c>
    </row>
    <row r="722" spans="1:5" ht="15">
      <c r="A722" t="s">
        <v>220</v>
      </c>
      <c r="B722" s="47">
        <f>B721+2975</f>
        <v>39668</v>
      </c>
      <c r="C722" s="28">
        <f aca="true" t="shared" si="179" ref="C722:C732">0.042/12</f>
        <v>0.0035</v>
      </c>
      <c r="D722" s="47">
        <f>ROUND((B721*C722),0)+ROUND(2975*C722/2,0)</f>
        <v>133</v>
      </c>
      <c r="E722">
        <f aca="true" t="shared" si="180" ref="E722:E745">ROUND(+E721+D722,0)</f>
        <v>441</v>
      </c>
    </row>
    <row r="723" spans="1:5" ht="15">
      <c r="A723" t="s">
        <v>221</v>
      </c>
      <c r="B723" s="47">
        <f>B722+1709</f>
        <v>41377</v>
      </c>
      <c r="C723" s="28">
        <f t="shared" si="179"/>
        <v>0.0035</v>
      </c>
      <c r="D723" s="47">
        <f>ROUND((B722*C723),0)+ROUND(1709*C723/2,0)</f>
        <v>142</v>
      </c>
      <c r="E723">
        <f t="shared" si="180"/>
        <v>583</v>
      </c>
    </row>
    <row r="724" spans="1:5" ht="15">
      <c r="A724" t="s">
        <v>222</v>
      </c>
      <c r="B724" s="47">
        <f>B723+12923</f>
        <v>54300</v>
      </c>
      <c r="C724" s="28">
        <f t="shared" si="179"/>
        <v>0.0035</v>
      </c>
      <c r="D724" s="47">
        <f>ROUND((B723*C724),0)+ROUND(12913*C724/2,0)</f>
        <v>168</v>
      </c>
      <c r="E724">
        <f t="shared" si="180"/>
        <v>751</v>
      </c>
    </row>
    <row r="725" spans="1:5" ht="15">
      <c r="A725" t="s">
        <v>223</v>
      </c>
      <c r="B725" s="47">
        <f>B724+185</f>
        <v>54485</v>
      </c>
      <c r="C725" s="28">
        <f t="shared" si="179"/>
        <v>0.0035</v>
      </c>
      <c r="D725" s="47">
        <f>ROUND((B724*C725),0)+ROUND(185*C725/2,0)</f>
        <v>190</v>
      </c>
      <c r="E725">
        <f t="shared" si="180"/>
        <v>941</v>
      </c>
    </row>
    <row r="726" spans="1:5" ht="15">
      <c r="A726" t="s">
        <v>224</v>
      </c>
      <c r="B726" s="47">
        <f>B725+242</f>
        <v>54727</v>
      </c>
      <c r="C726" s="28">
        <f t="shared" si="179"/>
        <v>0.0035</v>
      </c>
      <c r="D726" s="47">
        <f>ROUND((B725*C726),0)+ROUND(242*C726/2,0)</f>
        <v>191</v>
      </c>
      <c r="E726">
        <f t="shared" si="180"/>
        <v>1132</v>
      </c>
    </row>
    <row r="727" spans="1:5" ht="15">
      <c r="A727" t="s">
        <v>225</v>
      </c>
      <c r="B727" s="47">
        <f>B726+2550</f>
        <v>57277</v>
      </c>
      <c r="C727" s="28">
        <f t="shared" si="179"/>
        <v>0.0035</v>
      </c>
      <c r="D727" s="47">
        <f>ROUND((B726*C727),0)+ROUND(2550*C727/2,0)</f>
        <v>196</v>
      </c>
      <c r="E727">
        <f t="shared" si="180"/>
        <v>1328</v>
      </c>
    </row>
    <row r="728" spans="1:5" ht="15">
      <c r="A728" t="s">
        <v>226</v>
      </c>
      <c r="B728" s="47">
        <f>B727</f>
        <v>57277</v>
      </c>
      <c r="C728" s="28">
        <f t="shared" si="179"/>
        <v>0.0035</v>
      </c>
      <c r="D728" s="47">
        <f>ROUND((B728*C728),0)</f>
        <v>200</v>
      </c>
      <c r="E728">
        <f t="shared" si="180"/>
        <v>1528</v>
      </c>
    </row>
    <row r="729" spans="1:5" ht="15">
      <c r="A729" t="s">
        <v>227</v>
      </c>
      <c r="B729" s="47">
        <f>B728</f>
        <v>57277</v>
      </c>
      <c r="C729" s="28">
        <f t="shared" si="179"/>
        <v>0.0035</v>
      </c>
      <c r="D729" s="47">
        <f>ROUND((B729*C729),0)</f>
        <v>200</v>
      </c>
      <c r="E729">
        <f t="shared" si="180"/>
        <v>1728</v>
      </c>
    </row>
    <row r="730" spans="1:5" ht="15">
      <c r="A730" t="s">
        <v>228</v>
      </c>
      <c r="B730" s="47">
        <f>B729</f>
        <v>57277</v>
      </c>
      <c r="C730" s="28">
        <f t="shared" si="179"/>
        <v>0.0035</v>
      </c>
      <c r="D730" s="47">
        <f>ROUND((B730*C730),0)</f>
        <v>200</v>
      </c>
      <c r="E730">
        <f t="shared" si="180"/>
        <v>1928</v>
      </c>
    </row>
    <row r="731" spans="1:5" ht="15">
      <c r="A731" t="s">
        <v>229</v>
      </c>
      <c r="B731" s="47">
        <f>B730</f>
        <v>57277</v>
      </c>
      <c r="C731" s="28">
        <f t="shared" si="179"/>
        <v>0.0035</v>
      </c>
      <c r="D731" s="47">
        <f>ROUND((B731*C731),0)</f>
        <v>200</v>
      </c>
      <c r="E731">
        <f t="shared" si="180"/>
        <v>2128</v>
      </c>
    </row>
    <row r="732" spans="1:5" ht="15">
      <c r="A732" t="s">
        <v>230</v>
      </c>
      <c r="B732" s="47">
        <f>B731</f>
        <v>57277</v>
      </c>
      <c r="C732" s="28">
        <f t="shared" si="179"/>
        <v>0.0035</v>
      </c>
      <c r="D732" s="47">
        <f>ROUND((B732*C732),0)</f>
        <v>200</v>
      </c>
      <c r="E732">
        <f t="shared" si="180"/>
        <v>2328</v>
      </c>
    </row>
    <row r="733" spans="2:4" ht="15">
      <c r="B733" s="47"/>
      <c r="C733" s="28"/>
      <c r="D733" s="47"/>
    </row>
    <row r="734" spans="1:5" ht="15">
      <c r="A734" s="33" t="s">
        <v>312</v>
      </c>
      <c r="B734" s="47">
        <f>B732</f>
        <v>57277</v>
      </c>
      <c r="C734" s="28">
        <f>0.042/12</f>
        <v>0.0035</v>
      </c>
      <c r="D734" s="47">
        <f>ROUND((B734*C734),0)</f>
        <v>200</v>
      </c>
      <c r="E734">
        <f>ROUND(+E732+D734,0)</f>
        <v>2528</v>
      </c>
    </row>
    <row r="735" spans="1:5" ht="15">
      <c r="A735" t="s">
        <v>313</v>
      </c>
      <c r="B735" s="47">
        <f>B734</f>
        <v>57277</v>
      </c>
      <c r="C735" s="28">
        <f aca="true" t="shared" si="181" ref="C735:C745">0.042/12</f>
        <v>0.0035</v>
      </c>
      <c r="D735" s="47">
        <f aca="true" t="shared" si="182" ref="D735:D745">ROUND((B735*C735),0)</f>
        <v>200</v>
      </c>
      <c r="E735">
        <f t="shared" si="180"/>
        <v>2728</v>
      </c>
    </row>
    <row r="736" spans="1:5" ht="15">
      <c r="A736" t="s">
        <v>314</v>
      </c>
      <c r="B736" s="47">
        <f aca="true" t="shared" si="183" ref="B736:B745">B735</f>
        <v>57277</v>
      </c>
      <c r="C736" s="28">
        <f t="shared" si="181"/>
        <v>0.0035</v>
      </c>
      <c r="D736" s="47">
        <f t="shared" si="182"/>
        <v>200</v>
      </c>
      <c r="E736">
        <f t="shared" si="180"/>
        <v>2928</v>
      </c>
    </row>
    <row r="737" spans="1:5" ht="15">
      <c r="A737" t="s">
        <v>315</v>
      </c>
      <c r="B737" s="47">
        <f t="shared" si="183"/>
        <v>57277</v>
      </c>
      <c r="C737" s="28">
        <f t="shared" si="181"/>
        <v>0.0035</v>
      </c>
      <c r="D737" s="47">
        <f t="shared" si="182"/>
        <v>200</v>
      </c>
      <c r="E737">
        <f t="shared" si="180"/>
        <v>3128</v>
      </c>
    </row>
    <row r="738" spans="1:5" ht="15">
      <c r="A738" t="s">
        <v>304</v>
      </c>
      <c r="B738" s="47">
        <f t="shared" si="183"/>
        <v>57277</v>
      </c>
      <c r="C738" s="28">
        <f t="shared" si="181"/>
        <v>0.0035</v>
      </c>
      <c r="D738" s="47">
        <f t="shared" si="182"/>
        <v>200</v>
      </c>
      <c r="E738">
        <f t="shared" si="180"/>
        <v>3328</v>
      </c>
    </row>
    <row r="739" spans="1:5" ht="15">
      <c r="A739" t="s">
        <v>316</v>
      </c>
      <c r="B739" s="47">
        <f t="shared" si="183"/>
        <v>57277</v>
      </c>
      <c r="C739" s="28">
        <f t="shared" si="181"/>
        <v>0.0035</v>
      </c>
      <c r="D739" s="47">
        <f t="shared" si="182"/>
        <v>200</v>
      </c>
      <c r="E739">
        <f t="shared" si="180"/>
        <v>3528</v>
      </c>
    </row>
    <row r="740" spans="1:5" ht="15">
      <c r="A740" t="s">
        <v>317</v>
      </c>
      <c r="B740" s="47">
        <f t="shared" si="183"/>
        <v>57277</v>
      </c>
      <c r="C740" s="28">
        <f t="shared" si="181"/>
        <v>0.0035</v>
      </c>
      <c r="D740" s="47">
        <f t="shared" si="182"/>
        <v>200</v>
      </c>
      <c r="E740">
        <f t="shared" si="180"/>
        <v>3728</v>
      </c>
    </row>
    <row r="741" spans="1:5" ht="15">
      <c r="A741" t="s">
        <v>318</v>
      </c>
      <c r="B741" s="47">
        <f t="shared" si="183"/>
        <v>57277</v>
      </c>
      <c r="C741" s="28">
        <f t="shared" si="181"/>
        <v>0.0035</v>
      </c>
      <c r="D741" s="47">
        <f t="shared" si="182"/>
        <v>200</v>
      </c>
      <c r="E741">
        <f t="shared" si="180"/>
        <v>3928</v>
      </c>
    </row>
    <row r="742" spans="1:5" ht="15">
      <c r="A742" t="s">
        <v>319</v>
      </c>
      <c r="B742" s="47">
        <f t="shared" si="183"/>
        <v>57277</v>
      </c>
      <c r="C742" s="28">
        <f t="shared" si="181"/>
        <v>0.0035</v>
      </c>
      <c r="D742" s="47">
        <f t="shared" si="182"/>
        <v>200</v>
      </c>
      <c r="E742">
        <f t="shared" si="180"/>
        <v>4128</v>
      </c>
    </row>
    <row r="743" spans="1:5" ht="15">
      <c r="A743" t="s">
        <v>320</v>
      </c>
      <c r="B743" s="47">
        <f t="shared" si="183"/>
        <v>57277</v>
      </c>
      <c r="C743" s="28">
        <f t="shared" si="181"/>
        <v>0.0035</v>
      </c>
      <c r="D743" s="47">
        <f t="shared" si="182"/>
        <v>200</v>
      </c>
      <c r="E743">
        <f t="shared" si="180"/>
        <v>4328</v>
      </c>
    </row>
    <row r="744" spans="1:5" ht="15">
      <c r="A744" t="s">
        <v>321</v>
      </c>
      <c r="B744" s="47">
        <f t="shared" si="183"/>
        <v>57277</v>
      </c>
      <c r="C744" s="28">
        <f t="shared" si="181"/>
        <v>0.0035</v>
      </c>
      <c r="D744" s="47">
        <f t="shared" si="182"/>
        <v>200</v>
      </c>
      <c r="E744">
        <f t="shared" si="180"/>
        <v>4528</v>
      </c>
    </row>
    <row r="745" spans="1:5" ht="15">
      <c r="A745" t="s">
        <v>322</v>
      </c>
      <c r="B745" s="47">
        <f t="shared" si="183"/>
        <v>57277</v>
      </c>
      <c r="C745" s="28">
        <f t="shared" si="181"/>
        <v>0.0035</v>
      </c>
      <c r="D745" s="47">
        <f t="shared" si="182"/>
        <v>200</v>
      </c>
      <c r="E745">
        <f t="shared" si="180"/>
        <v>4728</v>
      </c>
    </row>
    <row r="746" spans="2:4" ht="15">
      <c r="B746" s="47"/>
      <c r="C746" s="28"/>
      <c r="D746" s="47"/>
    </row>
    <row r="747" spans="1:5" ht="15">
      <c r="A747" s="33" t="s">
        <v>346</v>
      </c>
      <c r="B747" s="47">
        <f>B745</f>
        <v>57277</v>
      </c>
      <c r="C747" s="28">
        <f>0.042/12</f>
        <v>0.0035</v>
      </c>
      <c r="D747" s="47">
        <f>ROUND((B747*C747),0)</f>
        <v>200</v>
      </c>
      <c r="E747">
        <f>ROUND(+E745+D747,0)</f>
        <v>4928</v>
      </c>
    </row>
    <row r="748" spans="1:5" ht="15">
      <c r="A748" t="s">
        <v>347</v>
      </c>
      <c r="B748" s="47">
        <f>B747</f>
        <v>57277</v>
      </c>
      <c r="C748" s="28">
        <f aca="true" t="shared" si="184" ref="C748:C758">0.042/12</f>
        <v>0.0035</v>
      </c>
      <c r="D748" s="47">
        <f aca="true" t="shared" si="185" ref="D748:D758">ROUND((B748*C748),0)</f>
        <v>200</v>
      </c>
      <c r="E748">
        <f aca="true" t="shared" si="186" ref="E748:E758">ROUND(+E747+D748,0)</f>
        <v>5128</v>
      </c>
    </row>
    <row r="749" spans="1:5" ht="15">
      <c r="A749" t="s">
        <v>348</v>
      </c>
      <c r="B749" s="47">
        <f aca="true" t="shared" si="187" ref="B749:B758">B748</f>
        <v>57277</v>
      </c>
      <c r="C749" s="28">
        <f t="shared" si="184"/>
        <v>0.0035</v>
      </c>
      <c r="D749" s="47">
        <f t="shared" si="185"/>
        <v>200</v>
      </c>
      <c r="E749">
        <f t="shared" si="186"/>
        <v>5328</v>
      </c>
    </row>
    <row r="750" spans="1:5" ht="15">
      <c r="A750" t="s">
        <v>349</v>
      </c>
      <c r="B750" s="47">
        <f t="shared" si="187"/>
        <v>57277</v>
      </c>
      <c r="C750" s="28">
        <f t="shared" si="184"/>
        <v>0.0035</v>
      </c>
      <c r="D750" s="47">
        <f t="shared" si="185"/>
        <v>200</v>
      </c>
      <c r="E750">
        <f t="shared" si="186"/>
        <v>5528</v>
      </c>
    </row>
    <row r="751" spans="1:5" ht="15">
      <c r="A751" t="s">
        <v>345</v>
      </c>
      <c r="B751" s="47">
        <f t="shared" si="187"/>
        <v>57277</v>
      </c>
      <c r="C751" s="28">
        <f t="shared" si="184"/>
        <v>0.0035</v>
      </c>
      <c r="D751" s="47">
        <f t="shared" si="185"/>
        <v>200</v>
      </c>
      <c r="E751">
        <f t="shared" si="186"/>
        <v>5728</v>
      </c>
    </row>
    <row r="752" spans="1:5" ht="15">
      <c r="A752" t="s">
        <v>350</v>
      </c>
      <c r="B752" s="47">
        <f t="shared" si="187"/>
        <v>57277</v>
      </c>
      <c r="C752" s="28">
        <f t="shared" si="184"/>
        <v>0.0035</v>
      </c>
      <c r="D752" s="47">
        <f t="shared" si="185"/>
        <v>200</v>
      </c>
      <c r="E752">
        <f t="shared" si="186"/>
        <v>5928</v>
      </c>
    </row>
    <row r="753" spans="1:5" ht="15">
      <c r="A753" t="s">
        <v>351</v>
      </c>
      <c r="B753" s="47">
        <f t="shared" si="187"/>
        <v>57277</v>
      </c>
      <c r="C753" s="28">
        <f t="shared" si="184"/>
        <v>0.0035</v>
      </c>
      <c r="D753" s="47">
        <f t="shared" si="185"/>
        <v>200</v>
      </c>
      <c r="E753">
        <f t="shared" si="186"/>
        <v>6128</v>
      </c>
    </row>
    <row r="754" spans="1:5" ht="15">
      <c r="A754" t="s">
        <v>352</v>
      </c>
      <c r="B754" s="47">
        <f t="shared" si="187"/>
        <v>57277</v>
      </c>
      <c r="C754" s="28">
        <f t="shared" si="184"/>
        <v>0.0035</v>
      </c>
      <c r="D754" s="47">
        <f t="shared" si="185"/>
        <v>200</v>
      </c>
      <c r="E754">
        <f t="shared" si="186"/>
        <v>6328</v>
      </c>
    </row>
    <row r="755" spans="1:5" ht="15">
      <c r="A755" t="s">
        <v>353</v>
      </c>
      <c r="B755" s="47">
        <f t="shared" si="187"/>
        <v>57277</v>
      </c>
      <c r="C755" s="28">
        <f t="shared" si="184"/>
        <v>0.0035</v>
      </c>
      <c r="D755" s="47">
        <f t="shared" si="185"/>
        <v>200</v>
      </c>
      <c r="E755">
        <f t="shared" si="186"/>
        <v>6528</v>
      </c>
    </row>
    <row r="756" spans="1:5" ht="15">
      <c r="A756" t="s">
        <v>354</v>
      </c>
      <c r="B756" s="47">
        <f t="shared" si="187"/>
        <v>57277</v>
      </c>
      <c r="C756" s="28">
        <f t="shared" si="184"/>
        <v>0.0035</v>
      </c>
      <c r="D756" s="47">
        <f t="shared" si="185"/>
        <v>200</v>
      </c>
      <c r="E756">
        <f t="shared" si="186"/>
        <v>6728</v>
      </c>
    </row>
    <row r="757" spans="1:5" ht="15">
      <c r="A757" t="s">
        <v>355</v>
      </c>
      <c r="B757" s="47">
        <f t="shared" si="187"/>
        <v>57277</v>
      </c>
      <c r="C757" s="28">
        <f t="shared" si="184"/>
        <v>0.0035</v>
      </c>
      <c r="D757" s="47">
        <f t="shared" si="185"/>
        <v>200</v>
      </c>
      <c r="E757">
        <f t="shared" si="186"/>
        <v>6928</v>
      </c>
    </row>
    <row r="758" spans="1:5" ht="15">
      <c r="A758" t="s">
        <v>356</v>
      </c>
      <c r="B758" s="47">
        <f t="shared" si="187"/>
        <v>57277</v>
      </c>
      <c r="C758" s="28">
        <f t="shared" si="184"/>
        <v>0.0035</v>
      </c>
      <c r="D758" s="47">
        <f t="shared" si="185"/>
        <v>200</v>
      </c>
      <c r="E758">
        <f t="shared" si="186"/>
        <v>7128</v>
      </c>
    </row>
    <row r="759" ht="15">
      <c r="C759" s="28"/>
    </row>
    <row r="760" spans="1:5" ht="15">
      <c r="A760" s="73" t="s">
        <v>423</v>
      </c>
      <c r="B760" s="47">
        <f>B758</f>
        <v>57277</v>
      </c>
      <c r="C760" s="28">
        <f>0.042/12</f>
        <v>0.0035</v>
      </c>
      <c r="D760" s="47">
        <f>ROUND((B760*C760),0)</f>
        <v>200</v>
      </c>
      <c r="E760">
        <f>ROUND(+E758+D760,0)</f>
        <v>7328</v>
      </c>
    </row>
    <row r="761" spans="1:5" ht="15">
      <c r="A761" s="72" t="s">
        <v>424</v>
      </c>
      <c r="B761" s="47">
        <f>B760</f>
        <v>57277</v>
      </c>
      <c r="C761" s="28">
        <f aca="true" t="shared" si="188" ref="C761:C771">0.042/12</f>
        <v>0.0035</v>
      </c>
      <c r="D761" s="47">
        <f aca="true" t="shared" si="189" ref="D761:D771">ROUND((B761*C761),0)</f>
        <v>200</v>
      </c>
      <c r="E761">
        <f aca="true" t="shared" si="190" ref="E761:E771">ROUND(+E760+D761,0)</f>
        <v>7528</v>
      </c>
    </row>
    <row r="762" spans="1:5" ht="15">
      <c r="A762" s="72" t="s">
        <v>425</v>
      </c>
      <c r="B762" s="47">
        <f aca="true" t="shared" si="191" ref="B762:B771">B761</f>
        <v>57277</v>
      </c>
      <c r="C762" s="28">
        <f t="shared" si="188"/>
        <v>0.0035</v>
      </c>
      <c r="D762" s="47">
        <f t="shared" si="189"/>
        <v>200</v>
      </c>
      <c r="E762">
        <f t="shared" si="190"/>
        <v>7728</v>
      </c>
    </row>
    <row r="763" spans="1:5" ht="15">
      <c r="A763" s="72" t="s">
        <v>426</v>
      </c>
      <c r="B763" s="47">
        <f t="shared" si="191"/>
        <v>57277</v>
      </c>
      <c r="C763" s="28">
        <f t="shared" si="188"/>
        <v>0.0035</v>
      </c>
      <c r="D763" s="47">
        <f t="shared" si="189"/>
        <v>200</v>
      </c>
      <c r="E763">
        <f t="shared" si="190"/>
        <v>7928</v>
      </c>
    </row>
    <row r="764" spans="1:5" ht="15">
      <c r="A764" s="72" t="s">
        <v>410</v>
      </c>
      <c r="B764" s="47">
        <f t="shared" si="191"/>
        <v>57277</v>
      </c>
      <c r="C764" s="28">
        <f t="shared" si="188"/>
        <v>0.0035</v>
      </c>
      <c r="D764" s="47">
        <f t="shared" si="189"/>
        <v>200</v>
      </c>
      <c r="E764">
        <f t="shared" si="190"/>
        <v>8128</v>
      </c>
    </row>
    <row r="765" spans="1:5" ht="15">
      <c r="A765" s="72" t="s">
        <v>427</v>
      </c>
      <c r="B765" s="47">
        <f t="shared" si="191"/>
        <v>57277</v>
      </c>
      <c r="C765" s="28">
        <f t="shared" si="188"/>
        <v>0.0035</v>
      </c>
      <c r="D765" s="47">
        <f t="shared" si="189"/>
        <v>200</v>
      </c>
      <c r="E765">
        <f t="shared" si="190"/>
        <v>8328</v>
      </c>
    </row>
    <row r="766" spans="1:5" ht="15">
      <c r="A766" s="72" t="s">
        <v>428</v>
      </c>
      <c r="B766" s="47">
        <f t="shared" si="191"/>
        <v>57277</v>
      </c>
      <c r="C766" s="28">
        <f t="shared" si="188"/>
        <v>0.0035</v>
      </c>
      <c r="D766" s="47">
        <f t="shared" si="189"/>
        <v>200</v>
      </c>
      <c r="E766">
        <f t="shared" si="190"/>
        <v>8528</v>
      </c>
    </row>
    <row r="767" spans="1:5" ht="15">
      <c r="A767" s="72" t="s">
        <v>429</v>
      </c>
      <c r="B767" s="47">
        <f t="shared" si="191"/>
        <v>57277</v>
      </c>
      <c r="C767" s="28">
        <f t="shared" si="188"/>
        <v>0.0035</v>
      </c>
      <c r="D767" s="47">
        <f t="shared" si="189"/>
        <v>200</v>
      </c>
      <c r="E767">
        <f t="shared" si="190"/>
        <v>8728</v>
      </c>
    </row>
    <row r="768" spans="1:5" ht="15">
      <c r="A768" s="72" t="s">
        <v>430</v>
      </c>
      <c r="B768" s="47">
        <f t="shared" si="191"/>
        <v>57277</v>
      </c>
      <c r="C768" s="28">
        <f t="shared" si="188"/>
        <v>0.0035</v>
      </c>
      <c r="D768" s="47">
        <f t="shared" si="189"/>
        <v>200</v>
      </c>
      <c r="E768">
        <f t="shared" si="190"/>
        <v>8928</v>
      </c>
    </row>
    <row r="769" spans="1:5" ht="15">
      <c r="A769" s="72" t="s">
        <v>431</v>
      </c>
      <c r="B769" s="47">
        <f t="shared" si="191"/>
        <v>57277</v>
      </c>
      <c r="C769" s="28">
        <f t="shared" si="188"/>
        <v>0.0035</v>
      </c>
      <c r="D769" s="47">
        <f t="shared" si="189"/>
        <v>200</v>
      </c>
      <c r="E769">
        <f t="shared" si="190"/>
        <v>9128</v>
      </c>
    </row>
    <row r="770" spans="1:5" ht="15">
      <c r="A770" s="72" t="s">
        <v>432</v>
      </c>
      <c r="B770" s="47">
        <f t="shared" si="191"/>
        <v>57277</v>
      </c>
      <c r="C770" s="28">
        <f t="shared" si="188"/>
        <v>0.0035</v>
      </c>
      <c r="D770" s="47">
        <f t="shared" si="189"/>
        <v>200</v>
      </c>
      <c r="E770">
        <f t="shared" si="190"/>
        <v>9328</v>
      </c>
    </row>
    <row r="771" spans="1:5" ht="15">
      <c r="A771" s="72" t="s">
        <v>433</v>
      </c>
      <c r="B771" s="47">
        <f t="shared" si="191"/>
        <v>57277</v>
      </c>
      <c r="C771" s="28">
        <f t="shared" si="188"/>
        <v>0.0035</v>
      </c>
      <c r="D771" s="47">
        <f t="shared" si="189"/>
        <v>200</v>
      </c>
      <c r="E771">
        <f t="shared" si="190"/>
        <v>9528</v>
      </c>
    </row>
    <row r="772" ht="15">
      <c r="C772" s="28"/>
    </row>
    <row r="773" ht="15">
      <c r="A773" t="s">
        <v>248</v>
      </c>
    </row>
    <row r="775" spans="2:4" ht="15">
      <c r="B775" s="29" t="s">
        <v>115</v>
      </c>
      <c r="C775" s="29" t="s">
        <v>116</v>
      </c>
      <c r="D775" s="29" t="s">
        <v>116</v>
      </c>
    </row>
    <row r="776" spans="3:5" ht="15">
      <c r="C776" s="29" t="s">
        <v>117</v>
      </c>
      <c r="D776" s="29" t="s">
        <v>118</v>
      </c>
      <c r="E776" s="29" t="s">
        <v>119</v>
      </c>
    </row>
    <row r="778" spans="1:5" ht="15">
      <c r="A778" t="s">
        <v>237</v>
      </c>
      <c r="B778">
        <v>7555</v>
      </c>
      <c r="C778" s="28">
        <f>0.038/12</f>
        <v>0.0031666666666666666</v>
      </c>
      <c r="D778">
        <v>12</v>
      </c>
      <c r="E778">
        <v>39</v>
      </c>
    </row>
    <row r="779" spans="1:5" ht="15">
      <c r="A779" t="s">
        <v>238</v>
      </c>
      <c r="B779">
        <f>B778+17170</f>
        <v>24725</v>
      </c>
      <c r="C779" s="28">
        <f>0.038/12</f>
        <v>0.0031666666666666666</v>
      </c>
      <c r="D779">
        <f>ROUND((B778*C779)+(17170*C779/2),0)</f>
        <v>51</v>
      </c>
      <c r="E779">
        <f>ROUND(+E778+D779,0)</f>
        <v>90</v>
      </c>
    </row>
    <row r="780" spans="1:5" ht="15">
      <c r="A780" t="s">
        <v>218</v>
      </c>
      <c r="B780">
        <f>B779+63214</f>
        <v>87939</v>
      </c>
      <c r="C780" s="28">
        <f>0.038/12</f>
        <v>0.0031666666666666666</v>
      </c>
      <c r="D780">
        <f>ROUND((B779*C780),0)+ROUND(63214*C780/2,0)</f>
        <v>178</v>
      </c>
      <c r="E780">
        <f>ROUND(+E779+D780,0)</f>
        <v>268</v>
      </c>
    </row>
    <row r="781" ht="15">
      <c r="C781" s="28"/>
    </row>
    <row r="782" spans="1:5" ht="15">
      <c r="A782" s="33" t="s">
        <v>219</v>
      </c>
      <c r="B782">
        <f>B780+2533</f>
        <v>90472</v>
      </c>
      <c r="C782" s="28">
        <f>0.042/12</f>
        <v>0.0035</v>
      </c>
      <c r="D782">
        <f>ROUND((B780*C782),0)+ROUND(2533*C782/2,0)</f>
        <v>312</v>
      </c>
      <c r="E782">
        <f>E780+D782</f>
        <v>580</v>
      </c>
    </row>
    <row r="783" spans="1:5" ht="15">
      <c r="A783" t="s">
        <v>220</v>
      </c>
      <c r="B783">
        <f aca="true" t="shared" si="192" ref="B783:B793">B782</f>
        <v>90472</v>
      </c>
      <c r="C783" s="28">
        <f aca="true" t="shared" si="193" ref="C783:C793">0.042/12</f>
        <v>0.0035</v>
      </c>
      <c r="D783">
        <f aca="true" t="shared" si="194" ref="D783:D806">ROUND((B783*C783),0)</f>
        <v>317</v>
      </c>
      <c r="E783">
        <f aca="true" t="shared" si="195" ref="E783:E806">ROUND(+E782+D783,0)</f>
        <v>897</v>
      </c>
    </row>
    <row r="784" spans="1:5" ht="15">
      <c r="A784" t="s">
        <v>221</v>
      </c>
      <c r="B784">
        <f t="shared" si="192"/>
        <v>90472</v>
      </c>
      <c r="C784" s="28">
        <f t="shared" si="193"/>
        <v>0.0035</v>
      </c>
      <c r="D784">
        <f t="shared" si="194"/>
        <v>317</v>
      </c>
      <c r="E784">
        <f t="shared" si="195"/>
        <v>1214</v>
      </c>
    </row>
    <row r="785" spans="1:5" ht="15">
      <c r="A785" t="s">
        <v>222</v>
      </c>
      <c r="B785">
        <f t="shared" si="192"/>
        <v>90472</v>
      </c>
      <c r="C785" s="28">
        <f t="shared" si="193"/>
        <v>0.0035</v>
      </c>
      <c r="D785">
        <f t="shared" si="194"/>
        <v>317</v>
      </c>
      <c r="E785">
        <f t="shared" si="195"/>
        <v>1531</v>
      </c>
    </row>
    <row r="786" spans="1:5" ht="15">
      <c r="A786" t="s">
        <v>223</v>
      </c>
      <c r="B786">
        <f t="shared" si="192"/>
        <v>90472</v>
      </c>
      <c r="C786" s="28">
        <f t="shared" si="193"/>
        <v>0.0035</v>
      </c>
      <c r="D786">
        <f t="shared" si="194"/>
        <v>317</v>
      </c>
      <c r="E786">
        <f t="shared" si="195"/>
        <v>1848</v>
      </c>
    </row>
    <row r="787" spans="1:5" ht="15">
      <c r="A787" t="s">
        <v>224</v>
      </c>
      <c r="B787">
        <f t="shared" si="192"/>
        <v>90472</v>
      </c>
      <c r="C787" s="28">
        <f t="shared" si="193"/>
        <v>0.0035</v>
      </c>
      <c r="D787">
        <f t="shared" si="194"/>
        <v>317</v>
      </c>
      <c r="E787">
        <f t="shared" si="195"/>
        <v>2165</v>
      </c>
    </row>
    <row r="788" spans="1:5" ht="15">
      <c r="A788" t="s">
        <v>225</v>
      </c>
      <c r="B788">
        <f t="shared" si="192"/>
        <v>90472</v>
      </c>
      <c r="C788" s="28">
        <f t="shared" si="193"/>
        <v>0.0035</v>
      </c>
      <c r="D788">
        <f t="shared" si="194"/>
        <v>317</v>
      </c>
      <c r="E788">
        <f t="shared" si="195"/>
        <v>2482</v>
      </c>
    </row>
    <row r="789" spans="1:5" ht="15">
      <c r="A789" t="s">
        <v>226</v>
      </c>
      <c r="B789">
        <f t="shared" si="192"/>
        <v>90472</v>
      </c>
      <c r="C789" s="28">
        <f t="shared" si="193"/>
        <v>0.0035</v>
      </c>
      <c r="D789">
        <f t="shared" si="194"/>
        <v>317</v>
      </c>
      <c r="E789">
        <f t="shared" si="195"/>
        <v>2799</v>
      </c>
    </row>
    <row r="790" spans="1:5" ht="15">
      <c r="A790" t="s">
        <v>227</v>
      </c>
      <c r="B790">
        <f t="shared" si="192"/>
        <v>90472</v>
      </c>
      <c r="C790" s="28">
        <f t="shared" si="193"/>
        <v>0.0035</v>
      </c>
      <c r="D790">
        <f t="shared" si="194"/>
        <v>317</v>
      </c>
      <c r="E790">
        <f t="shared" si="195"/>
        <v>3116</v>
      </c>
    </row>
    <row r="791" spans="1:5" ht="15">
      <c r="A791" t="s">
        <v>228</v>
      </c>
      <c r="B791">
        <f t="shared" si="192"/>
        <v>90472</v>
      </c>
      <c r="C791" s="28">
        <f t="shared" si="193"/>
        <v>0.0035</v>
      </c>
      <c r="D791">
        <f t="shared" si="194"/>
        <v>317</v>
      </c>
      <c r="E791">
        <f t="shared" si="195"/>
        <v>3433</v>
      </c>
    </row>
    <row r="792" spans="1:5" ht="15">
      <c r="A792" t="s">
        <v>229</v>
      </c>
      <c r="B792">
        <f t="shared" si="192"/>
        <v>90472</v>
      </c>
      <c r="C792" s="28">
        <f t="shared" si="193"/>
        <v>0.0035</v>
      </c>
      <c r="D792">
        <f t="shared" si="194"/>
        <v>317</v>
      </c>
      <c r="E792">
        <f t="shared" si="195"/>
        <v>3750</v>
      </c>
    </row>
    <row r="793" spans="1:5" ht="15">
      <c r="A793" t="s">
        <v>230</v>
      </c>
      <c r="B793">
        <f t="shared" si="192"/>
        <v>90472</v>
      </c>
      <c r="C793" s="28">
        <f t="shared" si="193"/>
        <v>0.0035</v>
      </c>
      <c r="D793">
        <f t="shared" si="194"/>
        <v>317</v>
      </c>
      <c r="E793">
        <f t="shared" si="195"/>
        <v>4067</v>
      </c>
    </row>
    <row r="794" ht="15">
      <c r="C794" s="28"/>
    </row>
    <row r="795" spans="1:5" ht="15">
      <c r="A795" s="33" t="s">
        <v>312</v>
      </c>
      <c r="B795">
        <f>B793</f>
        <v>90472</v>
      </c>
      <c r="C795" s="28">
        <f>0.042/12</f>
        <v>0.0035</v>
      </c>
      <c r="D795">
        <f t="shared" si="194"/>
        <v>317</v>
      </c>
      <c r="E795">
        <f>ROUND(+E793+D795,0)</f>
        <v>4384</v>
      </c>
    </row>
    <row r="796" spans="1:5" ht="15">
      <c r="A796" t="s">
        <v>313</v>
      </c>
      <c r="B796">
        <f>B795</f>
        <v>90472</v>
      </c>
      <c r="C796" s="28">
        <f aca="true" t="shared" si="196" ref="C796:C806">0.042/12</f>
        <v>0.0035</v>
      </c>
      <c r="D796">
        <f t="shared" si="194"/>
        <v>317</v>
      </c>
      <c r="E796">
        <f t="shared" si="195"/>
        <v>4701</v>
      </c>
    </row>
    <row r="797" spans="1:5" ht="15">
      <c r="A797" t="s">
        <v>314</v>
      </c>
      <c r="B797">
        <f aca="true" t="shared" si="197" ref="B797:B806">B796</f>
        <v>90472</v>
      </c>
      <c r="C797" s="28">
        <f t="shared" si="196"/>
        <v>0.0035</v>
      </c>
      <c r="D797">
        <f t="shared" si="194"/>
        <v>317</v>
      </c>
      <c r="E797">
        <f t="shared" si="195"/>
        <v>5018</v>
      </c>
    </row>
    <row r="798" spans="1:5" ht="15">
      <c r="A798" t="s">
        <v>315</v>
      </c>
      <c r="B798">
        <f t="shared" si="197"/>
        <v>90472</v>
      </c>
      <c r="C798" s="28">
        <f t="shared" si="196"/>
        <v>0.0035</v>
      </c>
      <c r="D798">
        <f t="shared" si="194"/>
        <v>317</v>
      </c>
      <c r="E798">
        <f t="shared" si="195"/>
        <v>5335</v>
      </c>
    </row>
    <row r="799" spans="1:5" ht="15">
      <c r="A799" t="s">
        <v>304</v>
      </c>
      <c r="B799">
        <f t="shared" si="197"/>
        <v>90472</v>
      </c>
      <c r="C799" s="28">
        <f t="shared" si="196"/>
        <v>0.0035</v>
      </c>
      <c r="D799">
        <f t="shared" si="194"/>
        <v>317</v>
      </c>
      <c r="E799">
        <f t="shared" si="195"/>
        <v>5652</v>
      </c>
    </row>
    <row r="800" spans="1:5" ht="15">
      <c r="A800" t="s">
        <v>316</v>
      </c>
      <c r="B800">
        <f t="shared" si="197"/>
        <v>90472</v>
      </c>
      <c r="C800" s="28">
        <f t="shared" si="196"/>
        <v>0.0035</v>
      </c>
      <c r="D800">
        <f t="shared" si="194"/>
        <v>317</v>
      </c>
      <c r="E800">
        <f t="shared" si="195"/>
        <v>5969</v>
      </c>
    </row>
    <row r="801" spans="1:5" ht="15">
      <c r="A801" t="s">
        <v>317</v>
      </c>
      <c r="B801">
        <f t="shared" si="197"/>
        <v>90472</v>
      </c>
      <c r="C801" s="28">
        <f t="shared" si="196"/>
        <v>0.0035</v>
      </c>
      <c r="D801">
        <f t="shared" si="194"/>
        <v>317</v>
      </c>
      <c r="E801">
        <f t="shared" si="195"/>
        <v>6286</v>
      </c>
    </row>
    <row r="802" spans="1:5" ht="15">
      <c r="A802" t="s">
        <v>318</v>
      </c>
      <c r="B802">
        <f t="shared" si="197"/>
        <v>90472</v>
      </c>
      <c r="C802" s="28">
        <f t="shared" si="196"/>
        <v>0.0035</v>
      </c>
      <c r="D802">
        <f t="shared" si="194"/>
        <v>317</v>
      </c>
      <c r="E802">
        <f t="shared" si="195"/>
        <v>6603</v>
      </c>
    </row>
    <row r="803" spans="1:5" ht="15">
      <c r="A803" t="s">
        <v>319</v>
      </c>
      <c r="B803">
        <f t="shared" si="197"/>
        <v>90472</v>
      </c>
      <c r="C803" s="28">
        <f t="shared" si="196"/>
        <v>0.0035</v>
      </c>
      <c r="D803">
        <f t="shared" si="194"/>
        <v>317</v>
      </c>
      <c r="E803">
        <f t="shared" si="195"/>
        <v>6920</v>
      </c>
    </row>
    <row r="804" spans="1:5" ht="15">
      <c r="A804" t="s">
        <v>320</v>
      </c>
      <c r="B804">
        <f t="shared" si="197"/>
        <v>90472</v>
      </c>
      <c r="C804" s="28">
        <f t="shared" si="196"/>
        <v>0.0035</v>
      </c>
      <c r="D804">
        <f t="shared" si="194"/>
        <v>317</v>
      </c>
      <c r="E804">
        <f t="shared" si="195"/>
        <v>7237</v>
      </c>
    </row>
    <row r="805" spans="1:5" ht="15">
      <c r="A805" t="s">
        <v>321</v>
      </c>
      <c r="B805">
        <f t="shared" si="197"/>
        <v>90472</v>
      </c>
      <c r="C805" s="28">
        <f t="shared" si="196"/>
        <v>0.0035</v>
      </c>
      <c r="D805">
        <f t="shared" si="194"/>
        <v>317</v>
      </c>
      <c r="E805">
        <f t="shared" si="195"/>
        <v>7554</v>
      </c>
    </row>
    <row r="806" spans="1:5" ht="15">
      <c r="A806" t="s">
        <v>322</v>
      </c>
      <c r="B806">
        <f t="shared" si="197"/>
        <v>90472</v>
      </c>
      <c r="C806" s="28">
        <f t="shared" si="196"/>
        <v>0.0035</v>
      </c>
      <c r="D806">
        <f t="shared" si="194"/>
        <v>317</v>
      </c>
      <c r="E806">
        <f t="shared" si="195"/>
        <v>7871</v>
      </c>
    </row>
    <row r="807" ht="15">
      <c r="C807" s="28"/>
    </row>
    <row r="808" spans="1:5" ht="15">
      <c r="A808" s="33" t="s">
        <v>346</v>
      </c>
      <c r="B808">
        <f>B806</f>
        <v>90472</v>
      </c>
      <c r="C808" s="28">
        <f>0.042/12</f>
        <v>0.0035</v>
      </c>
      <c r="D808">
        <f aca="true" t="shared" si="198" ref="D808:D819">ROUND((B808*C808),0)</f>
        <v>317</v>
      </c>
      <c r="E808">
        <f>ROUND(+E806+D808,0)</f>
        <v>8188</v>
      </c>
    </row>
    <row r="809" spans="1:5" ht="15">
      <c r="A809" t="s">
        <v>347</v>
      </c>
      <c r="B809">
        <f>B808</f>
        <v>90472</v>
      </c>
      <c r="C809" s="28">
        <f aca="true" t="shared" si="199" ref="C809:C819">0.042/12</f>
        <v>0.0035</v>
      </c>
      <c r="D809">
        <f t="shared" si="198"/>
        <v>317</v>
      </c>
      <c r="E809">
        <f aca="true" t="shared" si="200" ref="E809:E819">ROUND(+E808+D809,0)</f>
        <v>8505</v>
      </c>
    </row>
    <row r="810" spans="1:5" ht="15">
      <c r="A810" t="s">
        <v>348</v>
      </c>
      <c r="B810">
        <f aca="true" t="shared" si="201" ref="B810:B819">B809</f>
        <v>90472</v>
      </c>
      <c r="C810" s="28">
        <f t="shared" si="199"/>
        <v>0.0035</v>
      </c>
      <c r="D810">
        <f t="shared" si="198"/>
        <v>317</v>
      </c>
      <c r="E810">
        <f t="shared" si="200"/>
        <v>8822</v>
      </c>
    </row>
    <row r="811" spans="1:5" ht="15">
      <c r="A811" t="s">
        <v>349</v>
      </c>
      <c r="B811">
        <f t="shared" si="201"/>
        <v>90472</v>
      </c>
      <c r="C811" s="28">
        <f t="shared" si="199"/>
        <v>0.0035</v>
      </c>
      <c r="D811">
        <f t="shared" si="198"/>
        <v>317</v>
      </c>
      <c r="E811">
        <f t="shared" si="200"/>
        <v>9139</v>
      </c>
    </row>
    <row r="812" spans="1:5" ht="15">
      <c r="A812" t="s">
        <v>345</v>
      </c>
      <c r="B812">
        <f t="shared" si="201"/>
        <v>90472</v>
      </c>
      <c r="C812" s="28">
        <f t="shared" si="199"/>
        <v>0.0035</v>
      </c>
      <c r="D812">
        <f t="shared" si="198"/>
        <v>317</v>
      </c>
      <c r="E812">
        <f t="shared" si="200"/>
        <v>9456</v>
      </c>
    </row>
    <row r="813" spans="1:5" ht="15">
      <c r="A813" t="s">
        <v>350</v>
      </c>
      <c r="B813">
        <f t="shared" si="201"/>
        <v>90472</v>
      </c>
      <c r="C813" s="28">
        <f t="shared" si="199"/>
        <v>0.0035</v>
      </c>
      <c r="D813">
        <f t="shared" si="198"/>
        <v>317</v>
      </c>
      <c r="E813">
        <f t="shared" si="200"/>
        <v>9773</v>
      </c>
    </row>
    <row r="814" spans="1:5" ht="15">
      <c r="A814" t="s">
        <v>351</v>
      </c>
      <c r="B814">
        <f t="shared" si="201"/>
        <v>90472</v>
      </c>
      <c r="C814" s="28">
        <f t="shared" si="199"/>
        <v>0.0035</v>
      </c>
      <c r="D814">
        <f t="shared" si="198"/>
        <v>317</v>
      </c>
      <c r="E814">
        <f t="shared" si="200"/>
        <v>10090</v>
      </c>
    </row>
    <row r="815" spans="1:5" ht="15">
      <c r="A815" t="s">
        <v>352</v>
      </c>
      <c r="B815">
        <f t="shared" si="201"/>
        <v>90472</v>
      </c>
      <c r="C815" s="28">
        <f t="shared" si="199"/>
        <v>0.0035</v>
      </c>
      <c r="D815">
        <f t="shared" si="198"/>
        <v>317</v>
      </c>
      <c r="E815">
        <f t="shared" si="200"/>
        <v>10407</v>
      </c>
    </row>
    <row r="816" spans="1:5" ht="15">
      <c r="A816" t="s">
        <v>353</v>
      </c>
      <c r="B816">
        <f t="shared" si="201"/>
        <v>90472</v>
      </c>
      <c r="C816" s="28">
        <f t="shared" si="199"/>
        <v>0.0035</v>
      </c>
      <c r="D816">
        <f t="shared" si="198"/>
        <v>317</v>
      </c>
      <c r="E816">
        <f t="shared" si="200"/>
        <v>10724</v>
      </c>
    </row>
    <row r="817" spans="1:5" ht="15">
      <c r="A817" t="s">
        <v>354</v>
      </c>
      <c r="B817">
        <f t="shared" si="201"/>
        <v>90472</v>
      </c>
      <c r="C817" s="28">
        <f t="shared" si="199"/>
        <v>0.0035</v>
      </c>
      <c r="D817">
        <f t="shared" si="198"/>
        <v>317</v>
      </c>
      <c r="E817">
        <f t="shared" si="200"/>
        <v>11041</v>
      </c>
    </row>
    <row r="818" spans="1:5" ht="15">
      <c r="A818" t="s">
        <v>355</v>
      </c>
      <c r="B818">
        <f t="shared" si="201"/>
        <v>90472</v>
      </c>
      <c r="C818" s="28">
        <f t="shared" si="199"/>
        <v>0.0035</v>
      </c>
      <c r="D818">
        <f t="shared" si="198"/>
        <v>317</v>
      </c>
      <c r="E818">
        <f t="shared" si="200"/>
        <v>11358</v>
      </c>
    </row>
    <row r="819" spans="1:5" ht="15">
      <c r="A819" t="s">
        <v>356</v>
      </c>
      <c r="B819">
        <f t="shared" si="201"/>
        <v>90472</v>
      </c>
      <c r="C819" s="28">
        <f t="shared" si="199"/>
        <v>0.0035</v>
      </c>
      <c r="D819">
        <f t="shared" si="198"/>
        <v>317</v>
      </c>
      <c r="E819">
        <f t="shared" si="200"/>
        <v>11675</v>
      </c>
    </row>
    <row r="820" ht="15">
      <c r="C820" s="28"/>
    </row>
    <row r="821" spans="1:5" ht="15">
      <c r="A821" s="73" t="s">
        <v>423</v>
      </c>
      <c r="B821">
        <f>B819</f>
        <v>90472</v>
      </c>
      <c r="C821" s="28">
        <f>0.042/12</f>
        <v>0.0035</v>
      </c>
      <c r="D821">
        <f aca="true" t="shared" si="202" ref="D821:D832">ROUND((B821*C821),0)</f>
        <v>317</v>
      </c>
      <c r="E821">
        <f>ROUND(+E819+D821,0)</f>
        <v>11992</v>
      </c>
    </row>
    <row r="822" spans="1:5" ht="15">
      <c r="A822" s="72" t="s">
        <v>424</v>
      </c>
      <c r="B822">
        <f>B821</f>
        <v>90472</v>
      </c>
      <c r="C822" s="28">
        <f aca="true" t="shared" si="203" ref="C822:C832">0.042/12</f>
        <v>0.0035</v>
      </c>
      <c r="D822">
        <f t="shared" si="202"/>
        <v>317</v>
      </c>
      <c r="E822">
        <f aca="true" t="shared" si="204" ref="E822:E832">ROUND(+E821+D822,0)</f>
        <v>12309</v>
      </c>
    </row>
    <row r="823" spans="1:5" ht="15">
      <c r="A823" s="72" t="s">
        <v>425</v>
      </c>
      <c r="B823">
        <f aca="true" t="shared" si="205" ref="B823:B832">B822</f>
        <v>90472</v>
      </c>
      <c r="C823" s="28">
        <f t="shared" si="203"/>
        <v>0.0035</v>
      </c>
      <c r="D823">
        <f t="shared" si="202"/>
        <v>317</v>
      </c>
      <c r="E823">
        <f t="shared" si="204"/>
        <v>12626</v>
      </c>
    </row>
    <row r="824" spans="1:5" ht="15">
      <c r="A824" s="72" t="s">
        <v>426</v>
      </c>
      <c r="B824">
        <f t="shared" si="205"/>
        <v>90472</v>
      </c>
      <c r="C824" s="28">
        <f t="shared" si="203"/>
        <v>0.0035</v>
      </c>
      <c r="D824">
        <f t="shared" si="202"/>
        <v>317</v>
      </c>
      <c r="E824">
        <f t="shared" si="204"/>
        <v>12943</v>
      </c>
    </row>
    <row r="825" spans="1:5" ht="15">
      <c r="A825" s="72" t="s">
        <v>410</v>
      </c>
      <c r="B825">
        <f t="shared" si="205"/>
        <v>90472</v>
      </c>
      <c r="C825" s="28">
        <f t="shared" si="203"/>
        <v>0.0035</v>
      </c>
      <c r="D825">
        <f t="shared" si="202"/>
        <v>317</v>
      </c>
      <c r="E825">
        <f t="shared" si="204"/>
        <v>13260</v>
      </c>
    </row>
    <row r="826" spans="1:5" ht="15">
      <c r="A826" s="72" t="s">
        <v>427</v>
      </c>
      <c r="B826">
        <f t="shared" si="205"/>
        <v>90472</v>
      </c>
      <c r="C826" s="28">
        <f t="shared" si="203"/>
        <v>0.0035</v>
      </c>
      <c r="D826">
        <f t="shared" si="202"/>
        <v>317</v>
      </c>
      <c r="E826">
        <f t="shared" si="204"/>
        <v>13577</v>
      </c>
    </row>
    <row r="827" spans="1:5" ht="15">
      <c r="A827" s="72" t="s">
        <v>428</v>
      </c>
      <c r="B827">
        <f t="shared" si="205"/>
        <v>90472</v>
      </c>
      <c r="C827" s="28">
        <f t="shared" si="203"/>
        <v>0.0035</v>
      </c>
      <c r="D827">
        <f t="shared" si="202"/>
        <v>317</v>
      </c>
      <c r="E827">
        <f t="shared" si="204"/>
        <v>13894</v>
      </c>
    </row>
    <row r="828" spans="1:5" ht="15">
      <c r="A828" s="72" t="s">
        <v>429</v>
      </c>
      <c r="B828">
        <f t="shared" si="205"/>
        <v>90472</v>
      </c>
      <c r="C828" s="28">
        <f t="shared" si="203"/>
        <v>0.0035</v>
      </c>
      <c r="D828">
        <f t="shared" si="202"/>
        <v>317</v>
      </c>
      <c r="E828">
        <f t="shared" si="204"/>
        <v>14211</v>
      </c>
    </row>
    <row r="829" spans="1:5" ht="15">
      <c r="A829" s="72" t="s">
        <v>430</v>
      </c>
      <c r="B829">
        <f t="shared" si="205"/>
        <v>90472</v>
      </c>
      <c r="C829" s="28">
        <f t="shared" si="203"/>
        <v>0.0035</v>
      </c>
      <c r="D829">
        <f t="shared" si="202"/>
        <v>317</v>
      </c>
      <c r="E829">
        <f t="shared" si="204"/>
        <v>14528</v>
      </c>
    </row>
    <row r="830" spans="1:5" ht="15">
      <c r="A830" s="72" t="s">
        <v>431</v>
      </c>
      <c r="B830">
        <f t="shared" si="205"/>
        <v>90472</v>
      </c>
      <c r="C830" s="28">
        <f t="shared" si="203"/>
        <v>0.0035</v>
      </c>
      <c r="D830">
        <f t="shared" si="202"/>
        <v>317</v>
      </c>
      <c r="E830">
        <f t="shared" si="204"/>
        <v>14845</v>
      </c>
    </row>
    <row r="831" spans="1:5" ht="15">
      <c r="A831" s="72" t="s">
        <v>432</v>
      </c>
      <c r="B831">
        <f t="shared" si="205"/>
        <v>90472</v>
      </c>
      <c r="C831" s="28">
        <f t="shared" si="203"/>
        <v>0.0035</v>
      </c>
      <c r="D831">
        <f t="shared" si="202"/>
        <v>317</v>
      </c>
      <c r="E831">
        <f t="shared" si="204"/>
        <v>15162</v>
      </c>
    </row>
    <row r="832" spans="1:5" ht="15">
      <c r="A832" s="72" t="s">
        <v>433</v>
      </c>
      <c r="B832">
        <f t="shared" si="205"/>
        <v>90472</v>
      </c>
      <c r="C832" s="28">
        <f t="shared" si="203"/>
        <v>0.0035</v>
      </c>
      <c r="D832">
        <f t="shared" si="202"/>
        <v>317</v>
      </c>
      <c r="E832">
        <f t="shared" si="204"/>
        <v>15479</v>
      </c>
    </row>
    <row r="833" ht="15">
      <c r="C833" s="28"/>
    </row>
    <row r="834" ht="15">
      <c r="C834" s="28"/>
    </row>
    <row r="835" ht="15">
      <c r="A835" t="s">
        <v>249</v>
      </c>
    </row>
    <row r="837" spans="2:4" ht="15">
      <c r="B837" s="29" t="s">
        <v>115</v>
      </c>
      <c r="C837" s="29" t="s">
        <v>116</v>
      </c>
      <c r="D837" s="29" t="s">
        <v>116</v>
      </c>
    </row>
    <row r="838" spans="3:5" ht="15">
      <c r="C838" s="29" t="s">
        <v>117</v>
      </c>
      <c r="D838" s="29" t="s">
        <v>118</v>
      </c>
      <c r="E838" s="29" t="s">
        <v>119</v>
      </c>
    </row>
    <row r="840" spans="1:5" ht="15">
      <c r="A840" t="s">
        <v>243</v>
      </c>
      <c r="B840">
        <v>0</v>
      </c>
      <c r="C840" s="28">
        <f>0.039/12</f>
        <v>0.00325</v>
      </c>
      <c r="D840">
        <f>ROUND((B840*C840/2),0)</f>
        <v>0</v>
      </c>
      <c r="E840">
        <f>ROUND(+E833+D840,0)</f>
        <v>0</v>
      </c>
    </row>
    <row r="841" spans="1:5" ht="15">
      <c r="A841" t="s">
        <v>232</v>
      </c>
      <c r="B841">
        <v>0</v>
      </c>
      <c r="C841" s="28">
        <f aca="true" t="shared" si="206" ref="C841:C848">0.039/12</f>
        <v>0.00325</v>
      </c>
      <c r="D841">
        <f>ROUND((B840*C841)+(0*C841/2),0)</f>
        <v>0</v>
      </c>
      <c r="E841">
        <f>E840+D841</f>
        <v>0</v>
      </c>
    </row>
    <row r="842" spans="1:5" ht="15">
      <c r="A842" t="s">
        <v>233</v>
      </c>
      <c r="B842">
        <v>0</v>
      </c>
      <c r="C842" s="28">
        <f t="shared" si="206"/>
        <v>0.00325</v>
      </c>
      <c r="D842">
        <f aca="true" t="shared" si="207" ref="D842:D848">ROUND((B841*C842)+(0*C842/2),0)</f>
        <v>0</v>
      </c>
      <c r="E842">
        <f aca="true" t="shared" si="208" ref="E842:E848">E841+D842</f>
        <v>0</v>
      </c>
    </row>
    <row r="843" spans="1:5" ht="15">
      <c r="A843" t="s">
        <v>234</v>
      </c>
      <c r="B843">
        <v>0</v>
      </c>
      <c r="C843" s="28">
        <f t="shared" si="206"/>
        <v>0.00325</v>
      </c>
      <c r="D843">
        <f t="shared" si="207"/>
        <v>0</v>
      </c>
      <c r="E843">
        <f t="shared" si="208"/>
        <v>0</v>
      </c>
    </row>
    <row r="844" spans="1:5" ht="15">
      <c r="A844" t="s">
        <v>235</v>
      </c>
      <c r="B844">
        <v>0</v>
      </c>
      <c r="C844" s="28">
        <f t="shared" si="206"/>
        <v>0.00325</v>
      </c>
      <c r="D844">
        <f t="shared" si="207"/>
        <v>0</v>
      </c>
      <c r="E844">
        <f t="shared" si="208"/>
        <v>0</v>
      </c>
    </row>
    <row r="845" spans="1:5" ht="15">
      <c r="A845" t="s">
        <v>236</v>
      </c>
      <c r="B845">
        <v>0</v>
      </c>
      <c r="C845" s="28">
        <f t="shared" si="206"/>
        <v>0.00325</v>
      </c>
      <c r="D845">
        <f t="shared" si="207"/>
        <v>0</v>
      </c>
      <c r="E845">
        <f t="shared" si="208"/>
        <v>0</v>
      </c>
    </row>
    <row r="846" spans="1:5" ht="15">
      <c r="A846" t="s">
        <v>237</v>
      </c>
      <c r="B846">
        <v>0</v>
      </c>
      <c r="C846" s="28">
        <f t="shared" si="206"/>
        <v>0.00325</v>
      </c>
      <c r="D846">
        <f t="shared" si="207"/>
        <v>0</v>
      </c>
      <c r="E846">
        <f t="shared" si="208"/>
        <v>0</v>
      </c>
    </row>
    <row r="847" spans="1:5" ht="15">
      <c r="A847" t="s">
        <v>238</v>
      </c>
      <c r="B847">
        <v>0</v>
      </c>
      <c r="C847" s="28">
        <f t="shared" si="206"/>
        <v>0.00325</v>
      </c>
      <c r="D847">
        <f t="shared" si="207"/>
        <v>0</v>
      </c>
      <c r="E847">
        <f t="shared" si="208"/>
        <v>0</v>
      </c>
    </row>
    <row r="848" spans="1:5" ht="15">
      <c r="A848" t="s">
        <v>218</v>
      </c>
      <c r="B848">
        <v>0</v>
      </c>
      <c r="C848" s="28">
        <f t="shared" si="206"/>
        <v>0.00325</v>
      </c>
      <c r="D848">
        <f t="shared" si="207"/>
        <v>0</v>
      </c>
      <c r="E848">
        <f t="shared" si="208"/>
        <v>0</v>
      </c>
    </row>
    <row r="849" ht="15">
      <c r="C849" s="28"/>
    </row>
    <row r="850" spans="1:5" ht="15">
      <c r="A850" s="33" t="s">
        <v>219</v>
      </c>
      <c r="B850" s="47">
        <v>0</v>
      </c>
      <c r="C850" s="28">
        <f>0.04/12</f>
        <v>0.0033333333333333335</v>
      </c>
      <c r="D850" s="47">
        <f>ROUND((B848*C850),0)+ROUND(0*C850/2,0)</f>
        <v>0</v>
      </c>
      <c r="E850">
        <f>E848+D850</f>
        <v>0</v>
      </c>
    </row>
    <row r="851" spans="1:5" ht="15">
      <c r="A851" t="s">
        <v>220</v>
      </c>
      <c r="B851" s="47">
        <v>0</v>
      </c>
      <c r="C851" s="28">
        <f aca="true" t="shared" si="209" ref="C851:C861">0.04/12</f>
        <v>0.0033333333333333335</v>
      </c>
      <c r="D851" s="47">
        <f>ROUND((B849*C851),0)+ROUND(0*C851/2,0)</f>
        <v>0</v>
      </c>
      <c r="E851">
        <f aca="true" t="shared" si="210" ref="E851:E861">ROUND(+E850+D851,0)</f>
        <v>0</v>
      </c>
    </row>
    <row r="852" spans="1:5" ht="15">
      <c r="A852" t="s">
        <v>221</v>
      </c>
      <c r="B852" s="47">
        <v>0</v>
      </c>
      <c r="C852" s="28">
        <f t="shared" si="209"/>
        <v>0.0033333333333333335</v>
      </c>
      <c r="D852" s="47">
        <f>ROUND((B850*C852),0)+ROUND(0*C852/2,0)</f>
        <v>0</v>
      </c>
      <c r="E852">
        <f t="shared" si="210"/>
        <v>0</v>
      </c>
    </row>
    <row r="853" spans="1:5" ht="15">
      <c r="A853" t="s">
        <v>222</v>
      </c>
      <c r="B853" s="47">
        <v>0</v>
      </c>
      <c r="C853" s="28">
        <f t="shared" si="209"/>
        <v>0.0033333333333333335</v>
      </c>
      <c r="D853" s="47">
        <f>ROUND((B851*C853),0)+ROUND(0*C853/2,0)</f>
        <v>0</v>
      </c>
      <c r="E853">
        <f t="shared" si="210"/>
        <v>0</v>
      </c>
    </row>
    <row r="854" spans="1:5" ht="15">
      <c r="A854" t="s">
        <v>223</v>
      </c>
      <c r="B854" s="47">
        <f>0</f>
        <v>0</v>
      </c>
      <c r="C854" s="28">
        <f t="shared" si="209"/>
        <v>0.0033333333333333335</v>
      </c>
      <c r="D854" s="47">
        <f>ROUND((B852*C854),0)+ROUND(0*C854/2,0)</f>
        <v>0</v>
      </c>
      <c r="E854">
        <f t="shared" si="210"/>
        <v>0</v>
      </c>
    </row>
    <row r="855" spans="1:5" ht="15">
      <c r="A855" t="s">
        <v>224</v>
      </c>
      <c r="B855" s="47">
        <v>4420340</v>
      </c>
      <c r="C855" s="28">
        <f t="shared" si="209"/>
        <v>0.0033333333333333335</v>
      </c>
      <c r="D855" s="47">
        <f>ROUND((B854*C855),0)+ROUND(4420340*C855/2,0)</f>
        <v>7367</v>
      </c>
      <c r="E855">
        <f t="shared" si="210"/>
        <v>7367</v>
      </c>
    </row>
    <row r="856" spans="1:5" ht="15">
      <c r="A856" t="s">
        <v>225</v>
      </c>
      <c r="B856" s="47">
        <f>B855+114385</f>
        <v>4534725</v>
      </c>
      <c r="C856" s="28">
        <f t="shared" si="209"/>
        <v>0.0033333333333333335</v>
      </c>
      <c r="D856" s="47">
        <f>ROUND((B855*C856),0)+ROUND(114385*C856/2,0)</f>
        <v>14925</v>
      </c>
      <c r="E856">
        <f t="shared" si="210"/>
        <v>22292</v>
      </c>
    </row>
    <row r="857" spans="1:5" ht="15">
      <c r="A857" t="s">
        <v>226</v>
      </c>
      <c r="B857" s="47">
        <f>B856+365257</f>
        <v>4899982</v>
      </c>
      <c r="C857" s="28">
        <f t="shared" si="209"/>
        <v>0.0033333333333333335</v>
      </c>
      <c r="D857" s="47">
        <f>ROUND((B856*C857),0)+ROUND(365257*C857/2,0)</f>
        <v>15725</v>
      </c>
      <c r="E857">
        <f t="shared" si="210"/>
        <v>38017</v>
      </c>
    </row>
    <row r="858" spans="1:5" ht="15">
      <c r="A858" t="s">
        <v>227</v>
      </c>
      <c r="B858" s="47">
        <f>B857+26161</f>
        <v>4926143</v>
      </c>
      <c r="C858" s="28">
        <f t="shared" si="209"/>
        <v>0.0033333333333333335</v>
      </c>
      <c r="D858" s="47">
        <f>ROUND((B857*C858),0)+ROUND(26161*C858/2,0)</f>
        <v>16377</v>
      </c>
      <c r="E858">
        <f t="shared" si="210"/>
        <v>54394</v>
      </c>
    </row>
    <row r="859" spans="1:5" ht="15">
      <c r="A859" t="s">
        <v>228</v>
      </c>
      <c r="B859" s="47">
        <f>B858+37857</f>
        <v>4964000</v>
      </c>
      <c r="C859" s="28">
        <f t="shared" si="209"/>
        <v>0.0033333333333333335</v>
      </c>
      <c r="D859" s="47">
        <f>ROUND((B858*C859),0)+ROUND(37857*C859/2,0)</f>
        <v>16483</v>
      </c>
      <c r="E859">
        <f t="shared" si="210"/>
        <v>70877</v>
      </c>
    </row>
    <row r="860" spans="1:5" ht="15">
      <c r="A860" t="s">
        <v>229</v>
      </c>
      <c r="B860" s="47">
        <f>B859+32647</f>
        <v>4996647</v>
      </c>
      <c r="C860" s="28">
        <f t="shared" si="209"/>
        <v>0.0033333333333333335</v>
      </c>
      <c r="D860" s="47">
        <f>ROUND((B859*C860),0)+ROUND(32647*C860/2,0)</f>
        <v>16601</v>
      </c>
      <c r="E860">
        <f t="shared" si="210"/>
        <v>87478</v>
      </c>
    </row>
    <row r="861" spans="1:5" ht="15">
      <c r="A861" t="s">
        <v>230</v>
      </c>
      <c r="B861" s="47">
        <f>B860+229154</f>
        <v>5225801</v>
      </c>
      <c r="C861" s="28">
        <f t="shared" si="209"/>
        <v>0.0033333333333333335</v>
      </c>
      <c r="D861" s="47">
        <f>ROUND((B860*C861),0)+ROUND(229154*C861/2,0)</f>
        <v>17037</v>
      </c>
      <c r="E861">
        <f t="shared" si="210"/>
        <v>104515</v>
      </c>
    </row>
    <row r="862" ht="15">
      <c r="C862" s="28"/>
    </row>
    <row r="863" spans="1:5" ht="15">
      <c r="A863" s="33" t="s">
        <v>323</v>
      </c>
      <c r="B863" s="47">
        <f>B861+1488-E861</f>
        <v>5122774</v>
      </c>
      <c r="C863" s="28">
        <f>0.04/12</f>
        <v>0.0033333333333333335</v>
      </c>
      <c r="D863" s="47">
        <f>ROUND(5122774/60,0)</f>
        <v>85380</v>
      </c>
      <c r="E863">
        <f>E861+D863</f>
        <v>189895</v>
      </c>
    </row>
    <row r="864" spans="1:5" ht="15">
      <c r="A864" t="s">
        <v>324</v>
      </c>
      <c r="B864">
        <f>B863</f>
        <v>5122774</v>
      </c>
      <c r="C864" s="28">
        <f aca="true" t="shared" si="211" ref="C864:C874">0.04/12</f>
        <v>0.0033333333333333335</v>
      </c>
      <c r="D864" s="47">
        <f aca="true" t="shared" si="212" ref="D864:D874">ROUND(5122774/60,0)</f>
        <v>85380</v>
      </c>
      <c r="E864">
        <f aca="true" t="shared" si="213" ref="E864:E874">E863+D864</f>
        <v>275275</v>
      </c>
    </row>
    <row r="865" spans="1:5" ht="15">
      <c r="A865" t="s">
        <v>325</v>
      </c>
      <c r="B865">
        <f aca="true" t="shared" si="214" ref="B865:B874">B864</f>
        <v>5122774</v>
      </c>
      <c r="C865" s="28">
        <f t="shared" si="211"/>
        <v>0.0033333333333333335</v>
      </c>
      <c r="D865" s="47">
        <f t="shared" si="212"/>
        <v>85380</v>
      </c>
      <c r="E865">
        <f t="shared" si="213"/>
        <v>360655</v>
      </c>
    </row>
    <row r="866" spans="1:5" ht="15">
      <c r="A866" t="s">
        <v>326</v>
      </c>
      <c r="B866">
        <f t="shared" si="214"/>
        <v>5122774</v>
      </c>
      <c r="C866" s="28">
        <f t="shared" si="211"/>
        <v>0.0033333333333333335</v>
      </c>
      <c r="D866" s="47">
        <f t="shared" si="212"/>
        <v>85380</v>
      </c>
      <c r="E866">
        <f t="shared" si="213"/>
        <v>446035</v>
      </c>
    </row>
    <row r="867" spans="1:5" ht="15">
      <c r="A867" t="s">
        <v>327</v>
      </c>
      <c r="B867">
        <f t="shared" si="214"/>
        <v>5122774</v>
      </c>
      <c r="C867" s="28">
        <f t="shared" si="211"/>
        <v>0.0033333333333333335</v>
      </c>
      <c r="D867" s="47">
        <f t="shared" si="212"/>
        <v>85380</v>
      </c>
      <c r="E867">
        <f t="shared" si="213"/>
        <v>531415</v>
      </c>
    </row>
    <row r="868" spans="1:5" ht="15">
      <c r="A868" t="s">
        <v>328</v>
      </c>
      <c r="B868">
        <f t="shared" si="214"/>
        <v>5122774</v>
      </c>
      <c r="C868" s="28">
        <f t="shared" si="211"/>
        <v>0.0033333333333333335</v>
      </c>
      <c r="D868" s="47">
        <f t="shared" si="212"/>
        <v>85380</v>
      </c>
      <c r="E868">
        <f t="shared" si="213"/>
        <v>616795</v>
      </c>
    </row>
    <row r="869" spans="1:5" ht="15">
      <c r="A869" t="s">
        <v>329</v>
      </c>
      <c r="B869">
        <f t="shared" si="214"/>
        <v>5122774</v>
      </c>
      <c r="C869" s="28">
        <f t="shared" si="211"/>
        <v>0.0033333333333333335</v>
      </c>
      <c r="D869" s="47">
        <f t="shared" si="212"/>
        <v>85380</v>
      </c>
      <c r="E869">
        <f t="shared" si="213"/>
        <v>702175</v>
      </c>
    </row>
    <row r="870" spans="1:5" ht="15">
      <c r="A870" t="s">
        <v>330</v>
      </c>
      <c r="B870">
        <f t="shared" si="214"/>
        <v>5122774</v>
      </c>
      <c r="C870" s="28">
        <f t="shared" si="211"/>
        <v>0.0033333333333333335</v>
      </c>
      <c r="D870" s="47">
        <f t="shared" si="212"/>
        <v>85380</v>
      </c>
      <c r="E870">
        <f t="shared" si="213"/>
        <v>787555</v>
      </c>
    </row>
    <row r="871" spans="1:5" ht="15">
      <c r="A871" t="s">
        <v>331</v>
      </c>
      <c r="B871">
        <f t="shared" si="214"/>
        <v>5122774</v>
      </c>
      <c r="C871" s="28">
        <f t="shared" si="211"/>
        <v>0.0033333333333333335</v>
      </c>
      <c r="D871" s="47">
        <f t="shared" si="212"/>
        <v>85380</v>
      </c>
      <c r="E871">
        <f t="shared" si="213"/>
        <v>872935</v>
      </c>
    </row>
    <row r="872" spans="1:5" ht="15">
      <c r="A872" t="s">
        <v>332</v>
      </c>
      <c r="B872">
        <f t="shared" si="214"/>
        <v>5122774</v>
      </c>
      <c r="C872" s="28">
        <f t="shared" si="211"/>
        <v>0.0033333333333333335</v>
      </c>
      <c r="D872" s="47">
        <f t="shared" si="212"/>
        <v>85380</v>
      </c>
      <c r="E872">
        <f t="shared" si="213"/>
        <v>958315</v>
      </c>
    </row>
    <row r="873" spans="1:5" ht="15">
      <c r="A873" t="s">
        <v>333</v>
      </c>
      <c r="B873">
        <f t="shared" si="214"/>
        <v>5122774</v>
      </c>
      <c r="C873" s="28">
        <f t="shared" si="211"/>
        <v>0.0033333333333333335</v>
      </c>
      <c r="D873" s="47">
        <f t="shared" si="212"/>
        <v>85380</v>
      </c>
      <c r="E873">
        <f t="shared" si="213"/>
        <v>1043695</v>
      </c>
    </row>
    <row r="874" spans="1:5" ht="15">
      <c r="A874" t="s">
        <v>334</v>
      </c>
      <c r="B874">
        <f t="shared" si="214"/>
        <v>5122774</v>
      </c>
      <c r="C874" s="28">
        <f t="shared" si="211"/>
        <v>0.0033333333333333335</v>
      </c>
      <c r="D874" s="47">
        <f t="shared" si="212"/>
        <v>85380</v>
      </c>
      <c r="E874">
        <f t="shared" si="213"/>
        <v>1129075</v>
      </c>
    </row>
    <row r="875" spans="3:4" ht="15">
      <c r="C875" s="28"/>
      <c r="D875" s="47"/>
    </row>
    <row r="876" spans="1:5" ht="15">
      <c r="A876" s="33" t="s">
        <v>369</v>
      </c>
      <c r="B876">
        <f>B874</f>
        <v>5122774</v>
      </c>
      <c r="C876" s="28"/>
      <c r="D876" s="47">
        <f aca="true" t="shared" si="215" ref="D876:D887">ROUND(5122774/60,0)</f>
        <v>85380</v>
      </c>
      <c r="E876">
        <f>E874+D876</f>
        <v>1214455</v>
      </c>
    </row>
    <row r="877" spans="1:5" ht="15">
      <c r="A877" t="s">
        <v>370</v>
      </c>
      <c r="B877">
        <f>B876</f>
        <v>5122774</v>
      </c>
      <c r="C877" s="28"/>
      <c r="D877" s="47">
        <f t="shared" si="215"/>
        <v>85380</v>
      </c>
      <c r="E877">
        <f aca="true" t="shared" si="216" ref="E877:E887">E876+D877</f>
        <v>1299835</v>
      </c>
    </row>
    <row r="878" spans="1:5" ht="15">
      <c r="A878" t="s">
        <v>371</v>
      </c>
      <c r="B878">
        <f aca="true" t="shared" si="217" ref="B878:B887">B877</f>
        <v>5122774</v>
      </c>
      <c r="C878" s="28"/>
      <c r="D878" s="47">
        <f t="shared" si="215"/>
        <v>85380</v>
      </c>
      <c r="E878">
        <f t="shared" si="216"/>
        <v>1385215</v>
      </c>
    </row>
    <row r="879" spans="1:5" ht="15">
      <c r="A879" t="s">
        <v>372</v>
      </c>
      <c r="B879">
        <f t="shared" si="217"/>
        <v>5122774</v>
      </c>
      <c r="C879" s="28"/>
      <c r="D879" s="47">
        <f t="shared" si="215"/>
        <v>85380</v>
      </c>
      <c r="E879">
        <f t="shared" si="216"/>
        <v>1470595</v>
      </c>
    </row>
    <row r="880" spans="1:5" ht="15">
      <c r="A880" t="s">
        <v>373</v>
      </c>
      <c r="B880">
        <f t="shared" si="217"/>
        <v>5122774</v>
      </c>
      <c r="C880" s="28"/>
      <c r="D880" s="47">
        <f t="shared" si="215"/>
        <v>85380</v>
      </c>
      <c r="E880">
        <f t="shared" si="216"/>
        <v>1555975</v>
      </c>
    </row>
    <row r="881" spans="1:5" ht="15">
      <c r="A881" t="s">
        <v>374</v>
      </c>
      <c r="B881">
        <f t="shared" si="217"/>
        <v>5122774</v>
      </c>
      <c r="C881" s="28"/>
      <c r="D881" s="47">
        <f t="shared" si="215"/>
        <v>85380</v>
      </c>
      <c r="E881">
        <f t="shared" si="216"/>
        <v>1641355</v>
      </c>
    </row>
    <row r="882" spans="1:5" ht="15">
      <c r="A882" t="s">
        <v>375</v>
      </c>
      <c r="B882">
        <f t="shared" si="217"/>
        <v>5122774</v>
      </c>
      <c r="C882" s="28"/>
      <c r="D882" s="47">
        <f t="shared" si="215"/>
        <v>85380</v>
      </c>
      <c r="E882">
        <f t="shared" si="216"/>
        <v>1726735</v>
      </c>
    </row>
    <row r="883" spans="1:5" ht="15">
      <c r="A883" t="s">
        <v>376</v>
      </c>
      <c r="B883">
        <f t="shared" si="217"/>
        <v>5122774</v>
      </c>
      <c r="C883" s="28"/>
      <c r="D883" s="47">
        <f t="shared" si="215"/>
        <v>85380</v>
      </c>
      <c r="E883">
        <f t="shared" si="216"/>
        <v>1812115</v>
      </c>
    </row>
    <row r="884" spans="1:5" ht="15">
      <c r="A884" t="s">
        <v>377</v>
      </c>
      <c r="B884">
        <f t="shared" si="217"/>
        <v>5122774</v>
      </c>
      <c r="C884" s="28"/>
      <c r="D884" s="47">
        <f t="shared" si="215"/>
        <v>85380</v>
      </c>
      <c r="E884">
        <f t="shared" si="216"/>
        <v>1897495</v>
      </c>
    </row>
    <row r="885" spans="1:5" ht="15">
      <c r="A885" t="s">
        <v>378</v>
      </c>
      <c r="B885">
        <f t="shared" si="217"/>
        <v>5122774</v>
      </c>
      <c r="C885" s="28"/>
      <c r="D885" s="47">
        <f t="shared" si="215"/>
        <v>85380</v>
      </c>
      <c r="E885">
        <f t="shared" si="216"/>
        <v>1982875</v>
      </c>
    </row>
    <row r="886" spans="1:5" ht="15">
      <c r="A886" t="s">
        <v>379</v>
      </c>
      <c r="B886">
        <f t="shared" si="217"/>
        <v>5122774</v>
      </c>
      <c r="C886" s="28"/>
      <c r="D886" s="47">
        <f t="shared" si="215"/>
        <v>85380</v>
      </c>
      <c r="E886">
        <f t="shared" si="216"/>
        <v>2068255</v>
      </c>
    </row>
    <row r="887" spans="1:5" ht="15">
      <c r="A887" t="s">
        <v>380</v>
      </c>
      <c r="B887">
        <f t="shared" si="217"/>
        <v>5122774</v>
      </c>
      <c r="D887" s="47">
        <f t="shared" si="215"/>
        <v>85380</v>
      </c>
      <c r="E887">
        <f t="shared" si="216"/>
        <v>2153635</v>
      </c>
    </row>
    <row r="888" spans="2:4" ht="15">
      <c r="B888" s="29"/>
      <c r="C888" s="29"/>
      <c r="D888" s="29"/>
    </row>
    <row r="889" spans="1:5" ht="15">
      <c r="A889" s="73" t="s">
        <v>423</v>
      </c>
      <c r="B889">
        <f>B887</f>
        <v>5122774</v>
      </c>
      <c r="C889" s="28"/>
      <c r="D889" s="47">
        <f>ROUND(5122774/60,0)</f>
        <v>85380</v>
      </c>
      <c r="E889">
        <f>E887+D889</f>
        <v>2239015</v>
      </c>
    </row>
    <row r="890" spans="1:5" ht="15">
      <c r="A890" s="72" t="s">
        <v>424</v>
      </c>
      <c r="B890">
        <f>B889</f>
        <v>5122774</v>
      </c>
      <c r="C890" s="28"/>
      <c r="D890" s="47">
        <f aca="true" t="shared" si="218" ref="D890:D900">ROUND(5122774/60,0)</f>
        <v>85380</v>
      </c>
      <c r="E890">
        <f aca="true" t="shared" si="219" ref="E890:E900">E889+D890</f>
        <v>2324395</v>
      </c>
    </row>
    <row r="891" spans="1:5" ht="15">
      <c r="A891" s="72" t="s">
        <v>425</v>
      </c>
      <c r="B891">
        <f aca="true" t="shared" si="220" ref="B891:B900">B890</f>
        <v>5122774</v>
      </c>
      <c r="C891" s="28"/>
      <c r="D891" s="47">
        <f t="shared" si="218"/>
        <v>85380</v>
      </c>
      <c r="E891">
        <f t="shared" si="219"/>
        <v>2409775</v>
      </c>
    </row>
    <row r="892" spans="1:5" ht="15">
      <c r="A892" s="72" t="s">
        <v>426</v>
      </c>
      <c r="B892">
        <f t="shared" si="220"/>
        <v>5122774</v>
      </c>
      <c r="C892" s="28"/>
      <c r="D892" s="47">
        <f t="shared" si="218"/>
        <v>85380</v>
      </c>
      <c r="E892">
        <f t="shared" si="219"/>
        <v>2495155</v>
      </c>
    </row>
    <row r="893" spans="1:5" ht="15">
      <c r="A893" s="72" t="s">
        <v>410</v>
      </c>
      <c r="B893">
        <f t="shared" si="220"/>
        <v>5122774</v>
      </c>
      <c r="C893" s="28"/>
      <c r="D893" s="47">
        <f t="shared" si="218"/>
        <v>85380</v>
      </c>
      <c r="E893">
        <f t="shared" si="219"/>
        <v>2580535</v>
      </c>
    </row>
    <row r="894" spans="1:5" ht="15">
      <c r="A894" s="72" t="s">
        <v>427</v>
      </c>
      <c r="B894">
        <f t="shared" si="220"/>
        <v>5122774</v>
      </c>
      <c r="C894" s="28"/>
      <c r="D894" s="47">
        <f t="shared" si="218"/>
        <v>85380</v>
      </c>
      <c r="E894">
        <f t="shared" si="219"/>
        <v>2665915</v>
      </c>
    </row>
    <row r="895" spans="1:5" ht="15">
      <c r="A895" s="72" t="s">
        <v>428</v>
      </c>
      <c r="B895">
        <f t="shared" si="220"/>
        <v>5122774</v>
      </c>
      <c r="C895" s="28"/>
      <c r="D895" s="47">
        <f t="shared" si="218"/>
        <v>85380</v>
      </c>
      <c r="E895">
        <f t="shared" si="219"/>
        <v>2751295</v>
      </c>
    </row>
    <row r="896" spans="1:5" ht="15">
      <c r="A896" s="72" t="s">
        <v>429</v>
      </c>
      <c r="B896">
        <f t="shared" si="220"/>
        <v>5122774</v>
      </c>
      <c r="C896" s="28"/>
      <c r="D896" s="47">
        <f t="shared" si="218"/>
        <v>85380</v>
      </c>
      <c r="E896">
        <f t="shared" si="219"/>
        <v>2836675</v>
      </c>
    </row>
    <row r="897" spans="1:5" ht="15">
      <c r="A897" s="72" t="s">
        <v>430</v>
      </c>
      <c r="B897">
        <f t="shared" si="220"/>
        <v>5122774</v>
      </c>
      <c r="C897" s="28"/>
      <c r="D897" s="47">
        <f t="shared" si="218"/>
        <v>85380</v>
      </c>
      <c r="E897">
        <f t="shared" si="219"/>
        <v>2922055</v>
      </c>
    </row>
    <row r="898" spans="1:5" ht="15">
      <c r="A898" s="72" t="s">
        <v>431</v>
      </c>
      <c r="B898">
        <f t="shared" si="220"/>
        <v>5122774</v>
      </c>
      <c r="C898" s="28"/>
      <c r="D898" s="47">
        <f t="shared" si="218"/>
        <v>85380</v>
      </c>
      <c r="E898">
        <f t="shared" si="219"/>
        <v>3007435</v>
      </c>
    </row>
    <row r="899" spans="1:5" ht="15">
      <c r="A899" s="72" t="s">
        <v>432</v>
      </c>
      <c r="B899">
        <f t="shared" si="220"/>
        <v>5122774</v>
      </c>
      <c r="C899" s="28"/>
      <c r="D899" s="47">
        <f t="shared" si="218"/>
        <v>85380</v>
      </c>
      <c r="E899">
        <f t="shared" si="219"/>
        <v>3092815</v>
      </c>
    </row>
    <row r="900" spans="1:5" ht="15">
      <c r="A900" s="72" t="s">
        <v>433</v>
      </c>
      <c r="B900">
        <f t="shared" si="220"/>
        <v>5122774</v>
      </c>
      <c r="D900" s="47">
        <f t="shared" si="218"/>
        <v>85380</v>
      </c>
      <c r="E900">
        <f t="shared" si="219"/>
        <v>3178195</v>
      </c>
    </row>
    <row r="901" spans="2:4" ht="15">
      <c r="B901" s="29"/>
      <c r="C901" s="29"/>
      <c r="D901" s="29"/>
    </row>
    <row r="902" ht="15">
      <c r="A902" t="s">
        <v>286</v>
      </c>
    </row>
    <row r="904" spans="2:4" ht="15">
      <c r="B904" s="29" t="s">
        <v>115</v>
      </c>
      <c r="C904" s="29" t="s">
        <v>116</v>
      </c>
      <c r="D904" s="29" t="s">
        <v>116</v>
      </c>
    </row>
    <row r="905" spans="3:5" ht="15">
      <c r="C905" s="29" t="s">
        <v>117</v>
      </c>
      <c r="D905" s="29" t="s">
        <v>118</v>
      </c>
      <c r="E905" s="29" t="s">
        <v>119</v>
      </c>
    </row>
    <row r="907" spans="1:5" ht="15">
      <c r="A907" t="s">
        <v>222</v>
      </c>
      <c r="B907">
        <v>0</v>
      </c>
      <c r="C907" s="28">
        <f>0.038/12</f>
        <v>0.0031666666666666666</v>
      </c>
      <c r="D907">
        <f>ROUND((B907*C907/2),0)</f>
        <v>0</v>
      </c>
      <c r="E907">
        <f>E906+D907</f>
        <v>0</v>
      </c>
    </row>
    <row r="908" spans="1:5" ht="15">
      <c r="A908" t="s">
        <v>223</v>
      </c>
      <c r="B908">
        <v>0</v>
      </c>
      <c r="C908" s="28">
        <f aca="true" t="shared" si="221" ref="C908:C915">0.038/12</f>
        <v>0.0031666666666666666</v>
      </c>
      <c r="D908">
        <f>ROUND((B907*C908),0)</f>
        <v>0</v>
      </c>
      <c r="E908">
        <f>E907+D908</f>
        <v>0</v>
      </c>
    </row>
    <row r="909" spans="1:5" ht="15">
      <c r="A909" t="s">
        <v>224</v>
      </c>
      <c r="B909">
        <v>0</v>
      </c>
      <c r="C909" s="28">
        <f t="shared" si="221"/>
        <v>0.0031666666666666666</v>
      </c>
      <c r="D909">
        <f>ROUND((B908*C909)+(0*C909/2),0)</f>
        <v>0</v>
      </c>
      <c r="E909">
        <f aca="true" t="shared" si="222" ref="E909:E928">E908+D909</f>
        <v>0</v>
      </c>
    </row>
    <row r="910" spans="1:5" ht="15">
      <c r="A910" t="s">
        <v>225</v>
      </c>
      <c r="B910" s="47">
        <v>1304049</v>
      </c>
      <c r="C910" s="28">
        <f t="shared" si="221"/>
        <v>0.0031666666666666666</v>
      </c>
      <c r="D910" s="47">
        <f>ROUND((B909*C910)+(1304049*C910/2),0)</f>
        <v>2065</v>
      </c>
      <c r="E910">
        <f t="shared" si="222"/>
        <v>2065</v>
      </c>
    </row>
    <row r="911" spans="1:5" ht="15">
      <c r="A911" t="s">
        <v>226</v>
      </c>
      <c r="B911" s="47">
        <f>B910+25986</f>
        <v>1330035</v>
      </c>
      <c r="C911" s="28">
        <f t="shared" si="221"/>
        <v>0.0031666666666666666</v>
      </c>
      <c r="D911" s="47">
        <f>ROUND((B910*C911)+(25986*C911/2),0)</f>
        <v>4171</v>
      </c>
      <c r="E911">
        <f t="shared" si="222"/>
        <v>6236</v>
      </c>
    </row>
    <row r="912" spans="1:5" ht="15">
      <c r="A912" t="s">
        <v>227</v>
      </c>
      <c r="B912" s="47">
        <f>B911+31964</f>
        <v>1361999</v>
      </c>
      <c r="C912" s="28">
        <f t="shared" si="221"/>
        <v>0.0031666666666666666</v>
      </c>
      <c r="D912" s="47">
        <f>ROUND((B911*C912)+(31964*C912/2),0)</f>
        <v>4262</v>
      </c>
      <c r="E912">
        <f t="shared" si="222"/>
        <v>10498</v>
      </c>
    </row>
    <row r="913" spans="1:5" ht="15">
      <c r="A913" t="s">
        <v>228</v>
      </c>
      <c r="B913" s="47">
        <f>B912+8446</f>
        <v>1370445</v>
      </c>
      <c r="C913" s="28">
        <f t="shared" si="221"/>
        <v>0.0031666666666666666</v>
      </c>
      <c r="D913" s="47">
        <f>ROUND((B912*C913)+(8446*C913/2),0)</f>
        <v>4326</v>
      </c>
      <c r="E913">
        <f t="shared" si="222"/>
        <v>14824</v>
      </c>
    </row>
    <row r="914" spans="1:5" ht="15">
      <c r="A914" t="s">
        <v>229</v>
      </c>
      <c r="B914" s="47">
        <f>B913+40383</f>
        <v>1410828</v>
      </c>
      <c r="C914" s="28">
        <f t="shared" si="221"/>
        <v>0.0031666666666666666</v>
      </c>
      <c r="D914" s="47">
        <f>ROUND((B913*C914)+(40383*C914/2),0)</f>
        <v>4404</v>
      </c>
      <c r="E914">
        <f t="shared" si="222"/>
        <v>19228</v>
      </c>
    </row>
    <row r="915" spans="1:5" ht="15">
      <c r="A915" t="s">
        <v>230</v>
      </c>
      <c r="B915" s="47">
        <f>B914+7286</f>
        <v>1418114</v>
      </c>
      <c r="C915" s="28">
        <f t="shared" si="221"/>
        <v>0.0031666666666666666</v>
      </c>
      <c r="D915" s="47">
        <f>ROUND((B914*C915)+(7286*C915/2),0)</f>
        <v>4479</v>
      </c>
      <c r="E915">
        <f t="shared" si="222"/>
        <v>23707</v>
      </c>
    </row>
    <row r="916" ht="15">
      <c r="C916" s="28"/>
    </row>
    <row r="917" spans="1:5" ht="15">
      <c r="A917" s="33" t="s">
        <v>323</v>
      </c>
      <c r="B917" s="47">
        <f>B915+310-E915</f>
        <v>1394717</v>
      </c>
      <c r="C917" s="28">
        <f>0.038/12</f>
        <v>0.0031666666666666666</v>
      </c>
      <c r="D917" s="47">
        <f>1394717/60</f>
        <v>23245.283333333333</v>
      </c>
      <c r="E917">
        <f>E915+D917</f>
        <v>46952.28333333333</v>
      </c>
    </row>
    <row r="918" spans="1:5" ht="15">
      <c r="A918" t="s">
        <v>324</v>
      </c>
      <c r="B918" s="47">
        <f>B917</f>
        <v>1394717</v>
      </c>
      <c r="C918" s="28">
        <f aca="true" t="shared" si="223" ref="C918:C928">0.038/12</f>
        <v>0.0031666666666666666</v>
      </c>
      <c r="D918" s="47">
        <f aca="true" t="shared" si="224" ref="D918:D928">1394717/60</f>
        <v>23245.283333333333</v>
      </c>
      <c r="E918">
        <f t="shared" si="222"/>
        <v>70197.56666666667</v>
      </c>
    </row>
    <row r="919" spans="1:5" ht="15">
      <c r="A919" t="s">
        <v>325</v>
      </c>
      <c r="B919">
        <f aca="true" t="shared" si="225" ref="B919:B928">B918</f>
        <v>1394717</v>
      </c>
      <c r="C919" s="28">
        <f t="shared" si="223"/>
        <v>0.0031666666666666666</v>
      </c>
      <c r="D919" s="47">
        <f t="shared" si="224"/>
        <v>23245.283333333333</v>
      </c>
      <c r="E919">
        <f t="shared" si="222"/>
        <v>93442.85</v>
      </c>
    </row>
    <row r="920" spans="1:5" ht="15">
      <c r="A920" t="s">
        <v>326</v>
      </c>
      <c r="B920">
        <f t="shared" si="225"/>
        <v>1394717</v>
      </c>
      <c r="C920" s="28">
        <f t="shared" si="223"/>
        <v>0.0031666666666666666</v>
      </c>
      <c r="D920" s="47">
        <f t="shared" si="224"/>
        <v>23245.283333333333</v>
      </c>
      <c r="E920">
        <f t="shared" si="222"/>
        <v>116688.13333333333</v>
      </c>
    </row>
    <row r="921" spans="1:5" ht="15">
      <c r="A921" t="s">
        <v>327</v>
      </c>
      <c r="B921">
        <f t="shared" si="225"/>
        <v>1394717</v>
      </c>
      <c r="C921" s="28">
        <f t="shared" si="223"/>
        <v>0.0031666666666666666</v>
      </c>
      <c r="D921" s="47">
        <f t="shared" si="224"/>
        <v>23245.283333333333</v>
      </c>
      <c r="E921">
        <f t="shared" si="222"/>
        <v>139933.41666666666</v>
      </c>
    </row>
    <row r="922" spans="1:5" ht="15">
      <c r="A922" t="s">
        <v>328</v>
      </c>
      <c r="B922">
        <f t="shared" si="225"/>
        <v>1394717</v>
      </c>
      <c r="C922" s="28">
        <f t="shared" si="223"/>
        <v>0.0031666666666666666</v>
      </c>
      <c r="D922" s="47">
        <f t="shared" si="224"/>
        <v>23245.283333333333</v>
      </c>
      <c r="E922">
        <f t="shared" si="222"/>
        <v>163178.69999999998</v>
      </c>
    </row>
    <row r="923" spans="1:5" ht="15">
      <c r="A923" t="s">
        <v>329</v>
      </c>
      <c r="B923">
        <f t="shared" si="225"/>
        <v>1394717</v>
      </c>
      <c r="C923" s="28">
        <f t="shared" si="223"/>
        <v>0.0031666666666666666</v>
      </c>
      <c r="D923" s="47">
        <f t="shared" si="224"/>
        <v>23245.283333333333</v>
      </c>
      <c r="E923">
        <f t="shared" si="222"/>
        <v>186423.9833333333</v>
      </c>
    </row>
    <row r="924" spans="1:5" ht="15">
      <c r="A924" t="s">
        <v>330</v>
      </c>
      <c r="B924">
        <f t="shared" si="225"/>
        <v>1394717</v>
      </c>
      <c r="C924" s="28">
        <f t="shared" si="223"/>
        <v>0.0031666666666666666</v>
      </c>
      <c r="D924" s="47">
        <f t="shared" si="224"/>
        <v>23245.283333333333</v>
      </c>
      <c r="E924">
        <f t="shared" si="222"/>
        <v>209669.26666666663</v>
      </c>
    </row>
    <row r="925" spans="1:5" ht="15">
      <c r="A925" t="s">
        <v>331</v>
      </c>
      <c r="B925">
        <f t="shared" si="225"/>
        <v>1394717</v>
      </c>
      <c r="C925" s="28">
        <f t="shared" si="223"/>
        <v>0.0031666666666666666</v>
      </c>
      <c r="D925" s="47">
        <f t="shared" si="224"/>
        <v>23245.283333333333</v>
      </c>
      <c r="E925">
        <f t="shared" si="222"/>
        <v>232914.54999999996</v>
      </c>
    </row>
    <row r="926" spans="1:5" ht="15">
      <c r="A926" t="s">
        <v>332</v>
      </c>
      <c r="B926">
        <f t="shared" si="225"/>
        <v>1394717</v>
      </c>
      <c r="C926" s="28">
        <f t="shared" si="223"/>
        <v>0.0031666666666666666</v>
      </c>
      <c r="D926" s="47">
        <f t="shared" si="224"/>
        <v>23245.283333333333</v>
      </c>
      <c r="E926">
        <f t="shared" si="222"/>
        <v>256159.83333333328</v>
      </c>
    </row>
    <row r="927" spans="1:5" ht="15">
      <c r="A927" t="s">
        <v>333</v>
      </c>
      <c r="B927">
        <f t="shared" si="225"/>
        <v>1394717</v>
      </c>
      <c r="C927" s="28">
        <f t="shared" si="223"/>
        <v>0.0031666666666666666</v>
      </c>
      <c r="D927" s="47">
        <f t="shared" si="224"/>
        <v>23245.283333333333</v>
      </c>
      <c r="E927">
        <f t="shared" si="222"/>
        <v>279405.11666666664</v>
      </c>
    </row>
    <row r="928" spans="1:5" ht="15">
      <c r="A928" t="s">
        <v>334</v>
      </c>
      <c r="B928">
        <f t="shared" si="225"/>
        <v>1394717</v>
      </c>
      <c r="C928" s="28">
        <f t="shared" si="223"/>
        <v>0.0031666666666666666</v>
      </c>
      <c r="D928" s="47">
        <f t="shared" si="224"/>
        <v>23245.283333333333</v>
      </c>
      <c r="E928">
        <f t="shared" si="222"/>
        <v>302650.39999999997</v>
      </c>
    </row>
    <row r="929" spans="3:4" ht="15">
      <c r="C929" s="28"/>
      <c r="D929" s="47"/>
    </row>
    <row r="930" spans="1:5" ht="15">
      <c r="A930" s="33" t="s">
        <v>369</v>
      </c>
      <c r="B930">
        <f>B928</f>
        <v>1394717</v>
      </c>
      <c r="C930" s="28"/>
      <c r="D930" s="47">
        <f>ROUND(1394717/60,0)</f>
        <v>23245</v>
      </c>
      <c r="E930">
        <f>E928+D930</f>
        <v>325895.39999999997</v>
      </c>
    </row>
    <row r="931" spans="1:5" ht="15">
      <c r="A931" t="s">
        <v>370</v>
      </c>
      <c r="B931">
        <f>B930</f>
        <v>1394717</v>
      </c>
      <c r="C931" s="28"/>
      <c r="D931" s="47">
        <f aca="true" t="shared" si="226" ref="D931:D954">ROUND(1394717/60,0)</f>
        <v>23245</v>
      </c>
      <c r="E931">
        <f aca="true" t="shared" si="227" ref="E931:E941">E930+D931</f>
        <v>349140.39999999997</v>
      </c>
    </row>
    <row r="932" spans="1:5" ht="15">
      <c r="A932" t="s">
        <v>371</v>
      </c>
      <c r="B932">
        <f aca="true" t="shared" si="228" ref="B932:B941">B931</f>
        <v>1394717</v>
      </c>
      <c r="C932" s="28"/>
      <c r="D932" s="47">
        <f t="shared" si="226"/>
        <v>23245</v>
      </c>
      <c r="E932">
        <f t="shared" si="227"/>
        <v>372385.39999999997</v>
      </c>
    </row>
    <row r="933" spans="1:5" ht="15">
      <c r="A933" t="s">
        <v>372</v>
      </c>
      <c r="B933">
        <f t="shared" si="228"/>
        <v>1394717</v>
      </c>
      <c r="C933" s="28"/>
      <c r="D933" s="47">
        <f t="shared" si="226"/>
        <v>23245</v>
      </c>
      <c r="E933">
        <f t="shared" si="227"/>
        <v>395630.39999999997</v>
      </c>
    </row>
    <row r="934" spans="1:5" ht="15">
      <c r="A934" t="s">
        <v>373</v>
      </c>
      <c r="B934">
        <f t="shared" si="228"/>
        <v>1394717</v>
      </c>
      <c r="C934" s="28"/>
      <c r="D934" s="47">
        <f t="shared" si="226"/>
        <v>23245</v>
      </c>
      <c r="E934">
        <f t="shared" si="227"/>
        <v>418875.39999999997</v>
      </c>
    </row>
    <row r="935" spans="1:5" ht="15">
      <c r="A935" t="s">
        <v>374</v>
      </c>
      <c r="B935">
        <f t="shared" si="228"/>
        <v>1394717</v>
      </c>
      <c r="C935" s="28"/>
      <c r="D935" s="47">
        <f t="shared" si="226"/>
        <v>23245</v>
      </c>
      <c r="E935">
        <f t="shared" si="227"/>
        <v>442120.39999999997</v>
      </c>
    </row>
    <row r="936" spans="1:5" ht="15">
      <c r="A936" t="s">
        <v>375</v>
      </c>
      <c r="B936">
        <f t="shared" si="228"/>
        <v>1394717</v>
      </c>
      <c r="C936" s="28"/>
      <c r="D936" s="47">
        <f t="shared" si="226"/>
        <v>23245</v>
      </c>
      <c r="E936">
        <f t="shared" si="227"/>
        <v>465365.39999999997</v>
      </c>
    </row>
    <row r="937" spans="1:5" ht="15">
      <c r="A937" t="s">
        <v>376</v>
      </c>
      <c r="B937">
        <f t="shared" si="228"/>
        <v>1394717</v>
      </c>
      <c r="C937" s="28"/>
      <c r="D937" s="47">
        <f t="shared" si="226"/>
        <v>23245</v>
      </c>
      <c r="E937">
        <f t="shared" si="227"/>
        <v>488610.39999999997</v>
      </c>
    </row>
    <row r="938" spans="1:5" ht="15">
      <c r="A938" t="s">
        <v>377</v>
      </c>
      <c r="B938">
        <f t="shared" si="228"/>
        <v>1394717</v>
      </c>
      <c r="C938" s="28"/>
      <c r="D938" s="47">
        <f t="shared" si="226"/>
        <v>23245</v>
      </c>
      <c r="E938">
        <f t="shared" si="227"/>
        <v>511855.39999999997</v>
      </c>
    </row>
    <row r="939" spans="1:5" ht="15">
      <c r="A939" t="s">
        <v>378</v>
      </c>
      <c r="B939">
        <f t="shared" si="228"/>
        <v>1394717</v>
      </c>
      <c r="C939" s="28"/>
      <c r="D939" s="47">
        <f t="shared" si="226"/>
        <v>23245</v>
      </c>
      <c r="E939">
        <f t="shared" si="227"/>
        <v>535100.3999999999</v>
      </c>
    </row>
    <row r="940" spans="1:5" ht="15">
      <c r="A940" t="s">
        <v>379</v>
      </c>
      <c r="B940">
        <f t="shared" si="228"/>
        <v>1394717</v>
      </c>
      <c r="C940" s="28"/>
      <c r="D940" s="47">
        <f t="shared" si="226"/>
        <v>23245</v>
      </c>
      <c r="E940">
        <f t="shared" si="227"/>
        <v>558345.3999999999</v>
      </c>
    </row>
    <row r="941" spans="1:5" ht="15">
      <c r="A941" t="s">
        <v>380</v>
      </c>
      <c r="B941">
        <f t="shared" si="228"/>
        <v>1394717</v>
      </c>
      <c r="C941" s="28"/>
      <c r="D941" s="47">
        <f t="shared" si="226"/>
        <v>23245</v>
      </c>
      <c r="E941">
        <f t="shared" si="227"/>
        <v>581590.3999999999</v>
      </c>
    </row>
    <row r="942" ht="15">
      <c r="C942" s="28"/>
    </row>
    <row r="943" spans="1:5" ht="15">
      <c r="A943" s="73" t="s">
        <v>423</v>
      </c>
      <c r="B943">
        <f>B941</f>
        <v>1394717</v>
      </c>
      <c r="C943" s="28"/>
      <c r="D943" s="47">
        <f t="shared" si="226"/>
        <v>23245</v>
      </c>
      <c r="E943">
        <f>E941+D943</f>
        <v>604835.3999999999</v>
      </c>
    </row>
    <row r="944" spans="1:5" ht="15">
      <c r="A944" s="72" t="s">
        <v>424</v>
      </c>
      <c r="B944">
        <f>B943</f>
        <v>1394717</v>
      </c>
      <c r="C944" s="28"/>
      <c r="D944" s="47">
        <f t="shared" si="226"/>
        <v>23245</v>
      </c>
      <c r="E944">
        <f aca="true" t="shared" si="229" ref="E944:E954">E943+D944</f>
        <v>628080.3999999999</v>
      </c>
    </row>
    <row r="945" spans="1:5" ht="15">
      <c r="A945" s="72" t="s">
        <v>425</v>
      </c>
      <c r="B945">
        <f aca="true" t="shared" si="230" ref="B945:B954">B944</f>
        <v>1394717</v>
      </c>
      <c r="C945" s="28"/>
      <c r="D945" s="47">
        <f t="shared" si="226"/>
        <v>23245</v>
      </c>
      <c r="E945">
        <f t="shared" si="229"/>
        <v>651325.3999999999</v>
      </c>
    </row>
    <row r="946" spans="1:5" ht="15">
      <c r="A946" s="72" t="s">
        <v>426</v>
      </c>
      <c r="B946">
        <f t="shared" si="230"/>
        <v>1394717</v>
      </c>
      <c r="C946" s="28"/>
      <c r="D946" s="47">
        <f t="shared" si="226"/>
        <v>23245</v>
      </c>
      <c r="E946">
        <f t="shared" si="229"/>
        <v>674570.3999999999</v>
      </c>
    </row>
    <row r="947" spans="1:5" ht="15">
      <c r="A947" s="72" t="s">
        <v>410</v>
      </c>
      <c r="B947">
        <f t="shared" si="230"/>
        <v>1394717</v>
      </c>
      <c r="C947" s="28"/>
      <c r="D947" s="47">
        <f t="shared" si="226"/>
        <v>23245</v>
      </c>
      <c r="E947">
        <f t="shared" si="229"/>
        <v>697815.3999999999</v>
      </c>
    </row>
    <row r="948" spans="1:5" ht="15">
      <c r="A948" s="72" t="s">
        <v>427</v>
      </c>
      <c r="B948">
        <f t="shared" si="230"/>
        <v>1394717</v>
      </c>
      <c r="C948" s="28"/>
      <c r="D948" s="47">
        <f t="shared" si="226"/>
        <v>23245</v>
      </c>
      <c r="E948">
        <f t="shared" si="229"/>
        <v>721060.3999999999</v>
      </c>
    </row>
    <row r="949" spans="1:5" ht="15">
      <c r="A949" s="72" t="s">
        <v>428</v>
      </c>
      <c r="B949">
        <f t="shared" si="230"/>
        <v>1394717</v>
      </c>
      <c r="C949" s="28"/>
      <c r="D949" s="47">
        <f t="shared" si="226"/>
        <v>23245</v>
      </c>
      <c r="E949">
        <f t="shared" si="229"/>
        <v>744305.3999999999</v>
      </c>
    </row>
    <row r="950" spans="1:5" ht="15">
      <c r="A950" s="72" t="s">
        <v>429</v>
      </c>
      <c r="B950">
        <f t="shared" si="230"/>
        <v>1394717</v>
      </c>
      <c r="C950" s="28"/>
      <c r="D950" s="47">
        <f t="shared" si="226"/>
        <v>23245</v>
      </c>
      <c r="E950">
        <f t="shared" si="229"/>
        <v>767550.3999999999</v>
      </c>
    </row>
    <row r="951" spans="1:5" ht="15">
      <c r="A951" s="72" t="s">
        <v>430</v>
      </c>
      <c r="B951">
        <f t="shared" si="230"/>
        <v>1394717</v>
      </c>
      <c r="C951" s="28"/>
      <c r="D951" s="47">
        <f t="shared" si="226"/>
        <v>23245</v>
      </c>
      <c r="E951">
        <f t="shared" si="229"/>
        <v>790795.3999999999</v>
      </c>
    </row>
    <row r="952" spans="1:5" ht="15">
      <c r="A952" s="72" t="s">
        <v>431</v>
      </c>
      <c r="B952">
        <f t="shared" si="230"/>
        <v>1394717</v>
      </c>
      <c r="C952" s="28"/>
      <c r="D952" s="47">
        <f t="shared" si="226"/>
        <v>23245</v>
      </c>
      <c r="E952">
        <f t="shared" si="229"/>
        <v>814040.3999999999</v>
      </c>
    </row>
    <row r="953" spans="1:5" ht="15">
      <c r="A953" s="72" t="s">
        <v>432</v>
      </c>
      <c r="B953">
        <f t="shared" si="230"/>
        <v>1394717</v>
      </c>
      <c r="C953" s="28"/>
      <c r="D953" s="47">
        <f t="shared" si="226"/>
        <v>23245</v>
      </c>
      <c r="E953">
        <f t="shared" si="229"/>
        <v>837285.3999999999</v>
      </c>
    </row>
    <row r="954" spans="1:5" ht="15">
      <c r="A954" s="72" t="s">
        <v>433</v>
      </c>
      <c r="B954">
        <f t="shared" si="230"/>
        <v>1394717</v>
      </c>
      <c r="C954" s="28"/>
      <c r="D954" s="47">
        <f t="shared" si="226"/>
        <v>23245</v>
      </c>
      <c r="E954">
        <f t="shared" si="229"/>
        <v>860530.3999999999</v>
      </c>
    </row>
    <row r="955" ht="15">
      <c r="C955" s="28"/>
    </row>
    <row r="956" ht="15">
      <c r="A956" t="s">
        <v>336</v>
      </c>
    </row>
    <row r="958" spans="2:4" ht="15">
      <c r="B958" s="29" t="s">
        <v>115</v>
      </c>
      <c r="C958" s="29" t="s">
        <v>116</v>
      </c>
      <c r="D958" s="29" t="s">
        <v>116</v>
      </c>
    </row>
    <row r="959" spans="3:5" ht="15">
      <c r="C959" s="29" t="s">
        <v>117</v>
      </c>
      <c r="D959" s="29" t="s">
        <v>118</v>
      </c>
      <c r="E959" s="29" t="s">
        <v>119</v>
      </c>
    </row>
    <row r="961" spans="1:5" ht="15">
      <c r="A961" t="s">
        <v>222</v>
      </c>
      <c r="B961">
        <v>0</v>
      </c>
      <c r="C961" s="28">
        <f>0.021/12</f>
        <v>0.00175</v>
      </c>
      <c r="D961">
        <f>ROUND((B961*C961/2),0)</f>
        <v>0</v>
      </c>
      <c r="E961">
        <f>ROUND(+E942+D961,0)</f>
        <v>0</v>
      </c>
    </row>
    <row r="962" spans="1:5" ht="15">
      <c r="A962" t="s">
        <v>223</v>
      </c>
      <c r="B962">
        <v>0</v>
      </c>
      <c r="C962" s="28">
        <f aca="true" t="shared" si="231" ref="C962:C969">0.021/12</f>
        <v>0.00175</v>
      </c>
      <c r="D962">
        <f>ROUND((B961*C962),0)</f>
        <v>0</v>
      </c>
      <c r="E962">
        <f>E961+D962</f>
        <v>0</v>
      </c>
    </row>
    <row r="963" spans="1:5" ht="15">
      <c r="A963" t="s">
        <v>224</v>
      </c>
      <c r="B963">
        <v>0</v>
      </c>
      <c r="C963" s="28">
        <f t="shared" si="231"/>
        <v>0.00175</v>
      </c>
      <c r="D963">
        <f>ROUND((B962*C963)+(0*C963/2),0)</f>
        <v>0</v>
      </c>
      <c r="E963">
        <f aca="true" t="shared" si="232" ref="E963:E969">E962+D963</f>
        <v>0</v>
      </c>
    </row>
    <row r="964" spans="1:5" ht="15">
      <c r="A964" t="s">
        <v>225</v>
      </c>
      <c r="B964" s="47">
        <v>0</v>
      </c>
      <c r="C964" s="28">
        <f t="shared" si="231"/>
        <v>0.00175</v>
      </c>
      <c r="D964" s="47">
        <f>ROUND((B963*C964)+(0*C964/2),0)</f>
        <v>0</v>
      </c>
      <c r="E964">
        <f t="shared" si="232"/>
        <v>0</v>
      </c>
    </row>
    <row r="965" spans="1:5" ht="15">
      <c r="A965" t="s">
        <v>226</v>
      </c>
      <c r="B965" s="47">
        <v>167</v>
      </c>
      <c r="C965" s="28">
        <f t="shared" si="231"/>
        <v>0.00175</v>
      </c>
      <c r="D965" s="47">
        <f>ROUND((B964*C965)+(167*C965/2),0)</f>
        <v>0</v>
      </c>
      <c r="E965">
        <f t="shared" si="232"/>
        <v>0</v>
      </c>
    </row>
    <row r="966" spans="1:5" ht="15">
      <c r="A966" t="s">
        <v>227</v>
      </c>
      <c r="B966" s="47">
        <f>167+9115</f>
        <v>9282</v>
      </c>
      <c r="C966" s="28">
        <f t="shared" si="231"/>
        <v>0.00175</v>
      </c>
      <c r="D966" s="47">
        <v>0</v>
      </c>
      <c r="E966">
        <f t="shared" si="232"/>
        <v>0</v>
      </c>
    </row>
    <row r="967" spans="1:5" ht="15">
      <c r="A967" t="s">
        <v>228</v>
      </c>
      <c r="B967" s="47">
        <f>9282+263</f>
        <v>9545</v>
      </c>
      <c r="C967" s="28">
        <f t="shared" si="231"/>
        <v>0.00175</v>
      </c>
      <c r="D967" s="47">
        <v>0</v>
      </c>
      <c r="E967">
        <f t="shared" si="232"/>
        <v>0</v>
      </c>
    </row>
    <row r="968" spans="1:5" ht="15">
      <c r="A968" t="s">
        <v>229</v>
      </c>
      <c r="B968" s="47">
        <f>9545+4107</f>
        <v>13652</v>
      </c>
      <c r="C968" s="28">
        <f t="shared" si="231"/>
        <v>0.00175</v>
      </c>
      <c r="D968" s="47">
        <v>0</v>
      </c>
      <c r="E968">
        <f t="shared" si="232"/>
        <v>0</v>
      </c>
    </row>
    <row r="969" spans="1:5" ht="15">
      <c r="A969" t="s">
        <v>230</v>
      </c>
      <c r="B969" s="47">
        <f>13652+83664</f>
        <v>97316</v>
      </c>
      <c r="C969" s="28">
        <f t="shared" si="231"/>
        <v>0.00175</v>
      </c>
      <c r="D969" s="47">
        <f>ROUND((B968*C969/2)+(83664*C969/2),0)</f>
        <v>85</v>
      </c>
      <c r="E969">
        <f t="shared" si="232"/>
        <v>85</v>
      </c>
    </row>
    <row r="970" ht="15">
      <c r="C970" s="28"/>
    </row>
    <row r="971" spans="1:5" ht="15">
      <c r="A971" s="33" t="s">
        <v>323</v>
      </c>
      <c r="B971" s="47">
        <f>B969+5168</f>
        <v>102484</v>
      </c>
      <c r="C971" s="28">
        <f>0.021/12</f>
        <v>0.00175</v>
      </c>
      <c r="D971" s="47">
        <f>ROUND((B969*C971)+(5168*C971/2),0)</f>
        <v>175</v>
      </c>
      <c r="E971">
        <f>E969+D971</f>
        <v>260</v>
      </c>
    </row>
    <row r="972" spans="1:5" ht="15">
      <c r="A972" t="s">
        <v>324</v>
      </c>
      <c r="B972" s="47">
        <f>B971+10746</f>
        <v>113230</v>
      </c>
      <c r="C972" s="28">
        <f aca="true" t="shared" si="233" ref="C972:C982">0.021/12</f>
        <v>0.00175</v>
      </c>
      <c r="D972" s="47">
        <f>ROUND((B971*C972)+(10746*C972/2),0)</f>
        <v>189</v>
      </c>
      <c r="E972">
        <f>E971+D972</f>
        <v>449</v>
      </c>
    </row>
    <row r="973" spans="1:6" ht="15">
      <c r="A973" t="s">
        <v>325</v>
      </c>
      <c r="B973" s="47">
        <f>B972+6536</f>
        <v>119766</v>
      </c>
      <c r="C973" s="28">
        <f t="shared" si="233"/>
        <v>0.00175</v>
      </c>
      <c r="D973" s="47">
        <f>ROUND((B972*C973)+(6536*C973/2),0)</f>
        <v>204</v>
      </c>
      <c r="E973">
        <f aca="true" t="shared" si="234" ref="E973:E982">E972+D973</f>
        <v>653</v>
      </c>
      <c r="F973" s="65"/>
    </row>
    <row r="974" spans="1:5" ht="15">
      <c r="A974" t="s">
        <v>326</v>
      </c>
      <c r="B974" s="47">
        <f>B973+550</f>
        <v>120316</v>
      </c>
      <c r="C974" s="28">
        <f t="shared" si="233"/>
        <v>0.00175</v>
      </c>
      <c r="D974" s="47">
        <f>ROUND((B973*C974)+(550*C974/2),0)</f>
        <v>210</v>
      </c>
      <c r="E974">
        <f t="shared" si="234"/>
        <v>863</v>
      </c>
    </row>
    <row r="975" spans="1:5" ht="15">
      <c r="A975" t="s">
        <v>327</v>
      </c>
      <c r="B975" s="47">
        <f>B974+421</f>
        <v>120737</v>
      </c>
      <c r="C975" s="28">
        <f t="shared" si="233"/>
        <v>0.00175</v>
      </c>
      <c r="D975" s="47">
        <f>ROUND((B974*C975)+(421*C975/2),0)</f>
        <v>211</v>
      </c>
      <c r="E975">
        <f t="shared" si="234"/>
        <v>1074</v>
      </c>
    </row>
    <row r="976" spans="1:5" ht="15">
      <c r="A976" t="s">
        <v>328</v>
      </c>
      <c r="B976" s="47">
        <f aca="true" t="shared" si="235" ref="B976:B982">B975</f>
        <v>120737</v>
      </c>
      <c r="C976" s="28">
        <f t="shared" si="233"/>
        <v>0.00175</v>
      </c>
      <c r="D976" s="47">
        <f aca="true" t="shared" si="236" ref="D976:D982">ROUND((B975*C976)+(0*C976/2),0)</f>
        <v>211</v>
      </c>
      <c r="E976">
        <f t="shared" si="234"/>
        <v>1285</v>
      </c>
    </row>
    <row r="977" spans="1:5" ht="15">
      <c r="A977" t="s">
        <v>329</v>
      </c>
      <c r="B977" s="47">
        <f t="shared" si="235"/>
        <v>120737</v>
      </c>
      <c r="C977" s="28">
        <f t="shared" si="233"/>
        <v>0.00175</v>
      </c>
      <c r="D977" s="47">
        <f t="shared" si="236"/>
        <v>211</v>
      </c>
      <c r="E977">
        <f t="shared" si="234"/>
        <v>1496</v>
      </c>
    </row>
    <row r="978" spans="1:5" ht="15">
      <c r="A978" t="s">
        <v>330</v>
      </c>
      <c r="B978" s="47">
        <f t="shared" si="235"/>
        <v>120737</v>
      </c>
      <c r="C978" s="28">
        <f t="shared" si="233"/>
        <v>0.00175</v>
      </c>
      <c r="D978" s="47">
        <f t="shared" si="236"/>
        <v>211</v>
      </c>
      <c r="E978">
        <f t="shared" si="234"/>
        <v>1707</v>
      </c>
    </row>
    <row r="979" spans="1:5" ht="15">
      <c r="A979" t="s">
        <v>331</v>
      </c>
      <c r="B979" s="47">
        <f t="shared" si="235"/>
        <v>120737</v>
      </c>
      <c r="C979" s="28">
        <f t="shared" si="233"/>
        <v>0.00175</v>
      </c>
      <c r="D979" s="47">
        <f t="shared" si="236"/>
        <v>211</v>
      </c>
      <c r="E979">
        <f t="shared" si="234"/>
        <v>1918</v>
      </c>
    </row>
    <row r="980" spans="1:5" ht="15">
      <c r="A980" t="s">
        <v>332</v>
      </c>
      <c r="B980" s="47">
        <f t="shared" si="235"/>
        <v>120737</v>
      </c>
      <c r="C980" s="28">
        <f t="shared" si="233"/>
        <v>0.00175</v>
      </c>
      <c r="D980" s="47">
        <f t="shared" si="236"/>
        <v>211</v>
      </c>
      <c r="E980">
        <f t="shared" si="234"/>
        <v>2129</v>
      </c>
    </row>
    <row r="981" spans="1:5" ht="15">
      <c r="A981" t="s">
        <v>333</v>
      </c>
      <c r="B981" s="47">
        <f t="shared" si="235"/>
        <v>120737</v>
      </c>
      <c r="C981" s="28">
        <f t="shared" si="233"/>
        <v>0.00175</v>
      </c>
      <c r="D981" s="47">
        <f t="shared" si="236"/>
        <v>211</v>
      </c>
      <c r="E981">
        <f t="shared" si="234"/>
        <v>2340</v>
      </c>
    </row>
    <row r="982" spans="1:5" ht="15">
      <c r="A982" t="s">
        <v>334</v>
      </c>
      <c r="B982" s="47">
        <f t="shared" si="235"/>
        <v>120737</v>
      </c>
      <c r="C982" s="28">
        <f t="shared" si="233"/>
        <v>0.00175</v>
      </c>
      <c r="D982" s="47">
        <f t="shared" si="236"/>
        <v>211</v>
      </c>
      <c r="E982">
        <f t="shared" si="234"/>
        <v>2551</v>
      </c>
    </row>
    <row r="983" ht="15">
      <c r="A983" s="33"/>
    </row>
    <row r="984" spans="1:5" ht="15">
      <c r="A984" s="33" t="s">
        <v>369</v>
      </c>
      <c r="B984">
        <f>B982</f>
        <v>120737</v>
      </c>
      <c r="C984" s="28">
        <f>0.021/12</f>
        <v>0.00175</v>
      </c>
      <c r="D984" s="47">
        <f>ROUND((B982*C984),0)</f>
        <v>211</v>
      </c>
      <c r="E984">
        <f>E982+D984</f>
        <v>2762</v>
      </c>
    </row>
    <row r="985" spans="1:5" ht="15">
      <c r="A985" t="s">
        <v>370</v>
      </c>
      <c r="B985">
        <f>B984</f>
        <v>120737</v>
      </c>
      <c r="C985" s="28">
        <f aca="true" t="shared" si="237" ref="C985:C995">0.021/12</f>
        <v>0.00175</v>
      </c>
      <c r="D985" s="47">
        <f>ROUND((B984*C985)+(0*C985/2),0)</f>
        <v>211</v>
      </c>
      <c r="E985">
        <f>E984+D985</f>
        <v>2973</v>
      </c>
    </row>
    <row r="986" spans="1:5" ht="15">
      <c r="A986" t="s">
        <v>371</v>
      </c>
      <c r="B986">
        <f aca="true" t="shared" si="238" ref="B986:B995">B985</f>
        <v>120737</v>
      </c>
      <c r="C986" s="28">
        <f t="shared" si="237"/>
        <v>0.00175</v>
      </c>
      <c r="D986" s="47">
        <f>ROUND((B985*C986)+(0*C986/2),0)</f>
        <v>211</v>
      </c>
      <c r="E986">
        <f aca="true" t="shared" si="239" ref="E986:E995">E985+D986</f>
        <v>3184</v>
      </c>
    </row>
    <row r="987" spans="1:5" ht="15">
      <c r="A987" t="s">
        <v>372</v>
      </c>
      <c r="B987">
        <f t="shared" si="238"/>
        <v>120737</v>
      </c>
      <c r="C987" s="28">
        <f t="shared" si="237"/>
        <v>0.00175</v>
      </c>
      <c r="D987" s="47">
        <f>ROUND((B986*C987)+(0*C987/2),0)</f>
        <v>211</v>
      </c>
      <c r="E987">
        <f t="shared" si="239"/>
        <v>3395</v>
      </c>
    </row>
    <row r="988" spans="1:5" ht="15">
      <c r="A988" t="s">
        <v>373</v>
      </c>
      <c r="B988">
        <f t="shared" si="238"/>
        <v>120737</v>
      </c>
      <c r="C988" s="28">
        <f t="shared" si="237"/>
        <v>0.00175</v>
      </c>
      <c r="D988" s="47">
        <f>ROUND((B987*C988)+(0*C988/2),0)</f>
        <v>211</v>
      </c>
      <c r="E988">
        <f t="shared" si="239"/>
        <v>3606</v>
      </c>
    </row>
    <row r="989" spans="1:5" ht="15">
      <c r="A989" t="s">
        <v>374</v>
      </c>
      <c r="B989">
        <f t="shared" si="238"/>
        <v>120737</v>
      </c>
      <c r="C989" s="28">
        <f t="shared" si="237"/>
        <v>0.00175</v>
      </c>
      <c r="D989" s="47">
        <f aca="true" t="shared" si="240" ref="D989:D995">ROUND((B988*C989)+(0*C989/2),0)</f>
        <v>211</v>
      </c>
      <c r="E989">
        <f t="shared" si="239"/>
        <v>3817</v>
      </c>
    </row>
    <row r="990" spans="1:5" ht="15">
      <c r="A990" t="s">
        <v>375</v>
      </c>
      <c r="B990">
        <f t="shared" si="238"/>
        <v>120737</v>
      </c>
      <c r="C990" s="28">
        <f t="shared" si="237"/>
        <v>0.00175</v>
      </c>
      <c r="D990" s="47">
        <f t="shared" si="240"/>
        <v>211</v>
      </c>
      <c r="E990">
        <f t="shared" si="239"/>
        <v>4028</v>
      </c>
    </row>
    <row r="991" spans="1:5" ht="15">
      <c r="A991" t="s">
        <v>376</v>
      </c>
      <c r="B991">
        <f t="shared" si="238"/>
        <v>120737</v>
      </c>
      <c r="C991" s="28">
        <f t="shared" si="237"/>
        <v>0.00175</v>
      </c>
      <c r="D991" s="47">
        <f t="shared" si="240"/>
        <v>211</v>
      </c>
      <c r="E991">
        <f t="shared" si="239"/>
        <v>4239</v>
      </c>
    </row>
    <row r="992" spans="1:5" ht="15">
      <c r="A992" t="s">
        <v>377</v>
      </c>
      <c r="B992">
        <f t="shared" si="238"/>
        <v>120737</v>
      </c>
      <c r="C992" s="28">
        <f t="shared" si="237"/>
        <v>0.00175</v>
      </c>
      <c r="D992" s="47">
        <f t="shared" si="240"/>
        <v>211</v>
      </c>
      <c r="E992">
        <f t="shared" si="239"/>
        <v>4450</v>
      </c>
    </row>
    <row r="993" spans="1:5" ht="15">
      <c r="A993" t="s">
        <v>378</v>
      </c>
      <c r="B993">
        <f t="shared" si="238"/>
        <v>120737</v>
      </c>
      <c r="C993" s="28">
        <f t="shared" si="237"/>
        <v>0.00175</v>
      </c>
      <c r="D993" s="47">
        <f t="shared" si="240"/>
        <v>211</v>
      </c>
      <c r="E993">
        <f t="shared" si="239"/>
        <v>4661</v>
      </c>
    </row>
    <row r="994" spans="1:5" ht="15">
      <c r="A994" t="s">
        <v>379</v>
      </c>
      <c r="B994">
        <f t="shared" si="238"/>
        <v>120737</v>
      </c>
      <c r="C994" s="28">
        <f t="shared" si="237"/>
        <v>0.00175</v>
      </c>
      <c r="D994" s="47">
        <f t="shared" si="240"/>
        <v>211</v>
      </c>
      <c r="E994">
        <f t="shared" si="239"/>
        <v>4872</v>
      </c>
    </row>
    <row r="995" spans="1:5" ht="15">
      <c r="A995" t="s">
        <v>380</v>
      </c>
      <c r="B995">
        <f t="shared" si="238"/>
        <v>120737</v>
      </c>
      <c r="C995" s="28">
        <f t="shared" si="237"/>
        <v>0.00175</v>
      </c>
      <c r="D995" s="47">
        <f t="shared" si="240"/>
        <v>211</v>
      </c>
      <c r="E995">
        <f t="shared" si="239"/>
        <v>5083</v>
      </c>
    </row>
    <row r="996" ht="15">
      <c r="A996" s="33"/>
    </row>
    <row r="997" spans="1:5" ht="15">
      <c r="A997" s="73" t="s">
        <v>423</v>
      </c>
      <c r="B997">
        <f>B995</f>
        <v>120737</v>
      </c>
      <c r="C997" s="28">
        <f>0.021/12</f>
        <v>0.00175</v>
      </c>
      <c r="D997" s="47">
        <f>ROUND((B995*C997),0)</f>
        <v>211</v>
      </c>
      <c r="E997">
        <f>E995+D997</f>
        <v>5294</v>
      </c>
    </row>
    <row r="998" spans="1:5" ht="15">
      <c r="A998" s="72" t="s">
        <v>424</v>
      </c>
      <c r="B998">
        <f>B997</f>
        <v>120737</v>
      </c>
      <c r="C998" s="28">
        <f aca="true" t="shared" si="241" ref="C998:C1008">0.021/12</f>
        <v>0.00175</v>
      </c>
      <c r="D998" s="47">
        <f>ROUND((B997*C998)+(0*C998/2),0)</f>
        <v>211</v>
      </c>
      <c r="E998">
        <f>E997+D998</f>
        <v>5505</v>
      </c>
    </row>
    <row r="999" spans="1:5" ht="15">
      <c r="A999" s="72" t="s">
        <v>425</v>
      </c>
      <c r="B999">
        <f aca="true" t="shared" si="242" ref="B999:B1008">B998</f>
        <v>120737</v>
      </c>
      <c r="C999" s="28">
        <f t="shared" si="241"/>
        <v>0.00175</v>
      </c>
      <c r="D999" s="47">
        <f>ROUND((B998*C999)+(0*C999/2),0)</f>
        <v>211</v>
      </c>
      <c r="E999">
        <f aca="true" t="shared" si="243" ref="E999:E1008">E998+D999</f>
        <v>5716</v>
      </c>
    </row>
    <row r="1000" spans="1:5" ht="15">
      <c r="A1000" s="72" t="s">
        <v>426</v>
      </c>
      <c r="B1000">
        <f t="shared" si="242"/>
        <v>120737</v>
      </c>
      <c r="C1000" s="28">
        <f t="shared" si="241"/>
        <v>0.00175</v>
      </c>
      <c r="D1000" s="47">
        <f>ROUND((B999*C1000)+(0*C1000/2),0)</f>
        <v>211</v>
      </c>
      <c r="E1000">
        <f t="shared" si="243"/>
        <v>5927</v>
      </c>
    </row>
    <row r="1001" spans="1:5" ht="15">
      <c r="A1001" s="72" t="s">
        <v>410</v>
      </c>
      <c r="B1001">
        <f t="shared" si="242"/>
        <v>120737</v>
      </c>
      <c r="C1001" s="28">
        <f t="shared" si="241"/>
        <v>0.00175</v>
      </c>
      <c r="D1001" s="47">
        <f>ROUND((B1000*C1001)+(0*C1001/2),0)</f>
        <v>211</v>
      </c>
      <c r="E1001">
        <f t="shared" si="243"/>
        <v>6138</v>
      </c>
    </row>
    <row r="1002" spans="1:5" ht="15">
      <c r="A1002" s="72" t="s">
        <v>427</v>
      </c>
      <c r="B1002">
        <f t="shared" si="242"/>
        <v>120737</v>
      </c>
      <c r="C1002" s="28">
        <f t="shared" si="241"/>
        <v>0.00175</v>
      </c>
      <c r="D1002" s="47">
        <f aca="true" t="shared" si="244" ref="D1002:D1008">ROUND((B1001*C1002)+(0*C1002/2),0)</f>
        <v>211</v>
      </c>
      <c r="E1002">
        <f t="shared" si="243"/>
        <v>6349</v>
      </c>
    </row>
    <row r="1003" spans="1:5" ht="15">
      <c r="A1003" s="72" t="s">
        <v>428</v>
      </c>
      <c r="B1003">
        <f t="shared" si="242"/>
        <v>120737</v>
      </c>
      <c r="C1003" s="28">
        <f t="shared" si="241"/>
        <v>0.00175</v>
      </c>
      <c r="D1003" s="47">
        <f t="shared" si="244"/>
        <v>211</v>
      </c>
      <c r="E1003">
        <f t="shared" si="243"/>
        <v>6560</v>
      </c>
    </row>
    <row r="1004" spans="1:5" ht="15">
      <c r="A1004" s="72" t="s">
        <v>429</v>
      </c>
      <c r="B1004">
        <f t="shared" si="242"/>
        <v>120737</v>
      </c>
      <c r="C1004" s="28">
        <f t="shared" si="241"/>
        <v>0.00175</v>
      </c>
      <c r="D1004" s="47">
        <f t="shared" si="244"/>
        <v>211</v>
      </c>
      <c r="E1004">
        <f t="shared" si="243"/>
        <v>6771</v>
      </c>
    </row>
    <row r="1005" spans="1:5" ht="15">
      <c r="A1005" s="72" t="s">
        <v>430</v>
      </c>
      <c r="B1005">
        <f t="shared" si="242"/>
        <v>120737</v>
      </c>
      <c r="C1005" s="28">
        <f t="shared" si="241"/>
        <v>0.00175</v>
      </c>
      <c r="D1005" s="47">
        <f t="shared" si="244"/>
        <v>211</v>
      </c>
      <c r="E1005">
        <f t="shared" si="243"/>
        <v>6982</v>
      </c>
    </row>
    <row r="1006" spans="1:5" ht="15">
      <c r="A1006" s="72" t="s">
        <v>431</v>
      </c>
      <c r="B1006">
        <f t="shared" si="242"/>
        <v>120737</v>
      </c>
      <c r="C1006" s="28">
        <f t="shared" si="241"/>
        <v>0.00175</v>
      </c>
      <c r="D1006" s="47">
        <f t="shared" si="244"/>
        <v>211</v>
      </c>
      <c r="E1006">
        <f t="shared" si="243"/>
        <v>7193</v>
      </c>
    </row>
    <row r="1007" spans="1:5" ht="15">
      <c r="A1007" s="72" t="s">
        <v>432</v>
      </c>
      <c r="B1007">
        <f t="shared" si="242"/>
        <v>120737</v>
      </c>
      <c r="C1007" s="28">
        <f t="shared" si="241"/>
        <v>0.00175</v>
      </c>
      <c r="D1007" s="47">
        <f t="shared" si="244"/>
        <v>211</v>
      </c>
      <c r="E1007">
        <f t="shared" si="243"/>
        <v>7404</v>
      </c>
    </row>
    <row r="1008" spans="1:5" ht="15">
      <c r="A1008" s="72" t="s">
        <v>433</v>
      </c>
      <c r="B1008">
        <f t="shared" si="242"/>
        <v>120737</v>
      </c>
      <c r="C1008" s="28">
        <f t="shared" si="241"/>
        <v>0.00175</v>
      </c>
      <c r="D1008" s="47">
        <f t="shared" si="244"/>
        <v>211</v>
      </c>
      <c r="E1008">
        <f t="shared" si="243"/>
        <v>7615</v>
      </c>
    </row>
    <row r="1011" ht="15">
      <c r="A1011" t="s">
        <v>250</v>
      </c>
    </row>
    <row r="1013" spans="2:8" ht="15">
      <c r="B1013" s="29" t="s">
        <v>115</v>
      </c>
      <c r="C1013" s="29" t="s">
        <v>116</v>
      </c>
      <c r="D1013" s="29" t="s">
        <v>116</v>
      </c>
      <c r="F1013" s="50" t="s">
        <v>284</v>
      </c>
      <c r="G1013" s="50" t="s">
        <v>284</v>
      </c>
      <c r="H1013" s="50" t="s">
        <v>284</v>
      </c>
    </row>
    <row r="1014" spans="3:9" ht="15.75">
      <c r="C1014" s="29" t="s">
        <v>117</v>
      </c>
      <c r="D1014" s="29" t="s">
        <v>118</v>
      </c>
      <c r="E1014" s="29" t="s">
        <v>119</v>
      </c>
      <c r="F1014" s="50" t="s">
        <v>285</v>
      </c>
      <c r="G1014" s="50" t="s">
        <v>116</v>
      </c>
      <c r="H1014" s="50" t="s">
        <v>119</v>
      </c>
      <c r="I1014" s="51" t="s">
        <v>27</v>
      </c>
    </row>
    <row r="1016" spans="1:8" ht="15">
      <c r="A1016" t="s">
        <v>129</v>
      </c>
      <c r="B1016" s="47">
        <f>866211</f>
        <v>866211</v>
      </c>
      <c r="C1016" s="28">
        <f>0.027/12</f>
        <v>0.00225</v>
      </c>
      <c r="D1016">
        <f>ROUND((B1016*C1016)/2,0)</f>
        <v>974</v>
      </c>
      <c r="E1016">
        <f>D1016</f>
        <v>974</v>
      </c>
      <c r="F1016" s="47">
        <f>B1016</f>
        <v>866211</v>
      </c>
      <c r="G1016">
        <f>ROUND((F1016*C1016)/2,0)</f>
        <v>974</v>
      </c>
      <c r="H1016">
        <f>G1016</f>
        <v>974</v>
      </c>
    </row>
    <row r="1017" spans="1:8" ht="15">
      <c r="A1017" t="s">
        <v>130</v>
      </c>
      <c r="B1017">
        <f>$B$1016</f>
        <v>866211</v>
      </c>
      <c r="C1017" s="28">
        <f>0.027/12</f>
        <v>0.00225</v>
      </c>
      <c r="D1017">
        <f>ROUND((B1017*C1017),0)</f>
        <v>1949</v>
      </c>
      <c r="E1017">
        <f>ROUND(+E1016+D1017,0)</f>
        <v>2923</v>
      </c>
      <c r="F1017">
        <f>F1016</f>
        <v>866211</v>
      </c>
      <c r="G1017">
        <f>ROUND((F1017*C1017),0)</f>
        <v>1949</v>
      </c>
      <c r="H1017">
        <f>ROUND(+H1016+G1017,0)</f>
        <v>2923</v>
      </c>
    </row>
    <row r="1018" spans="1:8" ht="15">
      <c r="A1018" t="s">
        <v>131</v>
      </c>
      <c r="B1018">
        <f>$B$1016</f>
        <v>866211</v>
      </c>
      <c r="C1018" s="28">
        <f>0.027/12</f>
        <v>0.00225</v>
      </c>
      <c r="D1018">
        <f>ROUND((B1018*C1018),0)</f>
        <v>1949</v>
      </c>
      <c r="E1018">
        <f>ROUND(+E1017+D1018,0)</f>
        <v>4872</v>
      </c>
      <c r="F1018">
        <f>F1017</f>
        <v>866211</v>
      </c>
      <c r="G1018">
        <f aca="true" t="shared" si="245" ref="G1018:G1071">ROUND((F1018*C1018),0)</f>
        <v>1949</v>
      </c>
      <c r="H1018">
        <f>ROUND(+H1017+G1018,0)</f>
        <v>4872</v>
      </c>
    </row>
    <row r="1019" spans="1:8" ht="15">
      <c r="A1019" t="s">
        <v>132</v>
      </c>
      <c r="B1019">
        <f>$B$1016</f>
        <v>866211</v>
      </c>
      <c r="C1019" s="28">
        <f>0.027/12</f>
        <v>0.00225</v>
      </c>
      <c r="D1019">
        <f>ROUND((B1019*C1019),0)</f>
        <v>1949</v>
      </c>
      <c r="E1019">
        <f>ROUND(+E1018+D1019,0)</f>
        <v>6821</v>
      </c>
      <c r="F1019">
        <f>F1018</f>
        <v>866211</v>
      </c>
      <c r="G1019">
        <f t="shared" si="245"/>
        <v>1949</v>
      </c>
      <c r="H1019">
        <f>ROUND(+H1018+G1019,0)</f>
        <v>6821</v>
      </c>
    </row>
    <row r="1020" ht="15">
      <c r="C1020" s="28"/>
    </row>
    <row r="1021" spans="1:8" ht="15">
      <c r="A1021" t="s">
        <v>133</v>
      </c>
      <c r="B1021">
        <f aca="true" t="shared" si="246" ref="B1021:B1032">$B$1016</f>
        <v>866211</v>
      </c>
      <c r="C1021" s="28">
        <f aca="true" t="shared" si="247" ref="C1021:C1032">0.027/12</f>
        <v>0.00225</v>
      </c>
      <c r="D1021">
        <f aca="true" t="shared" si="248" ref="D1021:D1032">ROUND((B1021*C1021),0)</f>
        <v>1949</v>
      </c>
      <c r="E1021">
        <f>ROUND(+E1019+D1021,0)</f>
        <v>8770</v>
      </c>
      <c r="F1021">
        <f>F1019</f>
        <v>866211</v>
      </c>
      <c r="G1021">
        <f t="shared" si="245"/>
        <v>1949</v>
      </c>
      <c r="H1021">
        <f>ROUND(+H1019+G1021,0)</f>
        <v>8770</v>
      </c>
    </row>
    <row r="1022" spans="1:8" ht="15">
      <c r="A1022" t="s">
        <v>134</v>
      </c>
      <c r="B1022">
        <f t="shared" si="246"/>
        <v>866211</v>
      </c>
      <c r="C1022" s="28">
        <f t="shared" si="247"/>
        <v>0.00225</v>
      </c>
      <c r="D1022">
        <f t="shared" si="248"/>
        <v>1949</v>
      </c>
      <c r="E1022">
        <f aca="true" t="shared" si="249" ref="E1022:E1032">ROUND(+E1021+D1022,0)</f>
        <v>10719</v>
      </c>
      <c r="F1022">
        <f>F1021</f>
        <v>866211</v>
      </c>
      <c r="G1022">
        <f t="shared" si="245"/>
        <v>1949</v>
      </c>
      <c r="H1022">
        <f aca="true" t="shared" si="250" ref="H1022:H1032">ROUND(+H1021+G1022,0)</f>
        <v>10719</v>
      </c>
    </row>
    <row r="1023" spans="1:8" ht="15">
      <c r="A1023" t="s">
        <v>135</v>
      </c>
      <c r="B1023">
        <f t="shared" si="246"/>
        <v>866211</v>
      </c>
      <c r="C1023" s="28">
        <f t="shared" si="247"/>
        <v>0.00225</v>
      </c>
      <c r="D1023">
        <f t="shared" si="248"/>
        <v>1949</v>
      </c>
      <c r="E1023">
        <f t="shared" si="249"/>
        <v>12668</v>
      </c>
      <c r="F1023">
        <f aca="true" t="shared" si="251" ref="F1023:F1032">F1022</f>
        <v>866211</v>
      </c>
      <c r="G1023">
        <f t="shared" si="245"/>
        <v>1949</v>
      </c>
      <c r="H1023">
        <f t="shared" si="250"/>
        <v>12668</v>
      </c>
    </row>
    <row r="1024" spans="1:8" ht="15">
      <c r="A1024" t="s">
        <v>136</v>
      </c>
      <c r="B1024">
        <f t="shared" si="246"/>
        <v>866211</v>
      </c>
      <c r="C1024" s="28">
        <f t="shared" si="247"/>
        <v>0.00225</v>
      </c>
      <c r="D1024">
        <f t="shared" si="248"/>
        <v>1949</v>
      </c>
      <c r="E1024">
        <f t="shared" si="249"/>
        <v>14617</v>
      </c>
      <c r="F1024">
        <f t="shared" si="251"/>
        <v>866211</v>
      </c>
      <c r="G1024">
        <f t="shared" si="245"/>
        <v>1949</v>
      </c>
      <c r="H1024">
        <f t="shared" si="250"/>
        <v>14617</v>
      </c>
    </row>
    <row r="1025" spans="1:8" ht="15">
      <c r="A1025" t="s">
        <v>137</v>
      </c>
      <c r="B1025">
        <f t="shared" si="246"/>
        <v>866211</v>
      </c>
      <c r="C1025" s="28">
        <f t="shared" si="247"/>
        <v>0.00225</v>
      </c>
      <c r="D1025">
        <f t="shared" si="248"/>
        <v>1949</v>
      </c>
      <c r="E1025">
        <f t="shared" si="249"/>
        <v>16566</v>
      </c>
      <c r="F1025">
        <f t="shared" si="251"/>
        <v>866211</v>
      </c>
      <c r="G1025">
        <f t="shared" si="245"/>
        <v>1949</v>
      </c>
      <c r="H1025">
        <f t="shared" si="250"/>
        <v>16566</v>
      </c>
    </row>
    <row r="1026" spans="1:8" ht="15">
      <c r="A1026" t="s">
        <v>138</v>
      </c>
      <c r="B1026">
        <f t="shared" si="246"/>
        <v>866211</v>
      </c>
      <c r="C1026" s="28">
        <f t="shared" si="247"/>
        <v>0.00225</v>
      </c>
      <c r="D1026">
        <f t="shared" si="248"/>
        <v>1949</v>
      </c>
      <c r="E1026">
        <f t="shared" si="249"/>
        <v>18515</v>
      </c>
      <c r="F1026">
        <f t="shared" si="251"/>
        <v>866211</v>
      </c>
      <c r="G1026">
        <f t="shared" si="245"/>
        <v>1949</v>
      </c>
      <c r="H1026">
        <f t="shared" si="250"/>
        <v>18515</v>
      </c>
    </row>
    <row r="1027" spans="1:8" ht="15">
      <c r="A1027" t="s">
        <v>139</v>
      </c>
      <c r="B1027">
        <f t="shared" si="246"/>
        <v>866211</v>
      </c>
      <c r="C1027" s="28">
        <f t="shared" si="247"/>
        <v>0.00225</v>
      </c>
      <c r="D1027">
        <f t="shared" si="248"/>
        <v>1949</v>
      </c>
      <c r="E1027">
        <f t="shared" si="249"/>
        <v>20464</v>
      </c>
      <c r="F1027">
        <f t="shared" si="251"/>
        <v>866211</v>
      </c>
      <c r="G1027">
        <f t="shared" si="245"/>
        <v>1949</v>
      </c>
      <c r="H1027">
        <f t="shared" si="250"/>
        <v>20464</v>
      </c>
    </row>
    <row r="1028" spans="1:8" ht="15">
      <c r="A1028" t="s">
        <v>140</v>
      </c>
      <c r="B1028">
        <f t="shared" si="246"/>
        <v>866211</v>
      </c>
      <c r="C1028" s="28">
        <f t="shared" si="247"/>
        <v>0.00225</v>
      </c>
      <c r="D1028">
        <f t="shared" si="248"/>
        <v>1949</v>
      </c>
      <c r="E1028">
        <f t="shared" si="249"/>
        <v>22413</v>
      </c>
      <c r="F1028">
        <f t="shared" si="251"/>
        <v>866211</v>
      </c>
      <c r="G1028">
        <f t="shared" si="245"/>
        <v>1949</v>
      </c>
      <c r="H1028">
        <f t="shared" si="250"/>
        <v>22413</v>
      </c>
    </row>
    <row r="1029" spans="1:8" ht="15">
      <c r="A1029" t="s">
        <v>141</v>
      </c>
      <c r="B1029">
        <f t="shared" si="246"/>
        <v>866211</v>
      </c>
      <c r="C1029" s="28">
        <f t="shared" si="247"/>
        <v>0.00225</v>
      </c>
      <c r="D1029">
        <f t="shared" si="248"/>
        <v>1949</v>
      </c>
      <c r="E1029">
        <f t="shared" si="249"/>
        <v>24362</v>
      </c>
      <c r="F1029">
        <f t="shared" si="251"/>
        <v>866211</v>
      </c>
      <c r="G1029">
        <f t="shared" si="245"/>
        <v>1949</v>
      </c>
      <c r="H1029">
        <f t="shared" si="250"/>
        <v>24362</v>
      </c>
    </row>
    <row r="1030" spans="1:8" ht="15">
      <c r="A1030" t="s">
        <v>142</v>
      </c>
      <c r="B1030">
        <f t="shared" si="246"/>
        <v>866211</v>
      </c>
      <c r="C1030" s="28">
        <f t="shared" si="247"/>
        <v>0.00225</v>
      </c>
      <c r="D1030">
        <f t="shared" si="248"/>
        <v>1949</v>
      </c>
      <c r="E1030">
        <f t="shared" si="249"/>
        <v>26311</v>
      </c>
      <c r="F1030">
        <f t="shared" si="251"/>
        <v>866211</v>
      </c>
      <c r="G1030">
        <f t="shared" si="245"/>
        <v>1949</v>
      </c>
      <c r="H1030">
        <f t="shared" si="250"/>
        <v>26311</v>
      </c>
    </row>
    <row r="1031" spans="1:8" ht="15">
      <c r="A1031" t="s">
        <v>143</v>
      </c>
      <c r="B1031">
        <f t="shared" si="246"/>
        <v>866211</v>
      </c>
      <c r="C1031" s="28">
        <f t="shared" si="247"/>
        <v>0.00225</v>
      </c>
      <c r="D1031">
        <f t="shared" si="248"/>
        <v>1949</v>
      </c>
      <c r="E1031">
        <f t="shared" si="249"/>
        <v>28260</v>
      </c>
      <c r="F1031">
        <f t="shared" si="251"/>
        <v>866211</v>
      </c>
      <c r="G1031">
        <f t="shared" si="245"/>
        <v>1949</v>
      </c>
      <c r="H1031">
        <f t="shared" si="250"/>
        <v>28260</v>
      </c>
    </row>
    <row r="1032" spans="1:8" ht="15">
      <c r="A1032" t="s">
        <v>144</v>
      </c>
      <c r="B1032">
        <f t="shared" si="246"/>
        <v>866211</v>
      </c>
      <c r="C1032" s="28">
        <f t="shared" si="247"/>
        <v>0.00225</v>
      </c>
      <c r="D1032">
        <f t="shared" si="248"/>
        <v>1949</v>
      </c>
      <c r="E1032">
        <f t="shared" si="249"/>
        <v>30209</v>
      </c>
      <c r="F1032">
        <f t="shared" si="251"/>
        <v>866211</v>
      </c>
      <c r="G1032">
        <f t="shared" si="245"/>
        <v>1949</v>
      </c>
      <c r="H1032">
        <f t="shared" si="250"/>
        <v>30209</v>
      </c>
    </row>
    <row r="1034" spans="1:8" ht="15">
      <c r="A1034" t="s">
        <v>145</v>
      </c>
      <c r="B1034">
        <f aca="true" t="shared" si="252" ref="B1034:B1045">$B$1016</f>
        <v>866211</v>
      </c>
      <c r="C1034" s="28">
        <f aca="true" t="shared" si="253" ref="C1034:C1045">0.026/12</f>
        <v>0.002166666666666667</v>
      </c>
      <c r="D1034">
        <f aca="true" t="shared" si="254" ref="D1034:D1045">ROUND((B1034*C1034),0)</f>
        <v>1877</v>
      </c>
      <c r="E1034">
        <f>ROUND(+E1032+D1034,0)</f>
        <v>32086</v>
      </c>
      <c r="F1034">
        <f>F1032</f>
        <v>866211</v>
      </c>
      <c r="G1034">
        <f t="shared" si="245"/>
        <v>1877</v>
      </c>
      <c r="H1034">
        <f>ROUND(+H1032+G1034,0)</f>
        <v>32086</v>
      </c>
    </row>
    <row r="1035" spans="1:8" ht="15">
      <c r="A1035" t="s">
        <v>146</v>
      </c>
      <c r="B1035">
        <f t="shared" si="252"/>
        <v>866211</v>
      </c>
      <c r="C1035" s="28">
        <f t="shared" si="253"/>
        <v>0.002166666666666667</v>
      </c>
      <c r="D1035">
        <f t="shared" si="254"/>
        <v>1877</v>
      </c>
      <c r="E1035">
        <f aca="true" t="shared" si="255" ref="E1035:E1045">ROUND(+E1034+D1035,0)</f>
        <v>33963</v>
      </c>
      <c r="F1035">
        <f>F1034</f>
        <v>866211</v>
      </c>
      <c r="G1035">
        <f t="shared" si="245"/>
        <v>1877</v>
      </c>
      <c r="H1035">
        <f aca="true" t="shared" si="256" ref="H1035:H1045">ROUND(+H1034+G1035,0)</f>
        <v>33963</v>
      </c>
    </row>
    <row r="1036" spans="1:8" ht="15">
      <c r="A1036" t="s">
        <v>147</v>
      </c>
      <c r="B1036">
        <f t="shared" si="252"/>
        <v>866211</v>
      </c>
      <c r="C1036" s="28">
        <f t="shared" si="253"/>
        <v>0.002166666666666667</v>
      </c>
      <c r="D1036">
        <f t="shared" si="254"/>
        <v>1877</v>
      </c>
      <c r="E1036">
        <f t="shared" si="255"/>
        <v>35840</v>
      </c>
      <c r="F1036">
        <f aca="true" t="shared" si="257" ref="F1036:F1045">F1035</f>
        <v>866211</v>
      </c>
      <c r="G1036">
        <f t="shared" si="245"/>
        <v>1877</v>
      </c>
      <c r="H1036">
        <f t="shared" si="256"/>
        <v>35840</v>
      </c>
    </row>
    <row r="1037" spans="1:8" ht="15">
      <c r="A1037" t="s">
        <v>148</v>
      </c>
      <c r="B1037">
        <f t="shared" si="252"/>
        <v>866211</v>
      </c>
      <c r="C1037" s="28">
        <f t="shared" si="253"/>
        <v>0.002166666666666667</v>
      </c>
      <c r="D1037">
        <f t="shared" si="254"/>
        <v>1877</v>
      </c>
      <c r="E1037">
        <f t="shared" si="255"/>
        <v>37717</v>
      </c>
      <c r="F1037">
        <f t="shared" si="257"/>
        <v>866211</v>
      </c>
      <c r="G1037">
        <f t="shared" si="245"/>
        <v>1877</v>
      </c>
      <c r="H1037">
        <f t="shared" si="256"/>
        <v>37717</v>
      </c>
    </row>
    <row r="1038" spans="1:8" ht="15">
      <c r="A1038" t="s">
        <v>149</v>
      </c>
      <c r="B1038">
        <f t="shared" si="252"/>
        <v>866211</v>
      </c>
      <c r="C1038" s="28">
        <f t="shared" si="253"/>
        <v>0.002166666666666667</v>
      </c>
      <c r="D1038">
        <f t="shared" si="254"/>
        <v>1877</v>
      </c>
      <c r="E1038">
        <f t="shared" si="255"/>
        <v>39594</v>
      </c>
      <c r="F1038">
        <f t="shared" si="257"/>
        <v>866211</v>
      </c>
      <c r="G1038">
        <f t="shared" si="245"/>
        <v>1877</v>
      </c>
      <c r="H1038">
        <f t="shared" si="256"/>
        <v>39594</v>
      </c>
    </row>
    <row r="1039" spans="1:8" ht="15">
      <c r="A1039" t="s">
        <v>150</v>
      </c>
      <c r="B1039">
        <f t="shared" si="252"/>
        <v>866211</v>
      </c>
      <c r="C1039" s="28">
        <f t="shared" si="253"/>
        <v>0.002166666666666667</v>
      </c>
      <c r="D1039">
        <f t="shared" si="254"/>
        <v>1877</v>
      </c>
      <c r="E1039">
        <f t="shared" si="255"/>
        <v>41471</v>
      </c>
      <c r="F1039">
        <f t="shared" si="257"/>
        <v>866211</v>
      </c>
      <c r="G1039">
        <f t="shared" si="245"/>
        <v>1877</v>
      </c>
      <c r="H1039">
        <f t="shared" si="256"/>
        <v>41471</v>
      </c>
    </row>
    <row r="1040" spans="1:8" ht="15">
      <c r="A1040" t="s">
        <v>151</v>
      </c>
      <c r="B1040">
        <f t="shared" si="252"/>
        <v>866211</v>
      </c>
      <c r="C1040" s="28">
        <f t="shared" si="253"/>
        <v>0.002166666666666667</v>
      </c>
      <c r="D1040">
        <f t="shared" si="254"/>
        <v>1877</v>
      </c>
      <c r="E1040">
        <f t="shared" si="255"/>
        <v>43348</v>
      </c>
      <c r="F1040">
        <f t="shared" si="257"/>
        <v>866211</v>
      </c>
      <c r="G1040">
        <f t="shared" si="245"/>
        <v>1877</v>
      </c>
      <c r="H1040">
        <f t="shared" si="256"/>
        <v>43348</v>
      </c>
    </row>
    <row r="1041" spans="1:8" ht="15">
      <c r="A1041" t="s">
        <v>152</v>
      </c>
      <c r="B1041">
        <f t="shared" si="252"/>
        <v>866211</v>
      </c>
      <c r="C1041" s="28">
        <f t="shared" si="253"/>
        <v>0.002166666666666667</v>
      </c>
      <c r="D1041">
        <f t="shared" si="254"/>
        <v>1877</v>
      </c>
      <c r="E1041">
        <f t="shared" si="255"/>
        <v>45225</v>
      </c>
      <c r="F1041">
        <f t="shared" si="257"/>
        <v>866211</v>
      </c>
      <c r="G1041">
        <f t="shared" si="245"/>
        <v>1877</v>
      </c>
      <c r="H1041">
        <f t="shared" si="256"/>
        <v>45225</v>
      </c>
    </row>
    <row r="1042" spans="1:8" ht="15">
      <c r="A1042" t="s">
        <v>153</v>
      </c>
      <c r="B1042">
        <f t="shared" si="252"/>
        <v>866211</v>
      </c>
      <c r="C1042" s="28">
        <f t="shared" si="253"/>
        <v>0.002166666666666667</v>
      </c>
      <c r="D1042">
        <f t="shared" si="254"/>
        <v>1877</v>
      </c>
      <c r="E1042">
        <f t="shared" si="255"/>
        <v>47102</v>
      </c>
      <c r="F1042">
        <f t="shared" si="257"/>
        <v>866211</v>
      </c>
      <c r="G1042">
        <f t="shared" si="245"/>
        <v>1877</v>
      </c>
      <c r="H1042">
        <f t="shared" si="256"/>
        <v>47102</v>
      </c>
    </row>
    <row r="1043" spans="1:8" ht="15">
      <c r="A1043" t="s">
        <v>154</v>
      </c>
      <c r="B1043">
        <f t="shared" si="252"/>
        <v>866211</v>
      </c>
      <c r="C1043" s="28">
        <f t="shared" si="253"/>
        <v>0.002166666666666667</v>
      </c>
      <c r="D1043">
        <f t="shared" si="254"/>
        <v>1877</v>
      </c>
      <c r="E1043">
        <f t="shared" si="255"/>
        <v>48979</v>
      </c>
      <c r="F1043">
        <f t="shared" si="257"/>
        <v>866211</v>
      </c>
      <c r="G1043">
        <f t="shared" si="245"/>
        <v>1877</v>
      </c>
      <c r="H1043">
        <f t="shared" si="256"/>
        <v>48979</v>
      </c>
    </row>
    <row r="1044" spans="1:8" ht="15">
      <c r="A1044" t="s">
        <v>155</v>
      </c>
      <c r="B1044">
        <f t="shared" si="252"/>
        <v>866211</v>
      </c>
      <c r="C1044" s="28">
        <f t="shared" si="253"/>
        <v>0.002166666666666667</v>
      </c>
      <c r="D1044">
        <f t="shared" si="254"/>
        <v>1877</v>
      </c>
      <c r="E1044">
        <f t="shared" si="255"/>
        <v>50856</v>
      </c>
      <c r="F1044">
        <f t="shared" si="257"/>
        <v>866211</v>
      </c>
      <c r="G1044">
        <f t="shared" si="245"/>
        <v>1877</v>
      </c>
      <c r="H1044">
        <f t="shared" si="256"/>
        <v>50856</v>
      </c>
    </row>
    <row r="1045" spans="1:8" ht="15">
      <c r="A1045" t="s">
        <v>156</v>
      </c>
      <c r="B1045">
        <f t="shared" si="252"/>
        <v>866211</v>
      </c>
      <c r="C1045" s="28">
        <f t="shared" si="253"/>
        <v>0.002166666666666667</v>
      </c>
      <c r="D1045">
        <f t="shared" si="254"/>
        <v>1877</v>
      </c>
      <c r="E1045">
        <f t="shared" si="255"/>
        <v>52733</v>
      </c>
      <c r="F1045">
        <f t="shared" si="257"/>
        <v>866211</v>
      </c>
      <c r="G1045">
        <f t="shared" si="245"/>
        <v>1877</v>
      </c>
      <c r="H1045">
        <f t="shared" si="256"/>
        <v>52733</v>
      </c>
    </row>
    <row r="1046" ht="15">
      <c r="C1046" s="28"/>
    </row>
    <row r="1047" spans="1:8" ht="15">
      <c r="A1047" t="s">
        <v>157</v>
      </c>
      <c r="B1047">
        <f aca="true" t="shared" si="258" ref="B1047:B1058">$B$1016</f>
        <v>866211</v>
      </c>
      <c r="C1047" s="28">
        <f aca="true" t="shared" si="259" ref="C1047:C1062">0.026/12</f>
        <v>0.002166666666666667</v>
      </c>
      <c r="D1047">
        <f aca="true" t="shared" si="260" ref="D1047:D1062">ROUND((B1047*C1047),0)</f>
        <v>1877</v>
      </c>
      <c r="E1047">
        <f>ROUND(+E1045+D1047,0)</f>
        <v>54610</v>
      </c>
      <c r="F1047">
        <f>F1045</f>
        <v>866211</v>
      </c>
      <c r="G1047">
        <f t="shared" si="245"/>
        <v>1877</v>
      </c>
      <c r="H1047">
        <f>ROUND(+H1045+G1047,0)</f>
        <v>54610</v>
      </c>
    </row>
    <row r="1048" spans="1:8" ht="15">
      <c r="A1048" t="s">
        <v>158</v>
      </c>
      <c r="B1048">
        <f t="shared" si="258"/>
        <v>866211</v>
      </c>
      <c r="C1048" s="28">
        <f t="shared" si="259"/>
        <v>0.002166666666666667</v>
      </c>
      <c r="D1048">
        <f t="shared" si="260"/>
        <v>1877</v>
      </c>
      <c r="E1048">
        <f aca="true" t="shared" si="261" ref="E1048:E1058">ROUND(+E1047+D1048,0)</f>
        <v>56487</v>
      </c>
      <c r="F1048">
        <f>F1047</f>
        <v>866211</v>
      </c>
      <c r="G1048">
        <f t="shared" si="245"/>
        <v>1877</v>
      </c>
      <c r="H1048">
        <f aca="true" t="shared" si="262" ref="H1048:H1058">ROUND(+H1047+G1048,0)</f>
        <v>56487</v>
      </c>
    </row>
    <row r="1049" spans="1:8" ht="15">
      <c r="A1049" t="s">
        <v>159</v>
      </c>
      <c r="B1049">
        <f t="shared" si="258"/>
        <v>866211</v>
      </c>
      <c r="C1049" s="28">
        <f t="shared" si="259"/>
        <v>0.002166666666666667</v>
      </c>
      <c r="D1049">
        <f t="shared" si="260"/>
        <v>1877</v>
      </c>
      <c r="E1049">
        <f t="shared" si="261"/>
        <v>58364</v>
      </c>
      <c r="F1049">
        <f aca="true" t="shared" si="263" ref="F1049:F1058">F1048</f>
        <v>866211</v>
      </c>
      <c r="G1049">
        <f t="shared" si="245"/>
        <v>1877</v>
      </c>
      <c r="H1049">
        <f t="shared" si="262"/>
        <v>58364</v>
      </c>
    </row>
    <row r="1050" spans="1:8" ht="15">
      <c r="A1050" t="s">
        <v>160</v>
      </c>
      <c r="B1050">
        <f t="shared" si="258"/>
        <v>866211</v>
      </c>
      <c r="C1050" s="28">
        <f t="shared" si="259"/>
        <v>0.002166666666666667</v>
      </c>
      <c r="D1050">
        <f t="shared" si="260"/>
        <v>1877</v>
      </c>
      <c r="E1050">
        <f t="shared" si="261"/>
        <v>60241</v>
      </c>
      <c r="F1050">
        <f t="shared" si="263"/>
        <v>866211</v>
      </c>
      <c r="G1050">
        <f t="shared" si="245"/>
        <v>1877</v>
      </c>
      <c r="H1050">
        <f t="shared" si="262"/>
        <v>60241</v>
      </c>
    </row>
    <row r="1051" spans="1:8" ht="15">
      <c r="A1051" t="s">
        <v>161</v>
      </c>
      <c r="B1051">
        <f t="shared" si="258"/>
        <v>866211</v>
      </c>
      <c r="C1051" s="28">
        <f t="shared" si="259"/>
        <v>0.002166666666666667</v>
      </c>
      <c r="D1051">
        <f t="shared" si="260"/>
        <v>1877</v>
      </c>
      <c r="E1051">
        <f t="shared" si="261"/>
        <v>62118</v>
      </c>
      <c r="F1051">
        <f t="shared" si="263"/>
        <v>866211</v>
      </c>
      <c r="G1051">
        <f t="shared" si="245"/>
        <v>1877</v>
      </c>
      <c r="H1051">
        <f t="shared" si="262"/>
        <v>62118</v>
      </c>
    </row>
    <row r="1052" spans="1:8" ht="15">
      <c r="A1052" t="s">
        <v>162</v>
      </c>
      <c r="B1052">
        <f t="shared" si="258"/>
        <v>866211</v>
      </c>
      <c r="C1052" s="28">
        <f t="shared" si="259"/>
        <v>0.002166666666666667</v>
      </c>
      <c r="D1052">
        <f t="shared" si="260"/>
        <v>1877</v>
      </c>
      <c r="E1052">
        <f t="shared" si="261"/>
        <v>63995</v>
      </c>
      <c r="F1052">
        <f t="shared" si="263"/>
        <v>866211</v>
      </c>
      <c r="G1052">
        <f t="shared" si="245"/>
        <v>1877</v>
      </c>
      <c r="H1052">
        <f t="shared" si="262"/>
        <v>63995</v>
      </c>
    </row>
    <row r="1053" spans="1:8" ht="15">
      <c r="A1053" t="s">
        <v>163</v>
      </c>
      <c r="B1053">
        <f t="shared" si="258"/>
        <v>866211</v>
      </c>
      <c r="C1053" s="28">
        <f t="shared" si="259"/>
        <v>0.002166666666666667</v>
      </c>
      <c r="D1053">
        <f t="shared" si="260"/>
        <v>1877</v>
      </c>
      <c r="E1053">
        <f t="shared" si="261"/>
        <v>65872</v>
      </c>
      <c r="F1053">
        <f t="shared" si="263"/>
        <v>866211</v>
      </c>
      <c r="G1053">
        <f t="shared" si="245"/>
        <v>1877</v>
      </c>
      <c r="H1053">
        <f t="shared" si="262"/>
        <v>65872</v>
      </c>
    </row>
    <row r="1054" spans="1:8" ht="15">
      <c r="A1054" t="s">
        <v>164</v>
      </c>
      <c r="B1054">
        <f t="shared" si="258"/>
        <v>866211</v>
      </c>
      <c r="C1054" s="28">
        <f t="shared" si="259"/>
        <v>0.002166666666666667</v>
      </c>
      <c r="D1054">
        <f t="shared" si="260"/>
        <v>1877</v>
      </c>
      <c r="E1054">
        <f t="shared" si="261"/>
        <v>67749</v>
      </c>
      <c r="F1054">
        <f t="shared" si="263"/>
        <v>866211</v>
      </c>
      <c r="G1054">
        <f t="shared" si="245"/>
        <v>1877</v>
      </c>
      <c r="H1054">
        <f t="shared" si="262"/>
        <v>67749</v>
      </c>
    </row>
    <row r="1055" spans="1:8" ht="15">
      <c r="A1055" t="s">
        <v>165</v>
      </c>
      <c r="B1055">
        <f t="shared" si="258"/>
        <v>866211</v>
      </c>
      <c r="C1055" s="28">
        <f t="shared" si="259"/>
        <v>0.002166666666666667</v>
      </c>
      <c r="D1055">
        <f t="shared" si="260"/>
        <v>1877</v>
      </c>
      <c r="E1055">
        <f t="shared" si="261"/>
        <v>69626</v>
      </c>
      <c r="F1055">
        <f t="shared" si="263"/>
        <v>866211</v>
      </c>
      <c r="G1055">
        <f t="shared" si="245"/>
        <v>1877</v>
      </c>
      <c r="H1055">
        <f t="shared" si="262"/>
        <v>69626</v>
      </c>
    </row>
    <row r="1056" spans="1:8" ht="15">
      <c r="A1056" t="s">
        <v>166</v>
      </c>
      <c r="B1056">
        <f t="shared" si="258"/>
        <v>866211</v>
      </c>
      <c r="C1056" s="28">
        <f t="shared" si="259"/>
        <v>0.002166666666666667</v>
      </c>
      <c r="D1056">
        <f t="shared" si="260"/>
        <v>1877</v>
      </c>
      <c r="E1056">
        <f t="shared" si="261"/>
        <v>71503</v>
      </c>
      <c r="F1056">
        <f t="shared" si="263"/>
        <v>866211</v>
      </c>
      <c r="G1056">
        <f t="shared" si="245"/>
        <v>1877</v>
      </c>
      <c r="H1056">
        <f t="shared" si="262"/>
        <v>71503</v>
      </c>
    </row>
    <row r="1057" spans="1:8" ht="15">
      <c r="A1057" t="s">
        <v>167</v>
      </c>
      <c r="B1057">
        <f t="shared" si="258"/>
        <v>866211</v>
      </c>
      <c r="C1057" s="28">
        <f t="shared" si="259"/>
        <v>0.002166666666666667</v>
      </c>
      <c r="D1057">
        <f t="shared" si="260"/>
        <v>1877</v>
      </c>
      <c r="E1057">
        <f t="shared" si="261"/>
        <v>73380</v>
      </c>
      <c r="F1057">
        <f t="shared" si="263"/>
        <v>866211</v>
      </c>
      <c r="G1057">
        <f t="shared" si="245"/>
        <v>1877</v>
      </c>
      <c r="H1057">
        <f t="shared" si="262"/>
        <v>73380</v>
      </c>
    </row>
    <row r="1058" spans="1:8" ht="15">
      <c r="A1058" t="s">
        <v>168</v>
      </c>
      <c r="B1058">
        <f t="shared" si="258"/>
        <v>866211</v>
      </c>
      <c r="C1058" s="28">
        <f t="shared" si="259"/>
        <v>0.002166666666666667</v>
      </c>
      <c r="D1058">
        <f t="shared" si="260"/>
        <v>1877</v>
      </c>
      <c r="E1058">
        <f t="shared" si="261"/>
        <v>75257</v>
      </c>
      <c r="F1058">
        <f t="shared" si="263"/>
        <v>866211</v>
      </c>
      <c r="G1058">
        <f t="shared" si="245"/>
        <v>1877</v>
      </c>
      <c r="H1058">
        <f t="shared" si="262"/>
        <v>75257</v>
      </c>
    </row>
    <row r="1060" spans="1:8" ht="15">
      <c r="A1060" t="s">
        <v>169</v>
      </c>
      <c r="B1060">
        <f>B1058</f>
        <v>866211</v>
      </c>
      <c r="C1060" s="28">
        <f t="shared" si="259"/>
        <v>0.002166666666666667</v>
      </c>
      <c r="D1060">
        <f t="shared" si="260"/>
        <v>1877</v>
      </c>
      <c r="E1060">
        <f>ROUND(+E1058+D1060,0)</f>
        <v>77134</v>
      </c>
      <c r="F1060">
        <f>F1058</f>
        <v>866211</v>
      </c>
      <c r="G1060">
        <f t="shared" si="245"/>
        <v>1877</v>
      </c>
      <c r="H1060">
        <f>ROUND(+H1058+G1060,0)</f>
        <v>77134</v>
      </c>
    </row>
    <row r="1061" spans="1:8" ht="15">
      <c r="A1061" t="s">
        <v>170</v>
      </c>
      <c r="B1061">
        <f aca="true" t="shared" si="264" ref="B1061:B1071">B1060</f>
        <v>866211</v>
      </c>
      <c r="C1061" s="28">
        <f t="shared" si="259"/>
        <v>0.002166666666666667</v>
      </c>
      <c r="D1061">
        <f t="shared" si="260"/>
        <v>1877</v>
      </c>
      <c r="E1061">
        <f aca="true" t="shared" si="265" ref="E1061:E1071">ROUND(+E1060+D1061,0)</f>
        <v>79011</v>
      </c>
      <c r="F1061">
        <f>F1060</f>
        <v>866211</v>
      </c>
      <c r="G1061">
        <f t="shared" si="245"/>
        <v>1877</v>
      </c>
      <c r="H1061">
        <f aca="true" t="shared" si="266" ref="H1061:H1071">ROUND(+H1060+G1061,0)</f>
        <v>79011</v>
      </c>
    </row>
    <row r="1062" spans="1:8" ht="15">
      <c r="A1062" t="s">
        <v>171</v>
      </c>
      <c r="B1062">
        <f t="shared" si="264"/>
        <v>866211</v>
      </c>
      <c r="C1062" s="28">
        <f t="shared" si="259"/>
        <v>0.002166666666666667</v>
      </c>
      <c r="D1062">
        <f t="shared" si="260"/>
        <v>1877</v>
      </c>
      <c r="E1062">
        <f t="shared" si="265"/>
        <v>80888</v>
      </c>
      <c r="F1062">
        <f aca="true" t="shared" si="267" ref="F1062:F1071">F1061</f>
        <v>866211</v>
      </c>
      <c r="G1062">
        <f t="shared" si="245"/>
        <v>1877</v>
      </c>
      <c r="H1062">
        <f t="shared" si="266"/>
        <v>80888</v>
      </c>
    </row>
    <row r="1063" spans="1:8" ht="15">
      <c r="A1063" t="s">
        <v>172</v>
      </c>
      <c r="B1063">
        <f t="shared" si="264"/>
        <v>866211</v>
      </c>
      <c r="C1063" s="28">
        <f aca="true" t="shared" si="268" ref="C1063:C1071">0.026/12</f>
        <v>0.002166666666666667</v>
      </c>
      <c r="D1063">
        <f aca="true" t="shared" si="269" ref="D1063:D1071">ROUND((B1063*C1063),0)</f>
        <v>1877</v>
      </c>
      <c r="E1063">
        <f t="shared" si="265"/>
        <v>82765</v>
      </c>
      <c r="F1063">
        <f t="shared" si="267"/>
        <v>866211</v>
      </c>
      <c r="G1063">
        <f t="shared" si="245"/>
        <v>1877</v>
      </c>
      <c r="H1063">
        <f t="shared" si="266"/>
        <v>82765</v>
      </c>
    </row>
    <row r="1064" spans="1:8" ht="15">
      <c r="A1064" t="s">
        <v>173</v>
      </c>
      <c r="B1064">
        <f t="shared" si="264"/>
        <v>866211</v>
      </c>
      <c r="C1064" s="28">
        <f t="shared" si="268"/>
        <v>0.002166666666666667</v>
      </c>
      <c r="D1064">
        <f t="shared" si="269"/>
        <v>1877</v>
      </c>
      <c r="E1064">
        <f t="shared" si="265"/>
        <v>84642</v>
      </c>
      <c r="F1064">
        <f t="shared" si="267"/>
        <v>866211</v>
      </c>
      <c r="G1064">
        <f t="shared" si="245"/>
        <v>1877</v>
      </c>
      <c r="H1064">
        <f t="shared" si="266"/>
        <v>84642</v>
      </c>
    </row>
    <row r="1065" spans="1:8" ht="15">
      <c r="A1065" t="s">
        <v>174</v>
      </c>
      <c r="B1065">
        <f t="shared" si="264"/>
        <v>866211</v>
      </c>
      <c r="C1065" s="28">
        <f t="shared" si="268"/>
        <v>0.002166666666666667</v>
      </c>
      <c r="D1065">
        <f t="shared" si="269"/>
        <v>1877</v>
      </c>
      <c r="E1065">
        <f t="shared" si="265"/>
        <v>86519</v>
      </c>
      <c r="F1065">
        <f t="shared" si="267"/>
        <v>866211</v>
      </c>
      <c r="G1065">
        <f t="shared" si="245"/>
        <v>1877</v>
      </c>
      <c r="H1065">
        <f t="shared" si="266"/>
        <v>86519</v>
      </c>
    </row>
    <row r="1066" spans="1:8" ht="15">
      <c r="A1066" t="s">
        <v>175</v>
      </c>
      <c r="B1066">
        <f t="shared" si="264"/>
        <v>866211</v>
      </c>
      <c r="C1066" s="28">
        <f t="shared" si="268"/>
        <v>0.002166666666666667</v>
      </c>
      <c r="D1066">
        <f t="shared" si="269"/>
        <v>1877</v>
      </c>
      <c r="E1066">
        <f t="shared" si="265"/>
        <v>88396</v>
      </c>
      <c r="F1066">
        <f t="shared" si="267"/>
        <v>866211</v>
      </c>
      <c r="G1066">
        <f t="shared" si="245"/>
        <v>1877</v>
      </c>
      <c r="H1066">
        <f t="shared" si="266"/>
        <v>88396</v>
      </c>
    </row>
    <row r="1067" spans="1:8" ht="15">
      <c r="A1067" t="s">
        <v>176</v>
      </c>
      <c r="B1067">
        <f t="shared" si="264"/>
        <v>866211</v>
      </c>
      <c r="C1067" s="28">
        <f t="shared" si="268"/>
        <v>0.002166666666666667</v>
      </c>
      <c r="D1067">
        <f t="shared" si="269"/>
        <v>1877</v>
      </c>
      <c r="E1067">
        <f t="shared" si="265"/>
        <v>90273</v>
      </c>
      <c r="F1067">
        <f t="shared" si="267"/>
        <v>866211</v>
      </c>
      <c r="G1067">
        <f t="shared" si="245"/>
        <v>1877</v>
      </c>
      <c r="H1067">
        <f t="shared" si="266"/>
        <v>90273</v>
      </c>
    </row>
    <row r="1068" spans="1:8" ht="15">
      <c r="A1068" t="s">
        <v>177</v>
      </c>
      <c r="B1068">
        <f t="shared" si="264"/>
        <v>866211</v>
      </c>
      <c r="C1068" s="28">
        <f t="shared" si="268"/>
        <v>0.002166666666666667</v>
      </c>
      <c r="D1068">
        <f t="shared" si="269"/>
        <v>1877</v>
      </c>
      <c r="E1068">
        <f t="shared" si="265"/>
        <v>92150</v>
      </c>
      <c r="F1068">
        <f t="shared" si="267"/>
        <v>866211</v>
      </c>
      <c r="G1068">
        <f t="shared" si="245"/>
        <v>1877</v>
      </c>
      <c r="H1068">
        <f t="shared" si="266"/>
        <v>92150</v>
      </c>
    </row>
    <row r="1069" spans="1:8" ht="15">
      <c r="A1069" t="s">
        <v>178</v>
      </c>
      <c r="B1069">
        <f t="shared" si="264"/>
        <v>866211</v>
      </c>
      <c r="C1069" s="28">
        <f t="shared" si="268"/>
        <v>0.002166666666666667</v>
      </c>
      <c r="D1069">
        <f t="shared" si="269"/>
        <v>1877</v>
      </c>
      <c r="E1069">
        <f t="shared" si="265"/>
        <v>94027</v>
      </c>
      <c r="F1069">
        <f t="shared" si="267"/>
        <v>866211</v>
      </c>
      <c r="G1069">
        <f t="shared" si="245"/>
        <v>1877</v>
      </c>
      <c r="H1069">
        <f t="shared" si="266"/>
        <v>94027</v>
      </c>
    </row>
    <row r="1070" spans="1:8" ht="15">
      <c r="A1070" t="s">
        <v>179</v>
      </c>
      <c r="B1070">
        <f t="shared" si="264"/>
        <v>866211</v>
      </c>
      <c r="C1070" s="28">
        <f t="shared" si="268"/>
        <v>0.002166666666666667</v>
      </c>
      <c r="D1070">
        <f t="shared" si="269"/>
        <v>1877</v>
      </c>
      <c r="E1070">
        <f t="shared" si="265"/>
        <v>95904</v>
      </c>
      <c r="F1070">
        <f t="shared" si="267"/>
        <v>866211</v>
      </c>
      <c r="G1070">
        <f t="shared" si="245"/>
        <v>1877</v>
      </c>
      <c r="H1070">
        <f t="shared" si="266"/>
        <v>95904</v>
      </c>
    </row>
    <row r="1071" spans="1:9" ht="15.75">
      <c r="A1071" t="s">
        <v>180</v>
      </c>
      <c r="B1071">
        <f t="shared" si="264"/>
        <v>866211</v>
      </c>
      <c r="C1071" s="28">
        <f t="shared" si="268"/>
        <v>0.002166666666666667</v>
      </c>
      <c r="D1071">
        <f t="shared" si="269"/>
        <v>1877</v>
      </c>
      <c r="E1071">
        <f t="shared" si="265"/>
        <v>97781</v>
      </c>
      <c r="F1071">
        <f t="shared" si="267"/>
        <v>866211</v>
      </c>
      <c r="G1071">
        <f t="shared" si="245"/>
        <v>1877</v>
      </c>
      <c r="H1071">
        <f t="shared" si="266"/>
        <v>97781</v>
      </c>
      <c r="I1071" s="52"/>
    </row>
    <row r="1073" spans="1:5" ht="15">
      <c r="A1073" t="s">
        <v>181</v>
      </c>
      <c r="B1073">
        <f>B1071</f>
        <v>866211</v>
      </c>
      <c r="C1073" s="28">
        <f>0.027/12</f>
        <v>0.00225</v>
      </c>
      <c r="D1073">
        <f aca="true" t="shared" si="270" ref="D1073:D1084">ROUND((B1073*C1073),0)</f>
        <v>1949</v>
      </c>
      <c r="E1073">
        <f>ROUND(+E1071+D1073,0)</f>
        <v>99730</v>
      </c>
    </row>
    <row r="1074" spans="1:5" ht="15">
      <c r="A1074" t="s">
        <v>182</v>
      </c>
      <c r="B1074">
        <f aca="true" t="shared" si="271" ref="B1074:B1084">B1073</f>
        <v>866211</v>
      </c>
      <c r="C1074" s="28">
        <f aca="true" t="shared" si="272" ref="C1074:C1084">0.027/12</f>
        <v>0.00225</v>
      </c>
      <c r="D1074">
        <f t="shared" si="270"/>
        <v>1949</v>
      </c>
      <c r="E1074">
        <f aca="true" t="shared" si="273" ref="E1074:E1084">ROUND(+E1073+D1074,0)</f>
        <v>101679</v>
      </c>
    </row>
    <row r="1075" spans="1:5" ht="15">
      <c r="A1075" t="s">
        <v>183</v>
      </c>
      <c r="B1075">
        <f t="shared" si="271"/>
        <v>866211</v>
      </c>
      <c r="C1075" s="28">
        <f t="shared" si="272"/>
        <v>0.00225</v>
      </c>
      <c r="D1075">
        <f t="shared" si="270"/>
        <v>1949</v>
      </c>
      <c r="E1075">
        <f t="shared" si="273"/>
        <v>103628</v>
      </c>
    </row>
    <row r="1076" spans="1:5" ht="15">
      <c r="A1076" t="s">
        <v>184</v>
      </c>
      <c r="B1076">
        <f t="shared" si="271"/>
        <v>866211</v>
      </c>
      <c r="C1076" s="28">
        <f t="shared" si="272"/>
        <v>0.00225</v>
      </c>
      <c r="D1076">
        <f t="shared" si="270"/>
        <v>1949</v>
      </c>
      <c r="E1076">
        <f t="shared" si="273"/>
        <v>105577</v>
      </c>
    </row>
    <row r="1077" spans="1:5" ht="15">
      <c r="A1077" t="s">
        <v>185</v>
      </c>
      <c r="B1077">
        <f t="shared" si="271"/>
        <v>866211</v>
      </c>
      <c r="C1077" s="28">
        <f t="shared" si="272"/>
        <v>0.00225</v>
      </c>
      <c r="D1077">
        <f t="shared" si="270"/>
        <v>1949</v>
      </c>
      <c r="E1077">
        <f t="shared" si="273"/>
        <v>107526</v>
      </c>
    </row>
    <row r="1078" spans="1:5" ht="15">
      <c r="A1078" t="s">
        <v>186</v>
      </c>
      <c r="B1078">
        <f t="shared" si="271"/>
        <v>866211</v>
      </c>
      <c r="C1078" s="28">
        <f t="shared" si="272"/>
        <v>0.00225</v>
      </c>
      <c r="D1078">
        <f t="shared" si="270"/>
        <v>1949</v>
      </c>
      <c r="E1078">
        <f t="shared" si="273"/>
        <v>109475</v>
      </c>
    </row>
    <row r="1079" spans="1:9" ht="15.75">
      <c r="A1079" t="s">
        <v>187</v>
      </c>
      <c r="B1079">
        <f t="shared" si="271"/>
        <v>866211</v>
      </c>
      <c r="C1079" s="28">
        <f t="shared" si="272"/>
        <v>0.00225</v>
      </c>
      <c r="D1079">
        <f t="shared" si="270"/>
        <v>1949</v>
      </c>
      <c r="E1079">
        <f t="shared" si="273"/>
        <v>111424</v>
      </c>
      <c r="I1079" s="52"/>
    </row>
    <row r="1080" spans="1:9" ht="15.75">
      <c r="A1080" t="s">
        <v>188</v>
      </c>
      <c r="B1080">
        <f t="shared" si="271"/>
        <v>866211</v>
      </c>
      <c r="C1080" s="28">
        <f t="shared" si="272"/>
        <v>0.00225</v>
      </c>
      <c r="D1080">
        <f t="shared" si="270"/>
        <v>1949</v>
      </c>
      <c r="E1080">
        <f>ROUND(+E1079+D1080,0)</f>
        <v>113373</v>
      </c>
      <c r="I1080" s="52"/>
    </row>
    <row r="1081" spans="1:9" ht="15.75">
      <c r="A1081" t="s">
        <v>189</v>
      </c>
      <c r="B1081">
        <f t="shared" si="271"/>
        <v>866211</v>
      </c>
      <c r="C1081" s="28">
        <f t="shared" si="272"/>
        <v>0.00225</v>
      </c>
      <c r="D1081">
        <f t="shared" si="270"/>
        <v>1949</v>
      </c>
      <c r="E1081">
        <f t="shared" si="273"/>
        <v>115322</v>
      </c>
      <c r="I1081" s="52"/>
    </row>
    <row r="1082" spans="1:9" ht="15.75">
      <c r="A1082" t="s">
        <v>190</v>
      </c>
      <c r="B1082">
        <f t="shared" si="271"/>
        <v>866211</v>
      </c>
      <c r="C1082" s="28">
        <f t="shared" si="272"/>
        <v>0.00225</v>
      </c>
      <c r="D1082">
        <f t="shared" si="270"/>
        <v>1949</v>
      </c>
      <c r="E1082">
        <f t="shared" si="273"/>
        <v>117271</v>
      </c>
      <c r="I1082" s="52"/>
    </row>
    <row r="1083" spans="1:9" ht="15.75">
      <c r="A1083" t="s">
        <v>191</v>
      </c>
      <c r="B1083">
        <f t="shared" si="271"/>
        <v>866211</v>
      </c>
      <c r="C1083" s="28">
        <f t="shared" si="272"/>
        <v>0.00225</v>
      </c>
      <c r="D1083">
        <f t="shared" si="270"/>
        <v>1949</v>
      </c>
      <c r="E1083">
        <f t="shared" si="273"/>
        <v>119220</v>
      </c>
      <c r="I1083" s="52"/>
    </row>
    <row r="1084" spans="1:9" ht="15.75">
      <c r="A1084" t="s">
        <v>192</v>
      </c>
      <c r="B1084">
        <f t="shared" si="271"/>
        <v>866211</v>
      </c>
      <c r="C1084" s="28">
        <f t="shared" si="272"/>
        <v>0.00225</v>
      </c>
      <c r="D1084">
        <f t="shared" si="270"/>
        <v>1949</v>
      </c>
      <c r="E1084">
        <f t="shared" si="273"/>
        <v>121169</v>
      </c>
      <c r="I1084" s="52"/>
    </row>
    <row r="1086" spans="1:7" ht="15.75">
      <c r="A1086" s="43" t="s">
        <v>288</v>
      </c>
      <c r="B1086" s="53">
        <f>866211</f>
        <v>866211</v>
      </c>
      <c r="C1086" s="28">
        <f>0.027/12</f>
        <v>0.00225</v>
      </c>
      <c r="D1086">
        <f aca="true" t="shared" si="274" ref="D1086:D1110">ROUND((B1086*C1086),0)</f>
        <v>1949</v>
      </c>
      <c r="E1086">
        <f>ROUND(+E1084+D1086,0)</f>
        <v>123118</v>
      </c>
      <c r="G1086" s="28"/>
    </row>
    <row r="1087" spans="1:5" ht="15">
      <c r="A1087" s="43" t="s">
        <v>289</v>
      </c>
      <c r="B1087">
        <f>B1086</f>
        <v>866211</v>
      </c>
      <c r="C1087" s="28">
        <f aca="true" t="shared" si="275" ref="C1087:C1123">0.027/12</f>
        <v>0.00225</v>
      </c>
      <c r="D1087">
        <f t="shared" si="274"/>
        <v>1949</v>
      </c>
      <c r="E1087">
        <f>ROUND(+E1086+D1087,0)</f>
        <v>125067</v>
      </c>
    </row>
    <row r="1088" spans="1:5" ht="15">
      <c r="A1088" s="43" t="s">
        <v>290</v>
      </c>
      <c r="B1088">
        <f aca="true" t="shared" si="276" ref="B1088:B1097">B1087</f>
        <v>866211</v>
      </c>
      <c r="C1088" s="28">
        <f t="shared" si="275"/>
        <v>0.00225</v>
      </c>
      <c r="D1088">
        <f t="shared" si="274"/>
        <v>1949</v>
      </c>
      <c r="E1088">
        <f aca="true" t="shared" si="277" ref="E1088:E1097">ROUND(+E1087+D1088,0)</f>
        <v>127016</v>
      </c>
    </row>
    <row r="1089" spans="1:5" ht="15">
      <c r="A1089" s="43" t="s">
        <v>291</v>
      </c>
      <c r="B1089">
        <f t="shared" si="276"/>
        <v>866211</v>
      </c>
      <c r="C1089" s="28">
        <f t="shared" si="275"/>
        <v>0.00225</v>
      </c>
      <c r="D1089">
        <f t="shared" si="274"/>
        <v>1949</v>
      </c>
      <c r="E1089">
        <f t="shared" si="277"/>
        <v>128965</v>
      </c>
    </row>
    <row r="1090" spans="1:5" ht="15">
      <c r="A1090" s="43" t="s">
        <v>292</v>
      </c>
      <c r="B1090">
        <f t="shared" si="276"/>
        <v>866211</v>
      </c>
      <c r="C1090" s="28">
        <f t="shared" si="275"/>
        <v>0.00225</v>
      </c>
      <c r="D1090">
        <f t="shared" si="274"/>
        <v>1949</v>
      </c>
      <c r="E1090">
        <f t="shared" si="277"/>
        <v>130914</v>
      </c>
    </row>
    <row r="1091" spans="1:5" ht="15">
      <c r="A1091" s="43" t="s">
        <v>293</v>
      </c>
      <c r="B1091">
        <f t="shared" si="276"/>
        <v>866211</v>
      </c>
      <c r="C1091" s="28">
        <f t="shared" si="275"/>
        <v>0.00225</v>
      </c>
      <c r="D1091">
        <f t="shared" si="274"/>
        <v>1949</v>
      </c>
      <c r="E1091">
        <f t="shared" si="277"/>
        <v>132863</v>
      </c>
    </row>
    <row r="1092" spans="1:5" ht="15">
      <c r="A1092" s="43" t="s">
        <v>294</v>
      </c>
      <c r="B1092">
        <f t="shared" si="276"/>
        <v>866211</v>
      </c>
      <c r="C1092" s="28">
        <f t="shared" si="275"/>
        <v>0.00225</v>
      </c>
      <c r="D1092">
        <f t="shared" si="274"/>
        <v>1949</v>
      </c>
      <c r="E1092">
        <f t="shared" si="277"/>
        <v>134812</v>
      </c>
    </row>
    <row r="1093" spans="1:5" ht="15">
      <c r="A1093" s="43" t="s">
        <v>295</v>
      </c>
      <c r="B1093">
        <f t="shared" si="276"/>
        <v>866211</v>
      </c>
      <c r="C1093" s="28">
        <f t="shared" si="275"/>
        <v>0.00225</v>
      </c>
      <c r="D1093">
        <f t="shared" si="274"/>
        <v>1949</v>
      </c>
      <c r="E1093">
        <f t="shared" si="277"/>
        <v>136761</v>
      </c>
    </row>
    <row r="1094" spans="1:5" ht="15">
      <c r="A1094" s="43" t="s">
        <v>296</v>
      </c>
      <c r="B1094">
        <f t="shared" si="276"/>
        <v>866211</v>
      </c>
      <c r="C1094" s="28">
        <f t="shared" si="275"/>
        <v>0.00225</v>
      </c>
      <c r="D1094">
        <f t="shared" si="274"/>
        <v>1949</v>
      </c>
      <c r="E1094">
        <f t="shared" si="277"/>
        <v>138710</v>
      </c>
    </row>
    <row r="1095" spans="1:5" ht="15">
      <c r="A1095" s="43" t="s">
        <v>297</v>
      </c>
      <c r="B1095">
        <f t="shared" si="276"/>
        <v>866211</v>
      </c>
      <c r="C1095" s="28">
        <f t="shared" si="275"/>
        <v>0.00225</v>
      </c>
      <c r="D1095">
        <f t="shared" si="274"/>
        <v>1949</v>
      </c>
      <c r="E1095">
        <f t="shared" si="277"/>
        <v>140659</v>
      </c>
    </row>
    <row r="1096" spans="1:5" ht="15">
      <c r="A1096" s="43" t="s">
        <v>298</v>
      </c>
      <c r="B1096">
        <f t="shared" si="276"/>
        <v>866211</v>
      </c>
      <c r="C1096" s="28">
        <f t="shared" si="275"/>
        <v>0.00225</v>
      </c>
      <c r="D1096">
        <f t="shared" si="274"/>
        <v>1949</v>
      </c>
      <c r="E1096">
        <f t="shared" si="277"/>
        <v>142608</v>
      </c>
    </row>
    <row r="1097" spans="1:5" ht="15">
      <c r="A1097" s="43" t="s">
        <v>299</v>
      </c>
      <c r="B1097">
        <f t="shared" si="276"/>
        <v>866211</v>
      </c>
      <c r="C1097" s="28">
        <f t="shared" si="275"/>
        <v>0.00225</v>
      </c>
      <c r="D1097">
        <f t="shared" si="274"/>
        <v>1949</v>
      </c>
      <c r="E1097">
        <f t="shared" si="277"/>
        <v>144557</v>
      </c>
    </row>
    <row r="1099" spans="1:5" ht="15">
      <c r="A1099" s="43" t="s">
        <v>357</v>
      </c>
      <c r="B1099">
        <f>B1097</f>
        <v>866211</v>
      </c>
      <c r="C1099" s="28">
        <f t="shared" si="275"/>
        <v>0.00225</v>
      </c>
      <c r="D1099">
        <f t="shared" si="274"/>
        <v>1949</v>
      </c>
      <c r="E1099">
        <f>ROUND(+E1097+D1099,0)</f>
        <v>146506</v>
      </c>
    </row>
    <row r="1100" spans="1:5" ht="15">
      <c r="A1100" s="43" t="s">
        <v>358</v>
      </c>
      <c r="B1100">
        <f>B1099</f>
        <v>866211</v>
      </c>
      <c r="C1100" s="28">
        <f t="shared" si="275"/>
        <v>0.00225</v>
      </c>
      <c r="D1100">
        <f t="shared" si="274"/>
        <v>1949</v>
      </c>
      <c r="E1100">
        <f>ROUND(+E1099+D1100,0)</f>
        <v>148455</v>
      </c>
    </row>
    <row r="1101" spans="1:5" ht="15">
      <c r="A1101" s="43" t="s">
        <v>359</v>
      </c>
      <c r="B1101">
        <f aca="true" t="shared" si="278" ref="B1101:B1110">B1100</f>
        <v>866211</v>
      </c>
      <c r="C1101" s="28">
        <f t="shared" si="275"/>
        <v>0.00225</v>
      </c>
      <c r="D1101">
        <f t="shared" si="274"/>
        <v>1949</v>
      </c>
      <c r="E1101">
        <f aca="true" t="shared" si="279" ref="E1101:E1110">ROUND(+E1100+D1101,0)</f>
        <v>150404</v>
      </c>
    </row>
    <row r="1102" spans="1:5" ht="15">
      <c r="A1102" s="43" t="s">
        <v>360</v>
      </c>
      <c r="B1102">
        <f t="shared" si="278"/>
        <v>866211</v>
      </c>
      <c r="C1102" s="28">
        <f t="shared" si="275"/>
        <v>0.00225</v>
      </c>
      <c r="D1102">
        <f t="shared" si="274"/>
        <v>1949</v>
      </c>
      <c r="E1102">
        <f t="shared" si="279"/>
        <v>152353</v>
      </c>
    </row>
    <row r="1103" spans="1:5" ht="15">
      <c r="A1103" s="43" t="s">
        <v>361</v>
      </c>
      <c r="B1103">
        <f t="shared" si="278"/>
        <v>866211</v>
      </c>
      <c r="C1103" s="28">
        <f t="shared" si="275"/>
        <v>0.00225</v>
      </c>
      <c r="D1103">
        <f t="shared" si="274"/>
        <v>1949</v>
      </c>
      <c r="E1103">
        <f t="shared" si="279"/>
        <v>154302</v>
      </c>
    </row>
    <row r="1104" spans="1:5" ht="15">
      <c r="A1104" s="43" t="s">
        <v>362</v>
      </c>
      <c r="B1104">
        <f t="shared" si="278"/>
        <v>866211</v>
      </c>
      <c r="C1104" s="28">
        <f t="shared" si="275"/>
        <v>0.00225</v>
      </c>
      <c r="D1104">
        <f t="shared" si="274"/>
        <v>1949</v>
      </c>
      <c r="E1104">
        <f t="shared" si="279"/>
        <v>156251</v>
      </c>
    </row>
    <row r="1105" spans="1:5" ht="15">
      <c r="A1105" s="43" t="s">
        <v>363</v>
      </c>
      <c r="B1105">
        <f t="shared" si="278"/>
        <v>866211</v>
      </c>
      <c r="C1105" s="28">
        <f t="shared" si="275"/>
        <v>0.00225</v>
      </c>
      <c r="D1105">
        <f t="shared" si="274"/>
        <v>1949</v>
      </c>
      <c r="E1105">
        <f t="shared" si="279"/>
        <v>158200</v>
      </c>
    </row>
    <row r="1106" spans="1:5" ht="15">
      <c r="A1106" s="43" t="s">
        <v>364</v>
      </c>
      <c r="B1106">
        <f t="shared" si="278"/>
        <v>866211</v>
      </c>
      <c r="C1106" s="28">
        <f t="shared" si="275"/>
        <v>0.00225</v>
      </c>
      <c r="D1106">
        <f t="shared" si="274"/>
        <v>1949</v>
      </c>
      <c r="E1106">
        <f t="shared" si="279"/>
        <v>160149</v>
      </c>
    </row>
    <row r="1107" spans="1:5" ht="15">
      <c r="A1107" s="43" t="s">
        <v>365</v>
      </c>
      <c r="B1107">
        <f t="shared" si="278"/>
        <v>866211</v>
      </c>
      <c r="C1107" s="28">
        <f t="shared" si="275"/>
        <v>0.00225</v>
      </c>
      <c r="D1107">
        <f t="shared" si="274"/>
        <v>1949</v>
      </c>
      <c r="E1107">
        <f t="shared" si="279"/>
        <v>162098</v>
      </c>
    </row>
    <row r="1108" spans="1:5" ht="15">
      <c r="A1108" s="43" t="s">
        <v>366</v>
      </c>
      <c r="B1108">
        <f t="shared" si="278"/>
        <v>866211</v>
      </c>
      <c r="C1108" s="28">
        <f t="shared" si="275"/>
        <v>0.00225</v>
      </c>
      <c r="D1108">
        <f t="shared" si="274"/>
        <v>1949</v>
      </c>
      <c r="E1108">
        <f t="shared" si="279"/>
        <v>164047</v>
      </c>
    </row>
    <row r="1109" spans="1:5" ht="15">
      <c r="A1109" s="43" t="s">
        <v>367</v>
      </c>
      <c r="B1109">
        <f t="shared" si="278"/>
        <v>866211</v>
      </c>
      <c r="C1109" s="28">
        <f t="shared" si="275"/>
        <v>0.00225</v>
      </c>
      <c r="D1109">
        <f t="shared" si="274"/>
        <v>1949</v>
      </c>
      <c r="E1109">
        <f t="shared" si="279"/>
        <v>165996</v>
      </c>
    </row>
    <row r="1110" spans="1:5" ht="15">
      <c r="A1110" s="43" t="s">
        <v>368</v>
      </c>
      <c r="B1110">
        <f t="shared" si="278"/>
        <v>866211</v>
      </c>
      <c r="C1110" s="28">
        <f t="shared" si="275"/>
        <v>0.00225</v>
      </c>
      <c r="D1110">
        <f t="shared" si="274"/>
        <v>1949</v>
      </c>
      <c r="E1110">
        <f t="shared" si="279"/>
        <v>167945</v>
      </c>
    </row>
    <row r="1112" spans="1:5" ht="15">
      <c r="A1112" s="73" t="s">
        <v>423</v>
      </c>
      <c r="B1112">
        <f>B1110</f>
        <v>866211</v>
      </c>
      <c r="C1112" s="28">
        <f t="shared" si="275"/>
        <v>0.00225</v>
      </c>
      <c r="D1112">
        <f aca="true" t="shared" si="280" ref="D1112:D1123">ROUND((B1112*C1112),0)</f>
        <v>1949</v>
      </c>
      <c r="E1112">
        <f>ROUND(+E1110+D1112,0)</f>
        <v>169894</v>
      </c>
    </row>
    <row r="1113" spans="1:5" ht="15">
      <c r="A1113" s="72" t="s">
        <v>424</v>
      </c>
      <c r="B1113">
        <f>B1112</f>
        <v>866211</v>
      </c>
      <c r="C1113" s="28">
        <f t="shared" si="275"/>
        <v>0.00225</v>
      </c>
      <c r="D1113">
        <f t="shared" si="280"/>
        <v>1949</v>
      </c>
      <c r="E1113">
        <f>ROUND(+E1112+D1113,0)</f>
        <v>171843</v>
      </c>
    </row>
    <row r="1114" spans="1:5" ht="15">
      <c r="A1114" s="72" t="s">
        <v>425</v>
      </c>
      <c r="B1114">
        <f aca="true" t="shared" si="281" ref="B1114:B1123">B1113</f>
        <v>866211</v>
      </c>
      <c r="C1114" s="28">
        <f t="shared" si="275"/>
        <v>0.00225</v>
      </c>
      <c r="D1114">
        <f t="shared" si="280"/>
        <v>1949</v>
      </c>
      <c r="E1114">
        <f aca="true" t="shared" si="282" ref="E1114:E1123">ROUND(+E1113+D1114,0)</f>
        <v>173792</v>
      </c>
    </row>
    <row r="1115" spans="1:5" ht="15">
      <c r="A1115" s="72" t="s">
        <v>426</v>
      </c>
      <c r="B1115">
        <f t="shared" si="281"/>
        <v>866211</v>
      </c>
      <c r="C1115" s="28">
        <f t="shared" si="275"/>
        <v>0.00225</v>
      </c>
      <c r="D1115">
        <f t="shared" si="280"/>
        <v>1949</v>
      </c>
      <c r="E1115">
        <f t="shared" si="282"/>
        <v>175741</v>
      </c>
    </row>
    <row r="1116" spans="1:5" ht="15">
      <c r="A1116" s="72" t="s">
        <v>410</v>
      </c>
      <c r="B1116">
        <f t="shared" si="281"/>
        <v>866211</v>
      </c>
      <c r="C1116" s="28">
        <f t="shared" si="275"/>
        <v>0.00225</v>
      </c>
      <c r="D1116">
        <f t="shared" si="280"/>
        <v>1949</v>
      </c>
      <c r="E1116">
        <f t="shared" si="282"/>
        <v>177690</v>
      </c>
    </row>
    <row r="1117" spans="1:5" ht="15">
      <c r="A1117" s="72" t="s">
        <v>427</v>
      </c>
      <c r="B1117">
        <f t="shared" si="281"/>
        <v>866211</v>
      </c>
      <c r="C1117" s="28">
        <f t="shared" si="275"/>
        <v>0.00225</v>
      </c>
      <c r="D1117">
        <f t="shared" si="280"/>
        <v>1949</v>
      </c>
      <c r="E1117">
        <f t="shared" si="282"/>
        <v>179639</v>
      </c>
    </row>
    <row r="1118" spans="1:5" ht="15">
      <c r="A1118" s="72" t="s">
        <v>428</v>
      </c>
      <c r="B1118">
        <f t="shared" si="281"/>
        <v>866211</v>
      </c>
      <c r="C1118" s="28">
        <f t="shared" si="275"/>
        <v>0.00225</v>
      </c>
      <c r="D1118">
        <f t="shared" si="280"/>
        <v>1949</v>
      </c>
      <c r="E1118">
        <f t="shared" si="282"/>
        <v>181588</v>
      </c>
    </row>
    <row r="1119" spans="1:5" ht="15">
      <c r="A1119" s="72" t="s">
        <v>429</v>
      </c>
      <c r="B1119">
        <f t="shared" si="281"/>
        <v>866211</v>
      </c>
      <c r="C1119" s="28">
        <f t="shared" si="275"/>
        <v>0.00225</v>
      </c>
      <c r="D1119">
        <f t="shared" si="280"/>
        <v>1949</v>
      </c>
      <c r="E1119">
        <f t="shared" si="282"/>
        <v>183537</v>
      </c>
    </row>
    <row r="1120" spans="1:5" ht="15">
      <c r="A1120" s="72" t="s">
        <v>430</v>
      </c>
      <c r="B1120">
        <f t="shared" si="281"/>
        <v>866211</v>
      </c>
      <c r="C1120" s="28">
        <f t="shared" si="275"/>
        <v>0.00225</v>
      </c>
      <c r="D1120">
        <f t="shared" si="280"/>
        <v>1949</v>
      </c>
      <c r="E1120">
        <f t="shared" si="282"/>
        <v>185486</v>
      </c>
    </row>
    <row r="1121" spans="1:5" ht="15">
      <c r="A1121" s="72" t="s">
        <v>431</v>
      </c>
      <c r="B1121">
        <f t="shared" si="281"/>
        <v>866211</v>
      </c>
      <c r="C1121" s="28">
        <f t="shared" si="275"/>
        <v>0.00225</v>
      </c>
      <c r="D1121">
        <f t="shared" si="280"/>
        <v>1949</v>
      </c>
      <c r="E1121">
        <f t="shared" si="282"/>
        <v>187435</v>
      </c>
    </row>
    <row r="1122" spans="1:5" ht="15">
      <c r="A1122" s="72" t="s">
        <v>432</v>
      </c>
      <c r="B1122">
        <f t="shared" si="281"/>
        <v>866211</v>
      </c>
      <c r="C1122" s="28">
        <f t="shared" si="275"/>
        <v>0.00225</v>
      </c>
      <c r="D1122">
        <f t="shared" si="280"/>
        <v>1949</v>
      </c>
      <c r="E1122">
        <f t="shared" si="282"/>
        <v>189384</v>
      </c>
    </row>
    <row r="1123" spans="1:5" ht="15">
      <c r="A1123" s="72" t="s">
        <v>433</v>
      </c>
      <c r="B1123">
        <f t="shared" si="281"/>
        <v>866211</v>
      </c>
      <c r="C1123" s="28">
        <f t="shared" si="275"/>
        <v>0.00225</v>
      </c>
      <c r="D1123">
        <f t="shared" si="280"/>
        <v>1949</v>
      </c>
      <c r="E1123">
        <f t="shared" si="282"/>
        <v>191333</v>
      </c>
    </row>
    <row r="1125" ht="15">
      <c r="A1125" t="s">
        <v>251</v>
      </c>
    </row>
    <row r="1127" spans="2:4" ht="15">
      <c r="B1127" s="29" t="s">
        <v>115</v>
      </c>
      <c r="C1127" s="29" t="s">
        <v>116</v>
      </c>
      <c r="D1127" s="29" t="s">
        <v>116</v>
      </c>
    </row>
    <row r="1128" spans="3:5" ht="15">
      <c r="C1128" s="29" t="s">
        <v>117</v>
      </c>
      <c r="D1128" s="29" t="s">
        <v>118</v>
      </c>
      <c r="E1128" s="29" t="s">
        <v>119</v>
      </c>
    </row>
    <row r="1130" spans="1:5" ht="15">
      <c r="A1130" t="s">
        <v>123</v>
      </c>
      <c r="B1130">
        <v>649812</v>
      </c>
      <c r="C1130" s="28">
        <f aca="true" t="shared" si="283" ref="C1130:C1139">0.037/12</f>
        <v>0.0030833333333333338</v>
      </c>
      <c r="D1130">
        <f>ROUND((B1130*C1130)/2,0)</f>
        <v>1002</v>
      </c>
      <c r="E1130">
        <f>D1130</f>
        <v>1002</v>
      </c>
    </row>
    <row r="1131" spans="1:5" ht="15">
      <c r="A1131" t="s">
        <v>124</v>
      </c>
      <c r="B1131">
        <f aca="true" t="shared" si="284" ref="B1131:B1139">$B$1130</f>
        <v>649812</v>
      </c>
      <c r="C1131" s="28">
        <f t="shared" si="283"/>
        <v>0.0030833333333333338</v>
      </c>
      <c r="D1131">
        <f aca="true" t="shared" si="285" ref="D1131:D1139">ROUND((B1131*C1131),0)</f>
        <v>2004</v>
      </c>
      <c r="E1131">
        <f aca="true" t="shared" si="286" ref="E1131:E1139">ROUND(E1130+D1131,0)</f>
        <v>3006</v>
      </c>
    </row>
    <row r="1132" spans="1:5" ht="15">
      <c r="A1132" t="s">
        <v>125</v>
      </c>
      <c r="B1132">
        <f t="shared" si="284"/>
        <v>649812</v>
      </c>
      <c r="C1132" s="28">
        <f t="shared" si="283"/>
        <v>0.0030833333333333338</v>
      </c>
      <c r="D1132">
        <f t="shared" si="285"/>
        <v>2004</v>
      </c>
      <c r="E1132">
        <f t="shared" si="286"/>
        <v>5010</v>
      </c>
    </row>
    <row r="1133" spans="1:5" ht="15">
      <c r="A1133" t="s">
        <v>126</v>
      </c>
      <c r="B1133">
        <f t="shared" si="284"/>
        <v>649812</v>
      </c>
      <c r="C1133" s="28">
        <f t="shared" si="283"/>
        <v>0.0030833333333333338</v>
      </c>
      <c r="D1133">
        <f t="shared" si="285"/>
        <v>2004</v>
      </c>
      <c r="E1133">
        <f t="shared" si="286"/>
        <v>7014</v>
      </c>
    </row>
    <row r="1134" spans="1:5" ht="15">
      <c r="A1134" t="s">
        <v>127</v>
      </c>
      <c r="B1134">
        <f t="shared" si="284"/>
        <v>649812</v>
      </c>
      <c r="C1134" s="28">
        <f t="shared" si="283"/>
        <v>0.0030833333333333338</v>
      </c>
      <c r="D1134">
        <f t="shared" si="285"/>
        <v>2004</v>
      </c>
      <c r="E1134">
        <f t="shared" si="286"/>
        <v>9018</v>
      </c>
    </row>
    <row r="1135" spans="1:5" ht="15">
      <c r="A1135" t="s">
        <v>128</v>
      </c>
      <c r="B1135">
        <f t="shared" si="284"/>
        <v>649812</v>
      </c>
      <c r="C1135" s="28">
        <f t="shared" si="283"/>
        <v>0.0030833333333333338</v>
      </c>
      <c r="D1135">
        <f t="shared" si="285"/>
        <v>2004</v>
      </c>
      <c r="E1135">
        <f t="shared" si="286"/>
        <v>11022</v>
      </c>
    </row>
    <row r="1136" spans="1:5" ht="15">
      <c r="A1136" t="s">
        <v>129</v>
      </c>
      <c r="B1136">
        <f t="shared" si="284"/>
        <v>649812</v>
      </c>
      <c r="C1136" s="28">
        <f t="shared" si="283"/>
        <v>0.0030833333333333338</v>
      </c>
      <c r="D1136">
        <f t="shared" si="285"/>
        <v>2004</v>
      </c>
      <c r="E1136">
        <f t="shared" si="286"/>
        <v>13026</v>
      </c>
    </row>
    <row r="1137" spans="1:5" ht="15">
      <c r="A1137" t="s">
        <v>130</v>
      </c>
      <c r="B1137">
        <f t="shared" si="284"/>
        <v>649812</v>
      </c>
      <c r="C1137" s="28">
        <f t="shared" si="283"/>
        <v>0.0030833333333333338</v>
      </c>
      <c r="D1137">
        <f t="shared" si="285"/>
        <v>2004</v>
      </c>
      <c r="E1137">
        <f t="shared" si="286"/>
        <v>15030</v>
      </c>
    </row>
    <row r="1138" spans="1:5" ht="15">
      <c r="A1138" t="s">
        <v>131</v>
      </c>
      <c r="B1138">
        <f t="shared" si="284"/>
        <v>649812</v>
      </c>
      <c r="C1138" s="28">
        <f t="shared" si="283"/>
        <v>0.0030833333333333338</v>
      </c>
      <c r="D1138">
        <f t="shared" si="285"/>
        <v>2004</v>
      </c>
      <c r="E1138">
        <f t="shared" si="286"/>
        <v>17034</v>
      </c>
    </row>
    <row r="1139" spans="1:5" ht="15">
      <c r="A1139" t="s">
        <v>132</v>
      </c>
      <c r="B1139">
        <f t="shared" si="284"/>
        <v>649812</v>
      </c>
      <c r="C1139" s="28">
        <f t="shared" si="283"/>
        <v>0.0030833333333333338</v>
      </c>
      <c r="D1139">
        <f t="shared" si="285"/>
        <v>2004</v>
      </c>
      <c r="E1139">
        <f t="shared" si="286"/>
        <v>19038</v>
      </c>
    </row>
    <row r="1140" ht="15">
      <c r="C1140" s="28"/>
    </row>
    <row r="1141" spans="1:5" ht="15">
      <c r="A1141" t="s">
        <v>133</v>
      </c>
      <c r="B1141">
        <f aca="true" t="shared" si="287" ref="B1141:B1152">$B$1130</f>
        <v>649812</v>
      </c>
      <c r="C1141" s="28">
        <f aca="true" t="shared" si="288" ref="C1141:C1152">0.037/12</f>
        <v>0.0030833333333333338</v>
      </c>
      <c r="D1141">
        <f aca="true" t="shared" si="289" ref="D1141:D1152">ROUND((B1141*C1141),0)</f>
        <v>2004</v>
      </c>
      <c r="E1141">
        <f>ROUND(E1139+D1141,0)</f>
        <v>21042</v>
      </c>
    </row>
    <row r="1142" spans="1:5" ht="15">
      <c r="A1142" t="s">
        <v>134</v>
      </c>
      <c r="B1142">
        <f t="shared" si="287"/>
        <v>649812</v>
      </c>
      <c r="C1142" s="28">
        <f t="shared" si="288"/>
        <v>0.0030833333333333338</v>
      </c>
      <c r="D1142">
        <f t="shared" si="289"/>
        <v>2004</v>
      </c>
      <c r="E1142">
        <f aca="true" t="shared" si="290" ref="E1142:E1152">ROUND(E1141+D1142,0)</f>
        <v>23046</v>
      </c>
    </row>
    <row r="1143" spans="1:5" ht="15">
      <c r="A1143" t="s">
        <v>135</v>
      </c>
      <c r="B1143">
        <f t="shared" si="287"/>
        <v>649812</v>
      </c>
      <c r="C1143" s="28">
        <f t="shared" si="288"/>
        <v>0.0030833333333333338</v>
      </c>
      <c r="D1143">
        <f t="shared" si="289"/>
        <v>2004</v>
      </c>
      <c r="E1143">
        <f t="shared" si="290"/>
        <v>25050</v>
      </c>
    </row>
    <row r="1144" spans="1:5" ht="15">
      <c r="A1144" t="s">
        <v>136</v>
      </c>
      <c r="B1144">
        <f t="shared" si="287"/>
        <v>649812</v>
      </c>
      <c r="C1144" s="28">
        <f t="shared" si="288"/>
        <v>0.0030833333333333338</v>
      </c>
      <c r="D1144">
        <f t="shared" si="289"/>
        <v>2004</v>
      </c>
      <c r="E1144">
        <f t="shared" si="290"/>
        <v>27054</v>
      </c>
    </row>
    <row r="1145" spans="1:5" ht="15">
      <c r="A1145" t="s">
        <v>137</v>
      </c>
      <c r="B1145">
        <f t="shared" si="287"/>
        <v>649812</v>
      </c>
      <c r="C1145" s="28">
        <f t="shared" si="288"/>
        <v>0.0030833333333333338</v>
      </c>
      <c r="D1145">
        <f t="shared" si="289"/>
        <v>2004</v>
      </c>
      <c r="E1145">
        <f t="shared" si="290"/>
        <v>29058</v>
      </c>
    </row>
    <row r="1146" spans="1:5" ht="15">
      <c r="A1146" t="s">
        <v>138</v>
      </c>
      <c r="B1146">
        <f t="shared" si="287"/>
        <v>649812</v>
      </c>
      <c r="C1146" s="28">
        <f t="shared" si="288"/>
        <v>0.0030833333333333338</v>
      </c>
      <c r="D1146">
        <f t="shared" si="289"/>
        <v>2004</v>
      </c>
      <c r="E1146">
        <f t="shared" si="290"/>
        <v>31062</v>
      </c>
    </row>
    <row r="1147" spans="1:5" ht="15">
      <c r="A1147" t="s">
        <v>139</v>
      </c>
      <c r="B1147">
        <f t="shared" si="287"/>
        <v>649812</v>
      </c>
      <c r="C1147" s="28">
        <f t="shared" si="288"/>
        <v>0.0030833333333333338</v>
      </c>
      <c r="D1147">
        <f t="shared" si="289"/>
        <v>2004</v>
      </c>
      <c r="E1147">
        <f t="shared" si="290"/>
        <v>33066</v>
      </c>
    </row>
    <row r="1148" spans="1:5" ht="15">
      <c r="A1148" t="s">
        <v>140</v>
      </c>
      <c r="B1148">
        <f t="shared" si="287"/>
        <v>649812</v>
      </c>
      <c r="C1148" s="28">
        <f t="shared" si="288"/>
        <v>0.0030833333333333338</v>
      </c>
      <c r="D1148">
        <f t="shared" si="289"/>
        <v>2004</v>
      </c>
      <c r="E1148">
        <f t="shared" si="290"/>
        <v>35070</v>
      </c>
    </row>
    <row r="1149" spans="1:5" ht="15">
      <c r="A1149" t="s">
        <v>141</v>
      </c>
      <c r="B1149">
        <f t="shared" si="287"/>
        <v>649812</v>
      </c>
      <c r="C1149" s="28">
        <f t="shared" si="288"/>
        <v>0.0030833333333333338</v>
      </c>
      <c r="D1149">
        <f t="shared" si="289"/>
        <v>2004</v>
      </c>
      <c r="E1149">
        <f t="shared" si="290"/>
        <v>37074</v>
      </c>
    </row>
    <row r="1150" spans="1:5" ht="15">
      <c r="A1150" t="s">
        <v>142</v>
      </c>
      <c r="B1150">
        <f t="shared" si="287"/>
        <v>649812</v>
      </c>
      <c r="C1150" s="28">
        <f t="shared" si="288"/>
        <v>0.0030833333333333338</v>
      </c>
      <c r="D1150">
        <f t="shared" si="289"/>
        <v>2004</v>
      </c>
      <c r="E1150">
        <f t="shared" si="290"/>
        <v>39078</v>
      </c>
    </row>
    <row r="1151" spans="1:5" ht="15">
      <c r="A1151" t="s">
        <v>143</v>
      </c>
      <c r="B1151">
        <f t="shared" si="287"/>
        <v>649812</v>
      </c>
      <c r="C1151" s="28">
        <f t="shared" si="288"/>
        <v>0.0030833333333333338</v>
      </c>
      <c r="D1151">
        <f t="shared" si="289"/>
        <v>2004</v>
      </c>
      <c r="E1151">
        <f t="shared" si="290"/>
        <v>41082</v>
      </c>
    </row>
    <row r="1152" spans="1:5" ht="15">
      <c r="A1152" t="s">
        <v>144</v>
      </c>
      <c r="B1152">
        <f t="shared" si="287"/>
        <v>649812</v>
      </c>
      <c r="C1152" s="28">
        <f t="shared" si="288"/>
        <v>0.0030833333333333338</v>
      </c>
      <c r="D1152">
        <f t="shared" si="289"/>
        <v>2004</v>
      </c>
      <c r="E1152">
        <f t="shared" si="290"/>
        <v>43086</v>
      </c>
    </row>
    <row r="1154" spans="1:5" ht="15">
      <c r="A1154" t="s">
        <v>145</v>
      </c>
      <c r="B1154">
        <f aca="true" t="shared" si="291" ref="B1154:B1165">$B$1130</f>
        <v>649812</v>
      </c>
      <c r="C1154" s="28">
        <f aca="true" t="shared" si="292" ref="C1154:C1165">0.033/12</f>
        <v>0.0027500000000000003</v>
      </c>
      <c r="D1154">
        <f aca="true" t="shared" si="293" ref="D1154:D1165">ROUND((B1154*C1154),0)</f>
        <v>1787</v>
      </c>
      <c r="E1154">
        <f>ROUND(E1152+D1154,0)</f>
        <v>44873</v>
      </c>
    </row>
    <row r="1155" spans="1:5" ht="15">
      <c r="A1155" t="s">
        <v>146</v>
      </c>
      <c r="B1155">
        <f t="shared" si="291"/>
        <v>649812</v>
      </c>
      <c r="C1155" s="28">
        <f t="shared" si="292"/>
        <v>0.0027500000000000003</v>
      </c>
      <c r="D1155">
        <f t="shared" si="293"/>
        <v>1787</v>
      </c>
      <c r="E1155">
        <f aca="true" t="shared" si="294" ref="E1155:E1165">ROUND(E1154+D1155,0)</f>
        <v>46660</v>
      </c>
    </row>
    <row r="1156" spans="1:5" ht="15">
      <c r="A1156" t="s">
        <v>147</v>
      </c>
      <c r="B1156">
        <f t="shared" si="291"/>
        <v>649812</v>
      </c>
      <c r="C1156" s="28">
        <f t="shared" si="292"/>
        <v>0.0027500000000000003</v>
      </c>
      <c r="D1156">
        <f t="shared" si="293"/>
        <v>1787</v>
      </c>
      <c r="E1156">
        <f t="shared" si="294"/>
        <v>48447</v>
      </c>
    </row>
    <row r="1157" spans="1:5" ht="15">
      <c r="A1157" t="s">
        <v>148</v>
      </c>
      <c r="B1157">
        <f t="shared" si="291"/>
        <v>649812</v>
      </c>
      <c r="C1157" s="28">
        <f t="shared" si="292"/>
        <v>0.0027500000000000003</v>
      </c>
      <c r="D1157">
        <f t="shared" si="293"/>
        <v>1787</v>
      </c>
      <c r="E1157">
        <f t="shared" si="294"/>
        <v>50234</v>
      </c>
    </row>
    <row r="1158" spans="1:5" ht="15">
      <c r="A1158" t="s">
        <v>149</v>
      </c>
      <c r="B1158">
        <f t="shared" si="291"/>
        <v>649812</v>
      </c>
      <c r="C1158" s="28">
        <f t="shared" si="292"/>
        <v>0.0027500000000000003</v>
      </c>
      <c r="D1158">
        <f t="shared" si="293"/>
        <v>1787</v>
      </c>
      <c r="E1158">
        <f t="shared" si="294"/>
        <v>52021</v>
      </c>
    </row>
    <row r="1159" spans="1:5" ht="15">
      <c r="A1159" t="s">
        <v>150</v>
      </c>
      <c r="B1159">
        <f t="shared" si="291"/>
        <v>649812</v>
      </c>
      <c r="C1159" s="28">
        <f t="shared" si="292"/>
        <v>0.0027500000000000003</v>
      </c>
      <c r="D1159">
        <f t="shared" si="293"/>
        <v>1787</v>
      </c>
      <c r="E1159">
        <f t="shared" si="294"/>
        <v>53808</v>
      </c>
    </row>
    <row r="1160" spans="1:5" ht="15">
      <c r="A1160" t="s">
        <v>151</v>
      </c>
      <c r="B1160">
        <f t="shared" si="291"/>
        <v>649812</v>
      </c>
      <c r="C1160" s="28">
        <f t="shared" si="292"/>
        <v>0.0027500000000000003</v>
      </c>
      <c r="D1160">
        <f t="shared" si="293"/>
        <v>1787</v>
      </c>
      <c r="E1160">
        <f t="shared" si="294"/>
        <v>55595</v>
      </c>
    </row>
    <row r="1161" spans="1:5" ht="15">
      <c r="A1161" t="s">
        <v>152</v>
      </c>
      <c r="B1161">
        <f t="shared" si="291"/>
        <v>649812</v>
      </c>
      <c r="C1161" s="28">
        <f t="shared" si="292"/>
        <v>0.0027500000000000003</v>
      </c>
      <c r="D1161">
        <f t="shared" si="293"/>
        <v>1787</v>
      </c>
      <c r="E1161">
        <f t="shared" si="294"/>
        <v>57382</v>
      </c>
    </row>
    <row r="1162" spans="1:5" ht="15">
      <c r="A1162" t="s">
        <v>153</v>
      </c>
      <c r="B1162">
        <f t="shared" si="291"/>
        <v>649812</v>
      </c>
      <c r="C1162" s="28">
        <f t="shared" si="292"/>
        <v>0.0027500000000000003</v>
      </c>
      <c r="D1162">
        <f t="shared" si="293"/>
        <v>1787</v>
      </c>
      <c r="E1162">
        <f t="shared" si="294"/>
        <v>59169</v>
      </c>
    </row>
    <row r="1163" spans="1:5" ht="15">
      <c r="A1163" t="s">
        <v>154</v>
      </c>
      <c r="B1163">
        <f t="shared" si="291"/>
        <v>649812</v>
      </c>
      <c r="C1163" s="28">
        <f t="shared" si="292"/>
        <v>0.0027500000000000003</v>
      </c>
      <c r="D1163">
        <f t="shared" si="293"/>
        <v>1787</v>
      </c>
      <c r="E1163">
        <f t="shared" si="294"/>
        <v>60956</v>
      </c>
    </row>
    <row r="1164" spans="1:5" ht="15">
      <c r="A1164" t="s">
        <v>155</v>
      </c>
      <c r="B1164">
        <f t="shared" si="291"/>
        <v>649812</v>
      </c>
      <c r="C1164" s="28">
        <f t="shared" si="292"/>
        <v>0.0027500000000000003</v>
      </c>
      <c r="D1164">
        <f t="shared" si="293"/>
        <v>1787</v>
      </c>
      <c r="E1164">
        <f t="shared" si="294"/>
        <v>62743</v>
      </c>
    </row>
    <row r="1165" spans="1:5" ht="15">
      <c r="A1165" t="s">
        <v>156</v>
      </c>
      <c r="B1165">
        <f t="shared" si="291"/>
        <v>649812</v>
      </c>
      <c r="C1165" s="28">
        <f t="shared" si="292"/>
        <v>0.0027500000000000003</v>
      </c>
      <c r="D1165">
        <f t="shared" si="293"/>
        <v>1787</v>
      </c>
      <c r="E1165">
        <f t="shared" si="294"/>
        <v>64530</v>
      </c>
    </row>
    <row r="1166" ht="15">
      <c r="C1166" s="28"/>
    </row>
    <row r="1167" spans="1:5" ht="15">
      <c r="A1167" t="s">
        <v>157</v>
      </c>
      <c r="B1167">
        <f aca="true" t="shared" si="295" ref="B1167:B1178">$B$1130</f>
        <v>649812</v>
      </c>
      <c r="C1167" s="28">
        <f aca="true" t="shared" si="296" ref="C1167:C1178">0.033/12</f>
        <v>0.0027500000000000003</v>
      </c>
      <c r="D1167">
        <f aca="true" t="shared" si="297" ref="D1167:D1178">ROUND((B1167*C1167),0)</f>
        <v>1787</v>
      </c>
      <c r="E1167">
        <f>ROUND(E1165+D1167,0)</f>
        <v>66317</v>
      </c>
    </row>
    <row r="1168" spans="1:5" ht="15">
      <c r="A1168" t="s">
        <v>158</v>
      </c>
      <c r="B1168">
        <f t="shared" si="295"/>
        <v>649812</v>
      </c>
      <c r="C1168" s="28">
        <f t="shared" si="296"/>
        <v>0.0027500000000000003</v>
      </c>
      <c r="D1168">
        <f t="shared" si="297"/>
        <v>1787</v>
      </c>
      <c r="E1168">
        <f aca="true" t="shared" si="298" ref="E1168:E1178">ROUND(E1167+D1168,0)</f>
        <v>68104</v>
      </c>
    </row>
    <row r="1169" spans="1:5" ht="15">
      <c r="A1169" t="s">
        <v>159</v>
      </c>
      <c r="B1169">
        <f t="shared" si="295"/>
        <v>649812</v>
      </c>
      <c r="C1169" s="28">
        <f t="shared" si="296"/>
        <v>0.0027500000000000003</v>
      </c>
      <c r="D1169">
        <f t="shared" si="297"/>
        <v>1787</v>
      </c>
      <c r="E1169">
        <f t="shared" si="298"/>
        <v>69891</v>
      </c>
    </row>
    <row r="1170" spans="1:5" ht="15">
      <c r="A1170" t="s">
        <v>160</v>
      </c>
      <c r="B1170">
        <f t="shared" si="295"/>
        <v>649812</v>
      </c>
      <c r="C1170" s="28">
        <f t="shared" si="296"/>
        <v>0.0027500000000000003</v>
      </c>
      <c r="D1170">
        <f t="shared" si="297"/>
        <v>1787</v>
      </c>
      <c r="E1170">
        <f t="shared" si="298"/>
        <v>71678</v>
      </c>
    </row>
    <row r="1171" spans="1:5" ht="15">
      <c r="A1171" t="s">
        <v>161</v>
      </c>
      <c r="B1171">
        <f t="shared" si="295"/>
        <v>649812</v>
      </c>
      <c r="C1171" s="28">
        <f t="shared" si="296"/>
        <v>0.0027500000000000003</v>
      </c>
      <c r="D1171">
        <f t="shared" si="297"/>
        <v>1787</v>
      </c>
      <c r="E1171">
        <f t="shared" si="298"/>
        <v>73465</v>
      </c>
    </row>
    <row r="1172" spans="1:5" ht="15">
      <c r="A1172" t="s">
        <v>162</v>
      </c>
      <c r="B1172">
        <f t="shared" si="295"/>
        <v>649812</v>
      </c>
      <c r="C1172" s="28">
        <f t="shared" si="296"/>
        <v>0.0027500000000000003</v>
      </c>
      <c r="D1172">
        <f t="shared" si="297"/>
        <v>1787</v>
      </c>
      <c r="E1172">
        <f t="shared" si="298"/>
        <v>75252</v>
      </c>
    </row>
    <row r="1173" spans="1:5" ht="15">
      <c r="A1173" t="s">
        <v>163</v>
      </c>
      <c r="B1173">
        <f t="shared" si="295"/>
        <v>649812</v>
      </c>
      <c r="C1173" s="28">
        <f t="shared" si="296"/>
        <v>0.0027500000000000003</v>
      </c>
      <c r="D1173">
        <f t="shared" si="297"/>
        <v>1787</v>
      </c>
      <c r="E1173">
        <f t="shared" si="298"/>
        <v>77039</v>
      </c>
    </row>
    <row r="1174" spans="1:5" ht="15">
      <c r="A1174" t="s">
        <v>164</v>
      </c>
      <c r="B1174">
        <f t="shared" si="295"/>
        <v>649812</v>
      </c>
      <c r="C1174" s="28">
        <f t="shared" si="296"/>
        <v>0.0027500000000000003</v>
      </c>
      <c r="D1174">
        <f t="shared" si="297"/>
        <v>1787</v>
      </c>
      <c r="E1174">
        <f t="shared" si="298"/>
        <v>78826</v>
      </c>
    </row>
    <row r="1175" spans="1:5" ht="15">
      <c r="A1175" t="s">
        <v>165</v>
      </c>
      <c r="B1175">
        <f t="shared" si="295"/>
        <v>649812</v>
      </c>
      <c r="C1175" s="28">
        <f t="shared" si="296"/>
        <v>0.0027500000000000003</v>
      </c>
      <c r="D1175">
        <f t="shared" si="297"/>
        <v>1787</v>
      </c>
      <c r="E1175">
        <f t="shared" si="298"/>
        <v>80613</v>
      </c>
    </row>
    <row r="1176" spans="1:5" ht="15">
      <c r="A1176" t="s">
        <v>166</v>
      </c>
      <c r="B1176">
        <f t="shared" si="295"/>
        <v>649812</v>
      </c>
      <c r="C1176" s="28">
        <f t="shared" si="296"/>
        <v>0.0027500000000000003</v>
      </c>
      <c r="D1176">
        <f t="shared" si="297"/>
        <v>1787</v>
      </c>
      <c r="E1176">
        <f t="shared" si="298"/>
        <v>82400</v>
      </c>
    </row>
    <row r="1177" spans="1:5" ht="15">
      <c r="A1177" t="s">
        <v>167</v>
      </c>
      <c r="B1177">
        <f t="shared" si="295"/>
        <v>649812</v>
      </c>
      <c r="C1177" s="28">
        <f t="shared" si="296"/>
        <v>0.0027500000000000003</v>
      </c>
      <c r="D1177">
        <f t="shared" si="297"/>
        <v>1787</v>
      </c>
      <c r="E1177">
        <f t="shared" si="298"/>
        <v>84187</v>
      </c>
    </row>
    <row r="1178" spans="1:5" ht="15">
      <c r="A1178" t="s">
        <v>168</v>
      </c>
      <c r="B1178">
        <f t="shared" si="295"/>
        <v>649812</v>
      </c>
      <c r="C1178" s="28">
        <f t="shared" si="296"/>
        <v>0.0027500000000000003</v>
      </c>
      <c r="D1178">
        <f t="shared" si="297"/>
        <v>1787</v>
      </c>
      <c r="E1178">
        <f t="shared" si="298"/>
        <v>85974</v>
      </c>
    </row>
    <row r="1183" ht="15">
      <c r="A1183" t="s">
        <v>252</v>
      </c>
    </row>
    <row r="1185" spans="2:4" ht="15">
      <c r="B1185" s="29" t="s">
        <v>115</v>
      </c>
      <c r="C1185" s="29" t="s">
        <v>116</v>
      </c>
      <c r="D1185" s="29" t="s">
        <v>116</v>
      </c>
    </row>
    <row r="1186" spans="3:5" ht="15">
      <c r="C1186" s="29" t="s">
        <v>117</v>
      </c>
      <c r="D1186" s="29" t="s">
        <v>118</v>
      </c>
      <c r="E1186" s="29" t="s">
        <v>119</v>
      </c>
    </row>
    <row r="1187" spans="1:5" ht="15">
      <c r="A1187" t="s">
        <v>120</v>
      </c>
      <c r="B1187">
        <v>714622</v>
      </c>
      <c r="C1187" s="28">
        <f>0.037/12</f>
        <v>0.0030833333333333338</v>
      </c>
      <c r="D1187">
        <f>ROUND(+B1187*C1187,0)/2</f>
        <v>1101.5</v>
      </c>
      <c r="E1187">
        <f>D1187</f>
        <v>1101.5</v>
      </c>
    </row>
    <row r="1189" spans="1:5" ht="15">
      <c r="A1189" t="s">
        <v>121</v>
      </c>
      <c r="B1189">
        <f aca="true" t="shared" si="299" ref="B1189:B1200">$B$1187</f>
        <v>714622</v>
      </c>
      <c r="C1189" s="28">
        <f aca="true" t="shared" si="300" ref="C1189:C1200">0.037/12</f>
        <v>0.0030833333333333338</v>
      </c>
      <c r="D1189">
        <f aca="true" t="shared" si="301" ref="D1189:D1200">ROUND(+B1189*C1189,0)</f>
        <v>2203</v>
      </c>
      <c r="E1189">
        <f>E1187+D1189</f>
        <v>3304.5</v>
      </c>
    </row>
    <row r="1190" spans="1:5" ht="15">
      <c r="A1190" t="s">
        <v>122</v>
      </c>
      <c r="B1190">
        <f t="shared" si="299"/>
        <v>714622</v>
      </c>
      <c r="C1190" s="28">
        <f t="shared" si="300"/>
        <v>0.0030833333333333338</v>
      </c>
      <c r="D1190">
        <f t="shared" si="301"/>
        <v>2203</v>
      </c>
      <c r="E1190">
        <f aca="true" t="shared" si="302" ref="E1190:E1200">E1189+D1190</f>
        <v>5507.5</v>
      </c>
    </row>
    <row r="1191" spans="1:5" ht="15">
      <c r="A1191" t="s">
        <v>123</v>
      </c>
      <c r="B1191">
        <f t="shared" si="299"/>
        <v>714622</v>
      </c>
      <c r="C1191" s="28">
        <f t="shared" si="300"/>
        <v>0.0030833333333333338</v>
      </c>
      <c r="D1191">
        <f t="shared" si="301"/>
        <v>2203</v>
      </c>
      <c r="E1191">
        <f t="shared" si="302"/>
        <v>7710.5</v>
      </c>
    </row>
    <row r="1192" spans="1:5" ht="15">
      <c r="A1192" t="s">
        <v>124</v>
      </c>
      <c r="B1192">
        <f t="shared" si="299"/>
        <v>714622</v>
      </c>
      <c r="C1192" s="28">
        <f t="shared" si="300"/>
        <v>0.0030833333333333338</v>
      </c>
      <c r="D1192">
        <f t="shared" si="301"/>
        <v>2203</v>
      </c>
      <c r="E1192">
        <f t="shared" si="302"/>
        <v>9913.5</v>
      </c>
    </row>
    <row r="1193" spans="1:5" ht="15">
      <c r="A1193" t="s">
        <v>125</v>
      </c>
      <c r="B1193">
        <f t="shared" si="299"/>
        <v>714622</v>
      </c>
      <c r="C1193" s="28">
        <f t="shared" si="300"/>
        <v>0.0030833333333333338</v>
      </c>
      <c r="D1193">
        <f t="shared" si="301"/>
        <v>2203</v>
      </c>
      <c r="E1193">
        <f t="shared" si="302"/>
        <v>12116.5</v>
      </c>
    </row>
    <row r="1194" spans="1:5" ht="15">
      <c r="A1194" t="s">
        <v>126</v>
      </c>
      <c r="B1194">
        <f t="shared" si="299"/>
        <v>714622</v>
      </c>
      <c r="C1194" s="28">
        <f t="shared" si="300"/>
        <v>0.0030833333333333338</v>
      </c>
      <c r="D1194">
        <f t="shared" si="301"/>
        <v>2203</v>
      </c>
      <c r="E1194">
        <f t="shared" si="302"/>
        <v>14319.5</v>
      </c>
    </row>
    <row r="1195" spans="1:5" ht="15">
      <c r="A1195" t="s">
        <v>127</v>
      </c>
      <c r="B1195">
        <f t="shared" si="299"/>
        <v>714622</v>
      </c>
      <c r="C1195" s="28">
        <f t="shared" si="300"/>
        <v>0.0030833333333333338</v>
      </c>
      <c r="D1195">
        <f t="shared" si="301"/>
        <v>2203</v>
      </c>
      <c r="E1195">
        <f t="shared" si="302"/>
        <v>16522.5</v>
      </c>
    </row>
    <row r="1196" spans="1:5" ht="15">
      <c r="A1196" t="s">
        <v>128</v>
      </c>
      <c r="B1196">
        <f t="shared" si="299"/>
        <v>714622</v>
      </c>
      <c r="C1196" s="28">
        <f t="shared" si="300"/>
        <v>0.0030833333333333338</v>
      </c>
      <c r="D1196">
        <f t="shared" si="301"/>
        <v>2203</v>
      </c>
      <c r="E1196">
        <f t="shared" si="302"/>
        <v>18725.5</v>
      </c>
    </row>
    <row r="1197" spans="1:5" ht="15">
      <c r="A1197" t="s">
        <v>129</v>
      </c>
      <c r="B1197">
        <f t="shared" si="299"/>
        <v>714622</v>
      </c>
      <c r="C1197" s="28">
        <f t="shared" si="300"/>
        <v>0.0030833333333333338</v>
      </c>
      <c r="D1197">
        <f t="shared" si="301"/>
        <v>2203</v>
      </c>
      <c r="E1197">
        <f t="shared" si="302"/>
        <v>20928.5</v>
      </c>
    </row>
    <row r="1198" spans="1:5" ht="15">
      <c r="A1198" t="s">
        <v>130</v>
      </c>
      <c r="B1198">
        <f t="shared" si="299"/>
        <v>714622</v>
      </c>
      <c r="C1198" s="28">
        <f t="shared" si="300"/>
        <v>0.0030833333333333338</v>
      </c>
      <c r="D1198">
        <f t="shared" si="301"/>
        <v>2203</v>
      </c>
      <c r="E1198">
        <f t="shared" si="302"/>
        <v>23131.5</v>
      </c>
    </row>
    <row r="1199" spans="1:5" ht="15">
      <c r="A1199" t="s">
        <v>131</v>
      </c>
      <c r="B1199">
        <f t="shared" si="299"/>
        <v>714622</v>
      </c>
      <c r="C1199" s="28">
        <f t="shared" si="300"/>
        <v>0.0030833333333333338</v>
      </c>
      <c r="D1199">
        <f t="shared" si="301"/>
        <v>2203</v>
      </c>
      <c r="E1199">
        <f t="shared" si="302"/>
        <v>25334.5</v>
      </c>
    </row>
    <row r="1200" spans="1:5" ht="15">
      <c r="A1200" t="s">
        <v>132</v>
      </c>
      <c r="B1200">
        <f t="shared" si="299"/>
        <v>714622</v>
      </c>
      <c r="C1200" s="28">
        <f t="shared" si="300"/>
        <v>0.0030833333333333338</v>
      </c>
      <c r="D1200">
        <f t="shared" si="301"/>
        <v>2203</v>
      </c>
      <c r="E1200">
        <f t="shared" si="302"/>
        <v>27537.5</v>
      </c>
    </row>
    <row r="1202" spans="1:5" ht="15">
      <c r="A1202" t="s">
        <v>133</v>
      </c>
      <c r="B1202">
        <f aca="true" t="shared" si="303" ref="B1202:B1213">$B$1187</f>
        <v>714622</v>
      </c>
      <c r="C1202" s="28">
        <f aca="true" t="shared" si="304" ref="C1202:C1213">0.037/12</f>
        <v>0.0030833333333333338</v>
      </c>
      <c r="D1202">
        <f aca="true" t="shared" si="305" ref="D1202:D1213">ROUND(+B1202*C1202,0)</f>
        <v>2203</v>
      </c>
      <c r="E1202">
        <f>E1200+D1202</f>
        <v>29740.5</v>
      </c>
    </row>
    <row r="1203" spans="1:5" ht="15">
      <c r="A1203" t="s">
        <v>134</v>
      </c>
      <c r="B1203">
        <f t="shared" si="303"/>
        <v>714622</v>
      </c>
      <c r="C1203" s="28">
        <f t="shared" si="304"/>
        <v>0.0030833333333333338</v>
      </c>
      <c r="D1203">
        <f t="shared" si="305"/>
        <v>2203</v>
      </c>
      <c r="E1203">
        <f aca="true" t="shared" si="306" ref="E1203:E1213">ROUND(E1202+D1203,0)</f>
        <v>31944</v>
      </c>
    </row>
    <row r="1204" spans="1:5" ht="15">
      <c r="A1204" t="s">
        <v>135</v>
      </c>
      <c r="B1204">
        <f t="shared" si="303"/>
        <v>714622</v>
      </c>
      <c r="C1204" s="28">
        <f t="shared" si="304"/>
        <v>0.0030833333333333338</v>
      </c>
      <c r="D1204">
        <f t="shared" si="305"/>
        <v>2203</v>
      </c>
      <c r="E1204">
        <f t="shared" si="306"/>
        <v>34147</v>
      </c>
    </row>
    <row r="1205" spans="1:5" ht="15">
      <c r="A1205" t="s">
        <v>136</v>
      </c>
      <c r="B1205">
        <f t="shared" si="303"/>
        <v>714622</v>
      </c>
      <c r="C1205" s="28">
        <f t="shared" si="304"/>
        <v>0.0030833333333333338</v>
      </c>
      <c r="D1205">
        <f t="shared" si="305"/>
        <v>2203</v>
      </c>
      <c r="E1205">
        <f t="shared" si="306"/>
        <v>36350</v>
      </c>
    </row>
    <row r="1206" spans="1:5" ht="15">
      <c r="A1206" t="s">
        <v>137</v>
      </c>
      <c r="B1206">
        <f t="shared" si="303"/>
        <v>714622</v>
      </c>
      <c r="C1206" s="28">
        <f t="shared" si="304"/>
        <v>0.0030833333333333338</v>
      </c>
      <c r="D1206">
        <f t="shared" si="305"/>
        <v>2203</v>
      </c>
      <c r="E1206">
        <f t="shared" si="306"/>
        <v>38553</v>
      </c>
    </row>
    <row r="1207" spans="1:5" ht="15">
      <c r="A1207" t="s">
        <v>138</v>
      </c>
      <c r="B1207">
        <f t="shared" si="303"/>
        <v>714622</v>
      </c>
      <c r="C1207" s="28">
        <f t="shared" si="304"/>
        <v>0.0030833333333333338</v>
      </c>
      <c r="D1207">
        <f t="shared" si="305"/>
        <v>2203</v>
      </c>
      <c r="E1207">
        <f t="shared" si="306"/>
        <v>40756</v>
      </c>
    </row>
    <row r="1208" spans="1:5" ht="15">
      <c r="A1208" t="s">
        <v>139</v>
      </c>
      <c r="B1208">
        <f t="shared" si="303"/>
        <v>714622</v>
      </c>
      <c r="C1208" s="28">
        <f t="shared" si="304"/>
        <v>0.0030833333333333338</v>
      </c>
      <c r="D1208">
        <f t="shared" si="305"/>
        <v>2203</v>
      </c>
      <c r="E1208">
        <f t="shared" si="306"/>
        <v>42959</v>
      </c>
    </row>
    <row r="1209" spans="1:5" ht="15">
      <c r="A1209" t="s">
        <v>140</v>
      </c>
      <c r="B1209">
        <f t="shared" si="303"/>
        <v>714622</v>
      </c>
      <c r="C1209" s="28">
        <f t="shared" si="304"/>
        <v>0.0030833333333333338</v>
      </c>
      <c r="D1209">
        <f t="shared" si="305"/>
        <v>2203</v>
      </c>
      <c r="E1209">
        <f t="shared" si="306"/>
        <v>45162</v>
      </c>
    </row>
    <row r="1210" spans="1:5" ht="15">
      <c r="A1210" t="s">
        <v>141</v>
      </c>
      <c r="B1210">
        <f t="shared" si="303"/>
        <v>714622</v>
      </c>
      <c r="C1210" s="28">
        <f t="shared" si="304"/>
        <v>0.0030833333333333338</v>
      </c>
      <c r="D1210">
        <f t="shared" si="305"/>
        <v>2203</v>
      </c>
      <c r="E1210">
        <f t="shared" si="306"/>
        <v>47365</v>
      </c>
    </row>
    <row r="1211" spans="1:5" ht="15">
      <c r="A1211" t="s">
        <v>142</v>
      </c>
      <c r="B1211">
        <f t="shared" si="303"/>
        <v>714622</v>
      </c>
      <c r="C1211" s="28">
        <f t="shared" si="304"/>
        <v>0.0030833333333333338</v>
      </c>
      <c r="D1211">
        <f t="shared" si="305"/>
        <v>2203</v>
      </c>
      <c r="E1211">
        <f t="shared" si="306"/>
        <v>49568</v>
      </c>
    </row>
    <row r="1212" spans="1:5" ht="15">
      <c r="A1212" t="s">
        <v>143</v>
      </c>
      <c r="B1212">
        <f t="shared" si="303"/>
        <v>714622</v>
      </c>
      <c r="C1212" s="28">
        <f t="shared" si="304"/>
        <v>0.0030833333333333338</v>
      </c>
      <c r="D1212">
        <f t="shared" si="305"/>
        <v>2203</v>
      </c>
      <c r="E1212">
        <f t="shared" si="306"/>
        <v>51771</v>
      </c>
    </row>
    <row r="1213" spans="1:5" ht="15">
      <c r="A1213" t="s">
        <v>144</v>
      </c>
      <c r="B1213">
        <f t="shared" si="303"/>
        <v>714622</v>
      </c>
      <c r="C1213" s="28">
        <f t="shared" si="304"/>
        <v>0.0030833333333333338</v>
      </c>
      <c r="D1213">
        <f t="shared" si="305"/>
        <v>2203</v>
      </c>
      <c r="E1213">
        <f t="shared" si="306"/>
        <v>53974</v>
      </c>
    </row>
    <row r="1215" spans="1:5" ht="15">
      <c r="A1215" t="s">
        <v>145</v>
      </c>
      <c r="B1215">
        <f aca="true" t="shared" si="307" ref="B1215:B1226">$B$1187</f>
        <v>714622</v>
      </c>
      <c r="C1215" s="28">
        <f aca="true" t="shared" si="308" ref="C1215:C1226">0.033/12</f>
        <v>0.0027500000000000003</v>
      </c>
      <c r="D1215">
        <f aca="true" t="shared" si="309" ref="D1215:D1226">ROUND(+B1215*C1215,0)</f>
        <v>1965</v>
      </c>
      <c r="E1215">
        <f>ROUND(E1213+D1215,0)</f>
        <v>55939</v>
      </c>
    </row>
    <row r="1216" spans="1:5" ht="15">
      <c r="A1216" t="s">
        <v>146</v>
      </c>
      <c r="B1216">
        <f t="shared" si="307"/>
        <v>714622</v>
      </c>
      <c r="C1216" s="28">
        <f t="shared" si="308"/>
        <v>0.0027500000000000003</v>
      </c>
      <c r="D1216">
        <f t="shared" si="309"/>
        <v>1965</v>
      </c>
      <c r="E1216">
        <f aca="true" t="shared" si="310" ref="E1216:E1226">ROUND(E1215+D1216,0)</f>
        <v>57904</v>
      </c>
    </row>
    <row r="1217" spans="1:5" ht="15">
      <c r="A1217" t="s">
        <v>147</v>
      </c>
      <c r="B1217">
        <f t="shared" si="307"/>
        <v>714622</v>
      </c>
      <c r="C1217" s="28">
        <f t="shared" si="308"/>
        <v>0.0027500000000000003</v>
      </c>
      <c r="D1217">
        <f t="shared" si="309"/>
        <v>1965</v>
      </c>
      <c r="E1217">
        <f t="shared" si="310"/>
        <v>59869</v>
      </c>
    </row>
    <row r="1218" spans="1:5" ht="15">
      <c r="A1218" t="s">
        <v>148</v>
      </c>
      <c r="B1218">
        <f t="shared" si="307"/>
        <v>714622</v>
      </c>
      <c r="C1218" s="28">
        <f t="shared" si="308"/>
        <v>0.0027500000000000003</v>
      </c>
      <c r="D1218">
        <f t="shared" si="309"/>
        <v>1965</v>
      </c>
      <c r="E1218">
        <f t="shared" si="310"/>
        <v>61834</v>
      </c>
    </row>
    <row r="1219" spans="1:5" ht="15">
      <c r="A1219" t="s">
        <v>149</v>
      </c>
      <c r="B1219">
        <f t="shared" si="307"/>
        <v>714622</v>
      </c>
      <c r="C1219" s="28">
        <f t="shared" si="308"/>
        <v>0.0027500000000000003</v>
      </c>
      <c r="D1219">
        <f t="shared" si="309"/>
        <v>1965</v>
      </c>
      <c r="E1219">
        <f t="shared" si="310"/>
        <v>63799</v>
      </c>
    </row>
    <row r="1220" spans="1:5" ht="15">
      <c r="A1220" t="s">
        <v>150</v>
      </c>
      <c r="B1220">
        <f t="shared" si="307"/>
        <v>714622</v>
      </c>
      <c r="C1220" s="28">
        <f t="shared" si="308"/>
        <v>0.0027500000000000003</v>
      </c>
      <c r="D1220">
        <f t="shared" si="309"/>
        <v>1965</v>
      </c>
      <c r="E1220">
        <f t="shared" si="310"/>
        <v>65764</v>
      </c>
    </row>
    <row r="1221" spans="1:5" ht="15">
      <c r="A1221" t="s">
        <v>151</v>
      </c>
      <c r="B1221">
        <f t="shared" si="307"/>
        <v>714622</v>
      </c>
      <c r="C1221" s="28">
        <f t="shared" si="308"/>
        <v>0.0027500000000000003</v>
      </c>
      <c r="D1221">
        <f t="shared" si="309"/>
        <v>1965</v>
      </c>
      <c r="E1221">
        <f t="shared" si="310"/>
        <v>67729</v>
      </c>
    </row>
    <row r="1222" spans="1:5" ht="15">
      <c r="A1222" t="s">
        <v>152</v>
      </c>
      <c r="B1222">
        <f t="shared" si="307"/>
        <v>714622</v>
      </c>
      <c r="C1222" s="28">
        <f t="shared" si="308"/>
        <v>0.0027500000000000003</v>
      </c>
      <c r="D1222">
        <f t="shared" si="309"/>
        <v>1965</v>
      </c>
      <c r="E1222">
        <f t="shared" si="310"/>
        <v>69694</v>
      </c>
    </row>
    <row r="1223" spans="1:5" ht="15">
      <c r="A1223" t="s">
        <v>153</v>
      </c>
      <c r="B1223">
        <f t="shared" si="307"/>
        <v>714622</v>
      </c>
      <c r="C1223" s="28">
        <f t="shared" si="308"/>
        <v>0.0027500000000000003</v>
      </c>
      <c r="D1223">
        <f t="shared" si="309"/>
        <v>1965</v>
      </c>
      <c r="E1223">
        <f t="shared" si="310"/>
        <v>71659</v>
      </c>
    </row>
    <row r="1224" spans="1:5" ht="15">
      <c r="A1224" t="s">
        <v>154</v>
      </c>
      <c r="B1224">
        <f t="shared" si="307"/>
        <v>714622</v>
      </c>
      <c r="C1224" s="28">
        <f t="shared" si="308"/>
        <v>0.0027500000000000003</v>
      </c>
      <c r="D1224">
        <f t="shared" si="309"/>
        <v>1965</v>
      </c>
      <c r="E1224">
        <f t="shared" si="310"/>
        <v>73624</v>
      </c>
    </row>
    <row r="1225" spans="1:5" ht="15">
      <c r="A1225" t="s">
        <v>155</v>
      </c>
      <c r="B1225">
        <f t="shared" si="307"/>
        <v>714622</v>
      </c>
      <c r="C1225" s="28">
        <f t="shared" si="308"/>
        <v>0.0027500000000000003</v>
      </c>
      <c r="D1225">
        <f t="shared" si="309"/>
        <v>1965</v>
      </c>
      <c r="E1225">
        <f t="shared" si="310"/>
        <v>75589</v>
      </c>
    </row>
    <row r="1226" spans="1:5" ht="15">
      <c r="A1226" t="s">
        <v>156</v>
      </c>
      <c r="B1226">
        <f t="shared" si="307"/>
        <v>714622</v>
      </c>
      <c r="C1226" s="28">
        <f t="shared" si="308"/>
        <v>0.0027500000000000003</v>
      </c>
      <c r="D1226">
        <f t="shared" si="309"/>
        <v>1965</v>
      </c>
      <c r="E1226">
        <f t="shared" si="310"/>
        <v>77554</v>
      </c>
    </row>
    <row r="1227" ht="15">
      <c r="C1227" s="28"/>
    </row>
    <row r="1228" spans="1:5" ht="15">
      <c r="A1228" t="s">
        <v>157</v>
      </c>
      <c r="B1228">
        <f aca="true" t="shared" si="311" ref="B1228:B1239">$B$1187</f>
        <v>714622</v>
      </c>
      <c r="C1228" s="28">
        <f aca="true" t="shared" si="312" ref="C1228:C1239">0.033/12</f>
        <v>0.0027500000000000003</v>
      </c>
      <c r="D1228">
        <f aca="true" t="shared" si="313" ref="D1228:D1239">ROUND(+B1228*C1228,0)</f>
        <v>1965</v>
      </c>
      <c r="E1228">
        <f>ROUND(E1226+D1228,0)</f>
        <v>79519</v>
      </c>
    </row>
    <row r="1229" spans="1:5" ht="15">
      <c r="A1229" t="s">
        <v>158</v>
      </c>
      <c r="B1229">
        <f t="shared" si="311"/>
        <v>714622</v>
      </c>
      <c r="C1229" s="28">
        <f t="shared" si="312"/>
        <v>0.0027500000000000003</v>
      </c>
      <c r="D1229">
        <f t="shared" si="313"/>
        <v>1965</v>
      </c>
      <c r="E1229">
        <f aca="true" t="shared" si="314" ref="E1229:E1239">ROUND(E1228+D1229,0)</f>
        <v>81484</v>
      </c>
    </row>
    <row r="1230" spans="1:5" ht="15">
      <c r="A1230" t="s">
        <v>159</v>
      </c>
      <c r="B1230">
        <f t="shared" si="311"/>
        <v>714622</v>
      </c>
      <c r="C1230" s="28">
        <f t="shared" si="312"/>
        <v>0.0027500000000000003</v>
      </c>
      <c r="D1230">
        <f t="shared" si="313"/>
        <v>1965</v>
      </c>
      <c r="E1230">
        <f t="shared" si="314"/>
        <v>83449</v>
      </c>
    </row>
    <row r="1231" spans="1:5" ht="15">
      <c r="A1231" t="s">
        <v>160</v>
      </c>
      <c r="B1231">
        <f t="shared" si="311"/>
        <v>714622</v>
      </c>
      <c r="C1231" s="28">
        <f t="shared" si="312"/>
        <v>0.0027500000000000003</v>
      </c>
      <c r="D1231">
        <f t="shared" si="313"/>
        <v>1965</v>
      </c>
      <c r="E1231">
        <f t="shared" si="314"/>
        <v>85414</v>
      </c>
    </row>
    <row r="1232" spans="1:5" ht="15">
      <c r="A1232" t="s">
        <v>161</v>
      </c>
      <c r="B1232">
        <f t="shared" si="311"/>
        <v>714622</v>
      </c>
      <c r="C1232" s="28">
        <f t="shared" si="312"/>
        <v>0.0027500000000000003</v>
      </c>
      <c r="D1232">
        <f t="shared" si="313"/>
        <v>1965</v>
      </c>
      <c r="E1232">
        <f t="shared" si="314"/>
        <v>87379</v>
      </c>
    </row>
    <row r="1233" spans="1:5" ht="15">
      <c r="A1233" t="s">
        <v>162</v>
      </c>
      <c r="B1233">
        <f t="shared" si="311"/>
        <v>714622</v>
      </c>
      <c r="C1233" s="28">
        <f t="shared" si="312"/>
        <v>0.0027500000000000003</v>
      </c>
      <c r="D1233">
        <f t="shared" si="313"/>
        <v>1965</v>
      </c>
      <c r="E1233">
        <f t="shared" si="314"/>
        <v>89344</v>
      </c>
    </row>
    <row r="1234" spans="1:5" ht="15">
      <c r="A1234" t="s">
        <v>163</v>
      </c>
      <c r="B1234">
        <f t="shared" si="311"/>
        <v>714622</v>
      </c>
      <c r="C1234" s="28">
        <f t="shared" si="312"/>
        <v>0.0027500000000000003</v>
      </c>
      <c r="D1234">
        <f t="shared" si="313"/>
        <v>1965</v>
      </c>
      <c r="E1234">
        <f t="shared" si="314"/>
        <v>91309</v>
      </c>
    </row>
    <row r="1235" spans="1:5" ht="15">
      <c r="A1235" t="s">
        <v>164</v>
      </c>
      <c r="B1235">
        <f t="shared" si="311"/>
        <v>714622</v>
      </c>
      <c r="C1235" s="28">
        <f t="shared" si="312"/>
        <v>0.0027500000000000003</v>
      </c>
      <c r="D1235">
        <f t="shared" si="313"/>
        <v>1965</v>
      </c>
      <c r="E1235">
        <f t="shared" si="314"/>
        <v>93274</v>
      </c>
    </row>
    <row r="1236" spans="1:5" ht="15">
      <c r="A1236" t="s">
        <v>165</v>
      </c>
      <c r="B1236">
        <f t="shared" si="311"/>
        <v>714622</v>
      </c>
      <c r="C1236" s="28">
        <f t="shared" si="312"/>
        <v>0.0027500000000000003</v>
      </c>
      <c r="D1236">
        <f t="shared" si="313"/>
        <v>1965</v>
      </c>
      <c r="E1236">
        <f t="shared" si="314"/>
        <v>95239</v>
      </c>
    </row>
    <row r="1237" spans="1:5" ht="15">
      <c r="A1237" t="s">
        <v>166</v>
      </c>
      <c r="B1237">
        <f t="shared" si="311"/>
        <v>714622</v>
      </c>
      <c r="C1237" s="28">
        <f t="shared" si="312"/>
        <v>0.0027500000000000003</v>
      </c>
      <c r="D1237">
        <f t="shared" si="313"/>
        <v>1965</v>
      </c>
      <c r="E1237">
        <f t="shared" si="314"/>
        <v>97204</v>
      </c>
    </row>
    <row r="1238" spans="1:5" ht="15">
      <c r="A1238" t="s">
        <v>167</v>
      </c>
      <c r="B1238">
        <f t="shared" si="311"/>
        <v>714622</v>
      </c>
      <c r="C1238" s="28">
        <f t="shared" si="312"/>
        <v>0.0027500000000000003</v>
      </c>
      <c r="D1238">
        <f t="shared" si="313"/>
        <v>1965</v>
      </c>
      <c r="E1238">
        <f t="shared" si="314"/>
        <v>99169</v>
      </c>
    </row>
    <row r="1239" spans="1:5" ht="15">
      <c r="A1239" t="s">
        <v>168</v>
      </c>
      <c r="B1239">
        <f t="shared" si="311"/>
        <v>714622</v>
      </c>
      <c r="C1239" s="28">
        <f t="shared" si="312"/>
        <v>0.0027500000000000003</v>
      </c>
      <c r="D1239">
        <f t="shared" si="313"/>
        <v>1965</v>
      </c>
      <c r="E1239">
        <f t="shared" si="314"/>
        <v>101134</v>
      </c>
    </row>
    <row r="1240" ht="15">
      <c r="C1240" s="28"/>
    </row>
    <row r="1245" ht="15">
      <c r="A1245" t="s">
        <v>253</v>
      </c>
    </row>
    <row r="1247" spans="2:4" ht="15">
      <c r="B1247" s="29" t="s">
        <v>115</v>
      </c>
      <c r="C1247" s="29" t="s">
        <v>116</v>
      </c>
      <c r="D1247" s="29" t="s">
        <v>116</v>
      </c>
    </row>
    <row r="1248" spans="3:5" ht="15">
      <c r="C1248" s="29" t="s">
        <v>117</v>
      </c>
      <c r="D1248" s="29" t="s">
        <v>118</v>
      </c>
      <c r="E1248" s="29" t="s">
        <v>119</v>
      </c>
    </row>
    <row r="1250" spans="1:5" ht="15">
      <c r="A1250" t="s">
        <v>144</v>
      </c>
      <c r="B1250">
        <v>969624</v>
      </c>
      <c r="C1250" s="28">
        <f>0.024/12</f>
        <v>0.002</v>
      </c>
      <c r="D1250">
        <f>ROUND((B1250*C1250)/2,0)</f>
        <v>970</v>
      </c>
      <c r="E1250">
        <f>D1250</f>
        <v>970</v>
      </c>
    </row>
    <row r="1252" spans="1:5" ht="15">
      <c r="A1252" t="s">
        <v>145</v>
      </c>
      <c r="B1252">
        <f aca="true" t="shared" si="315" ref="B1252:B1263">$B$1250</f>
        <v>969624</v>
      </c>
      <c r="C1252" s="28">
        <f aca="true" t="shared" si="316" ref="C1252:C1263">0.02/12</f>
        <v>0.0016666666666666668</v>
      </c>
      <c r="D1252">
        <f aca="true" t="shared" si="317" ref="D1252:D1263">ROUND(+B1252*C1252,0)</f>
        <v>1616</v>
      </c>
      <c r="E1252">
        <f>ROUND(E1250+D1252,0)</f>
        <v>2586</v>
      </c>
    </row>
    <row r="1253" spans="1:5" ht="15">
      <c r="A1253" t="s">
        <v>146</v>
      </c>
      <c r="B1253">
        <f t="shared" si="315"/>
        <v>969624</v>
      </c>
      <c r="C1253" s="28">
        <f t="shared" si="316"/>
        <v>0.0016666666666666668</v>
      </c>
      <c r="D1253">
        <f t="shared" si="317"/>
        <v>1616</v>
      </c>
      <c r="E1253">
        <f aca="true" t="shared" si="318" ref="E1253:E1263">ROUND(E1252+D1253,0)</f>
        <v>4202</v>
      </c>
    </row>
    <row r="1254" spans="1:5" ht="15">
      <c r="A1254" t="s">
        <v>147</v>
      </c>
      <c r="B1254">
        <f t="shared" si="315"/>
        <v>969624</v>
      </c>
      <c r="C1254" s="28">
        <f t="shared" si="316"/>
        <v>0.0016666666666666668</v>
      </c>
      <c r="D1254">
        <f t="shared" si="317"/>
        <v>1616</v>
      </c>
      <c r="E1254">
        <f t="shared" si="318"/>
        <v>5818</v>
      </c>
    </row>
    <row r="1255" spans="1:5" ht="15">
      <c r="A1255" t="s">
        <v>148</v>
      </c>
      <c r="B1255">
        <f t="shared" si="315"/>
        <v>969624</v>
      </c>
      <c r="C1255" s="28">
        <f t="shared" si="316"/>
        <v>0.0016666666666666668</v>
      </c>
      <c r="D1255">
        <f t="shared" si="317"/>
        <v>1616</v>
      </c>
      <c r="E1255">
        <f t="shared" si="318"/>
        <v>7434</v>
      </c>
    </row>
    <row r="1256" spans="1:5" ht="15">
      <c r="A1256" t="s">
        <v>149</v>
      </c>
      <c r="B1256">
        <f t="shared" si="315"/>
        <v>969624</v>
      </c>
      <c r="C1256" s="28">
        <f t="shared" si="316"/>
        <v>0.0016666666666666668</v>
      </c>
      <c r="D1256">
        <f t="shared" si="317"/>
        <v>1616</v>
      </c>
      <c r="E1256">
        <f t="shared" si="318"/>
        <v>9050</v>
      </c>
    </row>
    <row r="1257" spans="1:5" ht="15">
      <c r="A1257" t="s">
        <v>150</v>
      </c>
      <c r="B1257">
        <f t="shared" si="315"/>
        <v>969624</v>
      </c>
      <c r="C1257" s="28">
        <f t="shared" si="316"/>
        <v>0.0016666666666666668</v>
      </c>
      <c r="D1257">
        <f t="shared" si="317"/>
        <v>1616</v>
      </c>
      <c r="E1257">
        <f t="shared" si="318"/>
        <v>10666</v>
      </c>
    </row>
    <row r="1258" spans="1:5" ht="15">
      <c r="A1258" t="s">
        <v>151</v>
      </c>
      <c r="B1258">
        <f t="shared" si="315"/>
        <v>969624</v>
      </c>
      <c r="C1258" s="28">
        <f t="shared" si="316"/>
        <v>0.0016666666666666668</v>
      </c>
      <c r="D1258">
        <f t="shared" si="317"/>
        <v>1616</v>
      </c>
      <c r="E1258">
        <f t="shared" si="318"/>
        <v>12282</v>
      </c>
    </row>
    <row r="1259" spans="1:5" ht="15">
      <c r="A1259" t="s">
        <v>152</v>
      </c>
      <c r="B1259">
        <f t="shared" si="315"/>
        <v>969624</v>
      </c>
      <c r="C1259" s="28">
        <f t="shared" si="316"/>
        <v>0.0016666666666666668</v>
      </c>
      <c r="D1259">
        <f t="shared" si="317"/>
        <v>1616</v>
      </c>
      <c r="E1259">
        <f t="shared" si="318"/>
        <v>13898</v>
      </c>
    </row>
    <row r="1260" spans="1:5" ht="15">
      <c r="A1260" t="s">
        <v>153</v>
      </c>
      <c r="B1260">
        <f t="shared" si="315"/>
        <v>969624</v>
      </c>
      <c r="C1260" s="28">
        <f t="shared" si="316"/>
        <v>0.0016666666666666668</v>
      </c>
      <c r="D1260">
        <f t="shared" si="317"/>
        <v>1616</v>
      </c>
      <c r="E1260">
        <f t="shared" si="318"/>
        <v>15514</v>
      </c>
    </row>
    <row r="1261" spans="1:5" ht="15">
      <c r="A1261" t="s">
        <v>154</v>
      </c>
      <c r="B1261">
        <f t="shared" si="315"/>
        <v>969624</v>
      </c>
      <c r="C1261" s="28">
        <f t="shared" si="316"/>
        <v>0.0016666666666666668</v>
      </c>
      <c r="D1261">
        <f t="shared" si="317"/>
        <v>1616</v>
      </c>
      <c r="E1261">
        <f t="shared" si="318"/>
        <v>17130</v>
      </c>
    </row>
    <row r="1262" spans="1:5" ht="15">
      <c r="A1262" t="s">
        <v>155</v>
      </c>
      <c r="B1262">
        <f t="shared" si="315"/>
        <v>969624</v>
      </c>
      <c r="C1262" s="28">
        <f t="shared" si="316"/>
        <v>0.0016666666666666668</v>
      </c>
      <c r="D1262">
        <f t="shared" si="317"/>
        <v>1616</v>
      </c>
      <c r="E1262">
        <f t="shared" si="318"/>
        <v>18746</v>
      </c>
    </row>
    <row r="1263" spans="1:5" ht="15">
      <c r="A1263" t="s">
        <v>156</v>
      </c>
      <c r="B1263">
        <f t="shared" si="315"/>
        <v>969624</v>
      </c>
      <c r="C1263" s="28">
        <f t="shared" si="316"/>
        <v>0.0016666666666666668</v>
      </c>
      <c r="D1263">
        <f t="shared" si="317"/>
        <v>1616</v>
      </c>
      <c r="E1263">
        <f t="shared" si="318"/>
        <v>20362</v>
      </c>
    </row>
    <row r="1264" ht="15">
      <c r="C1264" s="28"/>
    </row>
    <row r="1265" spans="1:5" ht="15">
      <c r="A1265" t="s">
        <v>157</v>
      </c>
      <c r="B1265">
        <f aca="true" t="shared" si="319" ref="B1265:B1276">$B$1250</f>
        <v>969624</v>
      </c>
      <c r="C1265" s="28">
        <f aca="true" t="shared" si="320" ref="C1265:C1276">0.02/12</f>
        <v>0.0016666666666666668</v>
      </c>
      <c r="D1265">
        <f aca="true" t="shared" si="321" ref="D1265:D1276">ROUND(+B1265*C1265,0)</f>
        <v>1616</v>
      </c>
      <c r="E1265">
        <f>ROUND(E1263+D1265,0)</f>
        <v>21978</v>
      </c>
    </row>
    <row r="1266" spans="1:5" ht="15">
      <c r="A1266" t="s">
        <v>158</v>
      </c>
      <c r="B1266">
        <f t="shared" si="319"/>
        <v>969624</v>
      </c>
      <c r="C1266" s="28">
        <f t="shared" si="320"/>
        <v>0.0016666666666666668</v>
      </c>
      <c r="D1266">
        <f t="shared" si="321"/>
        <v>1616</v>
      </c>
      <c r="E1266">
        <f aca="true" t="shared" si="322" ref="E1266:E1276">ROUND(E1265+D1266,0)</f>
        <v>23594</v>
      </c>
    </row>
    <row r="1267" spans="1:5" ht="15">
      <c r="A1267" t="s">
        <v>159</v>
      </c>
      <c r="B1267">
        <f t="shared" si="319"/>
        <v>969624</v>
      </c>
      <c r="C1267" s="28">
        <f t="shared" si="320"/>
        <v>0.0016666666666666668</v>
      </c>
      <c r="D1267">
        <f t="shared" si="321"/>
        <v>1616</v>
      </c>
      <c r="E1267">
        <f t="shared" si="322"/>
        <v>25210</v>
      </c>
    </row>
    <row r="1268" spans="1:5" ht="15">
      <c r="A1268" t="s">
        <v>160</v>
      </c>
      <c r="B1268">
        <f t="shared" si="319"/>
        <v>969624</v>
      </c>
      <c r="C1268" s="28">
        <f t="shared" si="320"/>
        <v>0.0016666666666666668</v>
      </c>
      <c r="D1268">
        <f t="shared" si="321"/>
        <v>1616</v>
      </c>
      <c r="E1268">
        <f t="shared" si="322"/>
        <v>26826</v>
      </c>
    </row>
    <row r="1269" spans="1:5" ht="15">
      <c r="A1269" t="s">
        <v>161</v>
      </c>
      <c r="B1269">
        <f t="shared" si="319"/>
        <v>969624</v>
      </c>
      <c r="C1269" s="28">
        <f t="shared" si="320"/>
        <v>0.0016666666666666668</v>
      </c>
      <c r="D1269">
        <f t="shared" si="321"/>
        <v>1616</v>
      </c>
      <c r="E1269">
        <f t="shared" si="322"/>
        <v>28442</v>
      </c>
    </row>
    <row r="1270" spans="1:5" ht="15">
      <c r="A1270" t="s">
        <v>162</v>
      </c>
      <c r="B1270">
        <f t="shared" si="319"/>
        <v>969624</v>
      </c>
      <c r="C1270" s="28">
        <f t="shared" si="320"/>
        <v>0.0016666666666666668</v>
      </c>
      <c r="D1270">
        <f t="shared" si="321"/>
        <v>1616</v>
      </c>
      <c r="E1270">
        <f t="shared" si="322"/>
        <v>30058</v>
      </c>
    </row>
    <row r="1271" spans="1:5" ht="15">
      <c r="A1271" t="s">
        <v>163</v>
      </c>
      <c r="B1271">
        <f t="shared" si="319"/>
        <v>969624</v>
      </c>
      <c r="C1271" s="28">
        <f t="shared" si="320"/>
        <v>0.0016666666666666668</v>
      </c>
      <c r="D1271">
        <f t="shared" si="321"/>
        <v>1616</v>
      </c>
      <c r="E1271">
        <f t="shared" si="322"/>
        <v>31674</v>
      </c>
    </row>
    <row r="1272" spans="1:5" ht="15">
      <c r="A1272" t="s">
        <v>164</v>
      </c>
      <c r="B1272">
        <f t="shared" si="319"/>
        <v>969624</v>
      </c>
      <c r="C1272" s="28">
        <f t="shared" si="320"/>
        <v>0.0016666666666666668</v>
      </c>
      <c r="D1272">
        <f t="shared" si="321"/>
        <v>1616</v>
      </c>
      <c r="E1272">
        <f t="shared" si="322"/>
        <v>33290</v>
      </c>
    </row>
    <row r="1273" spans="1:5" ht="15">
      <c r="A1273" t="s">
        <v>165</v>
      </c>
      <c r="B1273">
        <f t="shared" si="319"/>
        <v>969624</v>
      </c>
      <c r="C1273" s="28">
        <f t="shared" si="320"/>
        <v>0.0016666666666666668</v>
      </c>
      <c r="D1273">
        <f t="shared" si="321"/>
        <v>1616</v>
      </c>
      <c r="E1273">
        <f t="shared" si="322"/>
        <v>34906</v>
      </c>
    </row>
    <row r="1274" spans="1:5" ht="15">
      <c r="A1274" t="s">
        <v>166</v>
      </c>
      <c r="B1274">
        <f t="shared" si="319"/>
        <v>969624</v>
      </c>
      <c r="C1274" s="28">
        <f t="shared" si="320"/>
        <v>0.0016666666666666668</v>
      </c>
      <c r="D1274">
        <f t="shared" si="321"/>
        <v>1616</v>
      </c>
      <c r="E1274">
        <f t="shared" si="322"/>
        <v>36522</v>
      </c>
    </row>
    <row r="1275" spans="1:5" ht="15">
      <c r="A1275" t="s">
        <v>167</v>
      </c>
      <c r="B1275">
        <f t="shared" si="319"/>
        <v>969624</v>
      </c>
      <c r="C1275" s="28">
        <f t="shared" si="320"/>
        <v>0.0016666666666666668</v>
      </c>
      <c r="D1275">
        <f t="shared" si="321"/>
        <v>1616</v>
      </c>
      <c r="E1275">
        <f t="shared" si="322"/>
        <v>38138</v>
      </c>
    </row>
    <row r="1276" spans="1:5" ht="15">
      <c r="A1276" t="s">
        <v>168</v>
      </c>
      <c r="B1276">
        <f t="shared" si="319"/>
        <v>969624</v>
      </c>
      <c r="C1276" s="28">
        <f t="shared" si="320"/>
        <v>0.0016666666666666668</v>
      </c>
      <c r="D1276">
        <f t="shared" si="321"/>
        <v>1616</v>
      </c>
      <c r="E1276">
        <f t="shared" si="322"/>
        <v>39754</v>
      </c>
    </row>
    <row r="1279" ht="15">
      <c r="A1279" t="s">
        <v>335</v>
      </c>
    </row>
    <row r="1281" spans="2:4" ht="15">
      <c r="B1281" s="29" t="s">
        <v>115</v>
      </c>
      <c r="C1281" s="29" t="s">
        <v>116</v>
      </c>
      <c r="D1281" s="29" t="s">
        <v>116</v>
      </c>
    </row>
    <row r="1282" spans="3:5" ht="15">
      <c r="C1282" s="29" t="s">
        <v>117</v>
      </c>
      <c r="D1282" s="29" t="s">
        <v>118</v>
      </c>
      <c r="E1282" s="29" t="s">
        <v>119</v>
      </c>
    </row>
    <row r="1284" spans="1:5" ht="15.75">
      <c r="A1284" s="43" t="s">
        <v>192</v>
      </c>
      <c r="B1284" s="53">
        <f>64191708+16002809</f>
        <v>80194517</v>
      </c>
      <c r="C1284" s="28">
        <f>0.046/12</f>
        <v>0.003833333333333333</v>
      </c>
      <c r="D1284" s="47">
        <f>ROUND((B1283*C1284)+(80194517*C1284/2),0)-6068</f>
        <v>147638</v>
      </c>
      <c r="E1284">
        <f>D1284</f>
        <v>147638</v>
      </c>
    </row>
    <row r="1286" spans="1:5" ht="15">
      <c r="A1286" s="43" t="s">
        <v>288</v>
      </c>
      <c r="B1286" s="47">
        <f>+B1284-6389551</f>
        <v>73804966</v>
      </c>
      <c r="C1286" s="28">
        <f>0.046/12</f>
        <v>0.003833333333333333</v>
      </c>
      <c r="D1286" s="47">
        <f>ROUND((B1284*C1286)+(-6389551*C1286/2),0)-12136</f>
        <v>283030</v>
      </c>
      <c r="E1286">
        <f>ROUND(+E1284+D1286,0)</f>
        <v>430668</v>
      </c>
    </row>
    <row r="1287" spans="1:5" ht="15">
      <c r="A1287" s="43" t="s">
        <v>289</v>
      </c>
      <c r="B1287" s="47">
        <f>B1286+4001114</f>
        <v>77806080</v>
      </c>
      <c r="C1287" s="28">
        <f aca="true" t="shared" si="323" ref="C1287:C1323">0.046/12</f>
        <v>0.003833333333333333</v>
      </c>
      <c r="D1287" s="47">
        <f>ROUND((B1286*C1287)+(4001114*C1287/2),0)-12136</f>
        <v>278452</v>
      </c>
      <c r="E1287">
        <f>ROUND(+E1286+D1287,0)</f>
        <v>709120</v>
      </c>
    </row>
    <row r="1288" spans="1:5" ht="15">
      <c r="A1288" s="43" t="s">
        <v>290</v>
      </c>
      <c r="B1288" s="47">
        <f>B1287+850277</f>
        <v>78656357</v>
      </c>
      <c r="C1288" s="28">
        <f t="shared" si="323"/>
        <v>0.003833333333333333</v>
      </c>
      <c r="D1288" s="47">
        <f>ROUND((B1287*C1288)+(850277*C1288/2),0)-12136</f>
        <v>287750</v>
      </c>
      <c r="E1288">
        <f aca="true" t="shared" si="324" ref="E1288:E1297">ROUND(+E1287+D1288,0)</f>
        <v>996870</v>
      </c>
    </row>
    <row r="1289" spans="1:5" ht="15">
      <c r="A1289" s="43" t="s">
        <v>291</v>
      </c>
      <c r="B1289" s="47">
        <f>B1288+321107</f>
        <v>78977464</v>
      </c>
      <c r="C1289" s="28">
        <f t="shared" si="323"/>
        <v>0.003833333333333333</v>
      </c>
      <c r="D1289" s="47">
        <f>ROUND((B1288*C1289)+(321107*C1289/2),0)-12136</f>
        <v>289995</v>
      </c>
      <c r="E1289">
        <f t="shared" si="324"/>
        <v>1286865</v>
      </c>
    </row>
    <row r="1290" spans="1:5" ht="15">
      <c r="A1290" s="43" t="s">
        <v>292</v>
      </c>
      <c r="B1290" s="47">
        <f>B1289+2179225</f>
        <v>81156689</v>
      </c>
      <c r="C1290" s="28">
        <f t="shared" si="323"/>
        <v>0.003833333333333333</v>
      </c>
      <c r="D1290" s="47">
        <f>ROUND((B1289*C1290)+(2179225*C1290/2),0)-12136</f>
        <v>294788</v>
      </c>
      <c r="E1290">
        <f t="shared" si="324"/>
        <v>1581653</v>
      </c>
    </row>
    <row r="1291" spans="1:5" ht="15">
      <c r="A1291" s="43" t="s">
        <v>293</v>
      </c>
      <c r="B1291" s="47">
        <f>B1290+1290684</f>
        <v>82447373</v>
      </c>
      <c r="C1291" s="28">
        <f t="shared" si="323"/>
        <v>0.003833333333333333</v>
      </c>
      <c r="D1291" s="47">
        <f>ROUND((B1290*C1291)+(1290684*C1291/2),0)-12136</f>
        <v>301438</v>
      </c>
      <c r="E1291">
        <f t="shared" si="324"/>
        <v>1883091</v>
      </c>
    </row>
    <row r="1292" spans="1:5" ht="15">
      <c r="A1292" s="43" t="s">
        <v>294</v>
      </c>
      <c r="B1292" s="47">
        <f>B1291+202280</f>
        <v>82649653</v>
      </c>
      <c r="C1292" s="28">
        <f t="shared" si="323"/>
        <v>0.003833333333333333</v>
      </c>
      <c r="D1292" s="47">
        <f>ROUND((B1291*C1292)+(202280*C1292/2),0)-12136</f>
        <v>304300</v>
      </c>
      <c r="E1292">
        <f t="shared" si="324"/>
        <v>2187391</v>
      </c>
    </row>
    <row r="1293" spans="1:5" ht="15">
      <c r="A1293" s="43" t="s">
        <v>295</v>
      </c>
      <c r="B1293" s="47">
        <f>B1292+193527</f>
        <v>82843180</v>
      </c>
      <c r="C1293" s="28">
        <f t="shared" si="323"/>
        <v>0.003833333333333333</v>
      </c>
      <c r="D1293" s="47">
        <f>ROUND((B1292*C1293)+(193527*C1293/2),0)-12136</f>
        <v>305059</v>
      </c>
      <c r="E1293">
        <f t="shared" si="324"/>
        <v>2492450</v>
      </c>
    </row>
    <row r="1294" spans="1:5" ht="15">
      <c r="A1294" s="43" t="s">
        <v>296</v>
      </c>
      <c r="B1294" s="47">
        <f>B1293+34148</f>
        <v>82877328</v>
      </c>
      <c r="C1294" s="28">
        <f t="shared" si="323"/>
        <v>0.003833333333333333</v>
      </c>
      <c r="D1294" s="47">
        <f>ROUND((B1293*C1294)+(34148*C1294/2),0)-12136</f>
        <v>305495</v>
      </c>
      <c r="E1294">
        <f t="shared" si="324"/>
        <v>2797945</v>
      </c>
    </row>
    <row r="1295" spans="1:5" ht="15">
      <c r="A1295" s="43" t="s">
        <v>297</v>
      </c>
      <c r="B1295" s="47">
        <f>B1294+209634</f>
        <v>83086962</v>
      </c>
      <c r="C1295" s="28">
        <f t="shared" si="323"/>
        <v>0.003833333333333333</v>
      </c>
      <c r="D1295" s="47">
        <f>ROUND((B1294*C1295)+(209634*C1295/2),0)-12136</f>
        <v>305962</v>
      </c>
      <c r="E1295">
        <f t="shared" si="324"/>
        <v>3103907</v>
      </c>
    </row>
    <row r="1296" spans="1:5" ht="15">
      <c r="A1296" s="43" t="s">
        <v>298</v>
      </c>
      <c r="B1296" s="47">
        <f>B1295+4210</f>
        <v>83091172</v>
      </c>
      <c r="C1296" s="28">
        <f t="shared" si="323"/>
        <v>0.003833333333333333</v>
      </c>
      <c r="D1296" s="47">
        <f>ROUND((B1295*C1296)+(4210*C1296/2),0)-12136</f>
        <v>306372</v>
      </c>
      <c r="E1296">
        <f t="shared" si="324"/>
        <v>3410279</v>
      </c>
    </row>
    <row r="1297" spans="1:5" ht="15">
      <c r="A1297" s="43" t="s">
        <v>299</v>
      </c>
      <c r="B1297" s="47">
        <f>B1296+60241</f>
        <v>83151413</v>
      </c>
      <c r="C1297" s="28">
        <f t="shared" si="323"/>
        <v>0.003833333333333333</v>
      </c>
      <c r="D1297" s="47">
        <f>ROUND((B1296*C1297)+(60241*C1297/2),0)-12136</f>
        <v>306496</v>
      </c>
      <c r="E1297">
        <f t="shared" si="324"/>
        <v>3716775</v>
      </c>
    </row>
    <row r="1299" spans="1:5" ht="15">
      <c r="A1299" s="43" t="s">
        <v>357</v>
      </c>
      <c r="B1299" s="47">
        <f>B1297-16877</f>
        <v>83134536</v>
      </c>
      <c r="C1299" s="28">
        <f t="shared" si="323"/>
        <v>0.003833333333333333</v>
      </c>
      <c r="D1299" s="47">
        <f>ROUND((B1297*C1299)+(-16877*C1299/2),0)-12136</f>
        <v>306579</v>
      </c>
      <c r="E1299">
        <f>ROUND(+E1297+D1299,0)</f>
        <v>4023354</v>
      </c>
    </row>
    <row r="1300" spans="1:5" ht="15">
      <c r="A1300" s="43" t="s">
        <v>358</v>
      </c>
      <c r="B1300" s="47">
        <f>B1299-23692</f>
        <v>83110844</v>
      </c>
      <c r="C1300" s="28">
        <f t="shared" si="323"/>
        <v>0.003833333333333333</v>
      </c>
      <c r="D1300" s="47">
        <f>ROUND((B1299*C1300)+(-23692*C1300/2),0)-12136</f>
        <v>306501</v>
      </c>
      <c r="E1300">
        <f>ROUND(+E1299+D1300,0)</f>
        <v>4329855</v>
      </c>
    </row>
    <row r="1301" spans="1:5" ht="15">
      <c r="A1301" s="43" t="s">
        <v>359</v>
      </c>
      <c r="B1301" s="47">
        <f>B1300+18877</f>
        <v>83129721</v>
      </c>
      <c r="C1301" s="28">
        <f t="shared" si="323"/>
        <v>0.003833333333333333</v>
      </c>
      <c r="D1301" s="47">
        <f>ROUND((B1300*C1301)+(18877*C1301/2),0)-12136</f>
        <v>306492</v>
      </c>
      <c r="E1301">
        <f aca="true" t="shared" si="325" ref="E1301:E1310">ROUND(+E1300+D1301,0)</f>
        <v>4636347</v>
      </c>
    </row>
    <row r="1302" spans="1:5" ht="15">
      <c r="A1302" s="43" t="s">
        <v>360</v>
      </c>
      <c r="B1302">
        <f aca="true" t="shared" si="326" ref="B1302:B1310">B1301</f>
        <v>83129721</v>
      </c>
      <c r="C1302" s="28">
        <f t="shared" si="323"/>
        <v>0.003833333333333333</v>
      </c>
      <c r="D1302" s="47">
        <f aca="true" t="shared" si="327" ref="D1302:D1310">ROUND((B1301*C1302)+(0*C1302/2),0)-12136</f>
        <v>306528</v>
      </c>
      <c r="E1302">
        <f t="shared" si="325"/>
        <v>4942875</v>
      </c>
    </row>
    <row r="1303" spans="1:5" ht="15">
      <c r="A1303" s="43" t="s">
        <v>361</v>
      </c>
      <c r="B1303">
        <f t="shared" si="326"/>
        <v>83129721</v>
      </c>
      <c r="C1303" s="28">
        <f t="shared" si="323"/>
        <v>0.003833333333333333</v>
      </c>
      <c r="D1303" s="47">
        <f t="shared" si="327"/>
        <v>306528</v>
      </c>
      <c r="E1303">
        <f t="shared" si="325"/>
        <v>5249403</v>
      </c>
    </row>
    <row r="1304" spans="1:5" ht="15">
      <c r="A1304" s="43" t="s">
        <v>362</v>
      </c>
      <c r="B1304">
        <f t="shared" si="326"/>
        <v>83129721</v>
      </c>
      <c r="C1304" s="28">
        <f t="shared" si="323"/>
        <v>0.003833333333333333</v>
      </c>
      <c r="D1304" s="47">
        <f t="shared" si="327"/>
        <v>306528</v>
      </c>
      <c r="E1304">
        <f t="shared" si="325"/>
        <v>5555931</v>
      </c>
    </row>
    <row r="1305" spans="1:5" ht="15">
      <c r="A1305" s="43" t="s">
        <v>363</v>
      </c>
      <c r="B1305">
        <f t="shared" si="326"/>
        <v>83129721</v>
      </c>
      <c r="C1305" s="28">
        <f t="shared" si="323"/>
        <v>0.003833333333333333</v>
      </c>
      <c r="D1305" s="47">
        <f t="shared" si="327"/>
        <v>306528</v>
      </c>
      <c r="E1305">
        <f t="shared" si="325"/>
        <v>5862459</v>
      </c>
    </row>
    <row r="1306" spans="1:5" ht="15">
      <c r="A1306" s="43" t="s">
        <v>364</v>
      </c>
      <c r="B1306">
        <f t="shared" si="326"/>
        <v>83129721</v>
      </c>
      <c r="C1306" s="28">
        <f t="shared" si="323"/>
        <v>0.003833333333333333</v>
      </c>
      <c r="D1306" s="47">
        <f t="shared" si="327"/>
        <v>306528</v>
      </c>
      <c r="E1306">
        <f t="shared" si="325"/>
        <v>6168987</v>
      </c>
    </row>
    <row r="1307" spans="1:5" ht="15">
      <c r="A1307" s="43" t="s">
        <v>365</v>
      </c>
      <c r="B1307">
        <f t="shared" si="326"/>
        <v>83129721</v>
      </c>
      <c r="C1307" s="28">
        <f t="shared" si="323"/>
        <v>0.003833333333333333</v>
      </c>
      <c r="D1307" s="47">
        <f t="shared" si="327"/>
        <v>306528</v>
      </c>
      <c r="E1307">
        <f t="shared" si="325"/>
        <v>6475515</v>
      </c>
    </row>
    <row r="1308" spans="1:5" ht="15">
      <c r="A1308" s="43" t="s">
        <v>366</v>
      </c>
      <c r="B1308">
        <f t="shared" si="326"/>
        <v>83129721</v>
      </c>
      <c r="C1308" s="28">
        <f t="shared" si="323"/>
        <v>0.003833333333333333</v>
      </c>
      <c r="D1308" s="47">
        <f t="shared" si="327"/>
        <v>306528</v>
      </c>
      <c r="E1308">
        <f t="shared" si="325"/>
        <v>6782043</v>
      </c>
    </row>
    <row r="1309" spans="1:5" ht="15">
      <c r="A1309" s="43" t="s">
        <v>367</v>
      </c>
      <c r="B1309">
        <f t="shared" si="326"/>
        <v>83129721</v>
      </c>
      <c r="C1309" s="28">
        <f t="shared" si="323"/>
        <v>0.003833333333333333</v>
      </c>
      <c r="D1309" s="47">
        <f t="shared" si="327"/>
        <v>306528</v>
      </c>
      <c r="E1309">
        <f t="shared" si="325"/>
        <v>7088571</v>
      </c>
    </row>
    <row r="1310" spans="1:5" ht="15">
      <c r="A1310" s="43" t="s">
        <v>368</v>
      </c>
      <c r="B1310">
        <f t="shared" si="326"/>
        <v>83129721</v>
      </c>
      <c r="C1310" s="28">
        <f t="shared" si="323"/>
        <v>0.003833333333333333</v>
      </c>
      <c r="D1310" s="47">
        <f t="shared" si="327"/>
        <v>306528</v>
      </c>
      <c r="E1310">
        <f t="shared" si="325"/>
        <v>7395099</v>
      </c>
    </row>
    <row r="1312" spans="1:5" ht="15">
      <c r="A1312" s="73" t="s">
        <v>423</v>
      </c>
      <c r="B1312" s="13">
        <f>B1310</f>
        <v>83129721</v>
      </c>
      <c r="C1312" s="28">
        <f t="shared" si="323"/>
        <v>0.003833333333333333</v>
      </c>
      <c r="D1312" s="47">
        <f>ROUND((B1310*C1312)+(0*C1312/2),0)-12136</f>
        <v>306528</v>
      </c>
      <c r="E1312">
        <f>ROUND(+E1310+D1312,0)</f>
        <v>7701627</v>
      </c>
    </row>
    <row r="1313" spans="1:5" ht="15">
      <c r="A1313" s="72" t="s">
        <v>424</v>
      </c>
      <c r="B1313" s="13">
        <f>B1312</f>
        <v>83129721</v>
      </c>
      <c r="C1313" s="28">
        <f t="shared" si="323"/>
        <v>0.003833333333333333</v>
      </c>
      <c r="D1313" s="47">
        <f>ROUND((B1312*C1313)+(0*C1313/2),0)-12136</f>
        <v>306528</v>
      </c>
      <c r="E1313">
        <f>ROUND(+E1312+D1313,0)</f>
        <v>8008155</v>
      </c>
    </row>
    <row r="1314" spans="1:5" ht="15">
      <c r="A1314" s="72" t="s">
        <v>425</v>
      </c>
      <c r="B1314" s="13">
        <f>B1313</f>
        <v>83129721</v>
      </c>
      <c r="C1314" s="28">
        <f t="shared" si="323"/>
        <v>0.003833333333333333</v>
      </c>
      <c r="D1314" s="47">
        <f>ROUND((B1313*C1314)+(0*C1314/2),0)-12136</f>
        <v>306528</v>
      </c>
      <c r="E1314">
        <f aca="true" t="shared" si="328" ref="E1314:E1323">ROUND(+E1313+D1314,0)</f>
        <v>8314683</v>
      </c>
    </row>
    <row r="1315" spans="1:5" ht="15">
      <c r="A1315" s="72" t="s">
        <v>426</v>
      </c>
      <c r="B1315">
        <f aca="true" t="shared" si="329" ref="B1315:B1323">B1314</f>
        <v>83129721</v>
      </c>
      <c r="C1315" s="28">
        <f t="shared" si="323"/>
        <v>0.003833333333333333</v>
      </c>
      <c r="D1315" s="47">
        <f aca="true" t="shared" si="330" ref="D1315:D1323">ROUND((B1314*C1315)+(0*C1315/2),0)-12136</f>
        <v>306528</v>
      </c>
      <c r="E1315">
        <f t="shared" si="328"/>
        <v>8621211</v>
      </c>
    </row>
    <row r="1316" spans="1:5" ht="15">
      <c r="A1316" s="72" t="s">
        <v>410</v>
      </c>
      <c r="B1316">
        <f t="shared" si="329"/>
        <v>83129721</v>
      </c>
      <c r="C1316" s="28">
        <f t="shared" si="323"/>
        <v>0.003833333333333333</v>
      </c>
      <c r="D1316" s="47">
        <f t="shared" si="330"/>
        <v>306528</v>
      </c>
      <c r="E1316">
        <f t="shared" si="328"/>
        <v>8927739</v>
      </c>
    </row>
    <row r="1317" spans="1:5" ht="15">
      <c r="A1317" s="72" t="s">
        <v>427</v>
      </c>
      <c r="B1317">
        <f t="shared" si="329"/>
        <v>83129721</v>
      </c>
      <c r="C1317" s="28">
        <f t="shared" si="323"/>
        <v>0.003833333333333333</v>
      </c>
      <c r="D1317" s="47">
        <f t="shared" si="330"/>
        <v>306528</v>
      </c>
      <c r="E1317">
        <f t="shared" si="328"/>
        <v>9234267</v>
      </c>
    </row>
    <row r="1318" spans="1:5" ht="15">
      <c r="A1318" s="72" t="s">
        <v>428</v>
      </c>
      <c r="B1318">
        <f t="shared" si="329"/>
        <v>83129721</v>
      </c>
      <c r="C1318" s="28">
        <f t="shared" si="323"/>
        <v>0.003833333333333333</v>
      </c>
      <c r="D1318" s="47">
        <f t="shared" si="330"/>
        <v>306528</v>
      </c>
      <c r="E1318">
        <f t="shared" si="328"/>
        <v>9540795</v>
      </c>
    </row>
    <row r="1319" spans="1:5" ht="15">
      <c r="A1319" s="72" t="s">
        <v>429</v>
      </c>
      <c r="B1319">
        <f t="shared" si="329"/>
        <v>83129721</v>
      </c>
      <c r="C1319" s="28">
        <f t="shared" si="323"/>
        <v>0.003833333333333333</v>
      </c>
      <c r="D1319" s="47">
        <f t="shared" si="330"/>
        <v>306528</v>
      </c>
      <c r="E1319">
        <f t="shared" si="328"/>
        <v>9847323</v>
      </c>
    </row>
    <row r="1320" spans="1:5" ht="15">
      <c r="A1320" s="72" t="s">
        <v>430</v>
      </c>
      <c r="B1320">
        <f t="shared" si="329"/>
        <v>83129721</v>
      </c>
      <c r="C1320" s="28">
        <f t="shared" si="323"/>
        <v>0.003833333333333333</v>
      </c>
      <c r="D1320" s="47">
        <f t="shared" si="330"/>
        <v>306528</v>
      </c>
      <c r="E1320">
        <f t="shared" si="328"/>
        <v>10153851</v>
      </c>
    </row>
    <row r="1321" spans="1:5" ht="15">
      <c r="A1321" s="72" t="s">
        <v>431</v>
      </c>
      <c r="B1321">
        <f t="shared" si="329"/>
        <v>83129721</v>
      </c>
      <c r="C1321" s="28">
        <f t="shared" si="323"/>
        <v>0.003833333333333333</v>
      </c>
      <c r="D1321" s="47">
        <f t="shared" si="330"/>
        <v>306528</v>
      </c>
      <c r="E1321">
        <f t="shared" si="328"/>
        <v>10460379</v>
      </c>
    </row>
    <row r="1322" spans="1:5" ht="15">
      <c r="A1322" s="72" t="s">
        <v>432</v>
      </c>
      <c r="B1322">
        <f t="shared" si="329"/>
        <v>83129721</v>
      </c>
      <c r="C1322" s="28">
        <f t="shared" si="323"/>
        <v>0.003833333333333333</v>
      </c>
      <c r="D1322" s="47">
        <f t="shared" si="330"/>
        <v>306528</v>
      </c>
      <c r="E1322">
        <f t="shared" si="328"/>
        <v>10766907</v>
      </c>
    </row>
    <row r="1323" spans="1:5" ht="15">
      <c r="A1323" s="72" t="s">
        <v>433</v>
      </c>
      <c r="B1323">
        <f t="shared" si="329"/>
        <v>83129721</v>
      </c>
      <c r="C1323" s="28">
        <f t="shared" si="323"/>
        <v>0.003833333333333333</v>
      </c>
      <c r="D1323" s="47">
        <f t="shared" si="330"/>
        <v>306528</v>
      </c>
      <c r="E1323">
        <f t="shared" si="328"/>
        <v>11073435</v>
      </c>
    </row>
    <row r="1326" spans="4:10" ht="15">
      <c r="D1326" s="47" t="s">
        <v>381</v>
      </c>
      <c r="J1326" s="47" t="s">
        <v>382</v>
      </c>
    </row>
    <row r="1327" spans="1:13" ht="15">
      <c r="A1327" t="s">
        <v>342</v>
      </c>
      <c r="D1327" s="47">
        <v>-916</v>
      </c>
      <c r="G1327" t="s">
        <v>342</v>
      </c>
      <c r="J1327" s="47">
        <f>-61.88*3</f>
        <v>-185.64000000000001</v>
      </c>
      <c r="M1327" t="s">
        <v>342</v>
      </c>
    </row>
    <row r="1329" spans="2:21" ht="15">
      <c r="B1329" s="29" t="s">
        <v>115</v>
      </c>
      <c r="C1329" s="29" t="s">
        <v>116</v>
      </c>
      <c r="D1329" s="29" t="s">
        <v>116</v>
      </c>
      <c r="H1329" s="29" t="s">
        <v>115</v>
      </c>
      <c r="I1329" s="29" t="s">
        <v>116</v>
      </c>
      <c r="J1329" s="29" t="s">
        <v>116</v>
      </c>
      <c r="N1329" s="29" t="s">
        <v>115</v>
      </c>
      <c r="O1329" s="29" t="s">
        <v>116</v>
      </c>
      <c r="P1329" s="29" t="s">
        <v>116</v>
      </c>
      <c r="S1329" s="29" t="s">
        <v>115</v>
      </c>
      <c r="T1329" s="29" t="s">
        <v>116</v>
      </c>
      <c r="U1329" s="29" t="s">
        <v>116</v>
      </c>
    </row>
    <row r="1330" spans="3:24" ht="15">
      <c r="C1330" s="29" t="s">
        <v>117</v>
      </c>
      <c r="D1330" s="29" t="s">
        <v>118</v>
      </c>
      <c r="E1330" s="29" t="s">
        <v>119</v>
      </c>
      <c r="I1330" s="29" t="s">
        <v>117</v>
      </c>
      <c r="J1330" s="29" t="s">
        <v>118</v>
      </c>
      <c r="K1330" s="29" t="s">
        <v>119</v>
      </c>
      <c r="O1330" s="29" t="s">
        <v>117</v>
      </c>
      <c r="P1330" s="29" t="s">
        <v>118</v>
      </c>
      <c r="Q1330" s="29" t="s">
        <v>119</v>
      </c>
      <c r="T1330" s="29" t="s">
        <v>117</v>
      </c>
      <c r="U1330" s="29" t="s">
        <v>118</v>
      </c>
      <c r="V1330" s="29" t="s">
        <v>119</v>
      </c>
      <c r="X1330" s="29" t="s">
        <v>383</v>
      </c>
    </row>
    <row r="1332" spans="1:22" ht="15.75">
      <c r="A1332" s="43" t="s">
        <v>192</v>
      </c>
      <c r="B1332" s="53">
        <v>0</v>
      </c>
      <c r="C1332" s="28">
        <f>0.028/12</f>
        <v>0.0023333333333333335</v>
      </c>
      <c r="D1332" s="47">
        <f>ROUND((B1331*C1332)+(0*C1332/2),0)-0</f>
        <v>0</v>
      </c>
      <c r="E1332">
        <f>D1332</f>
        <v>0</v>
      </c>
      <c r="G1332" s="43" t="s">
        <v>192</v>
      </c>
      <c r="H1332" s="53">
        <v>0</v>
      </c>
      <c r="I1332" s="28">
        <f>0.028/12</f>
        <v>0.0023333333333333335</v>
      </c>
      <c r="J1332" s="47">
        <f>ROUND((H1331*I1332)+(0*I1332/2),0)-0</f>
        <v>0</v>
      </c>
      <c r="K1332">
        <f>J1332</f>
        <v>0</v>
      </c>
      <c r="M1332" s="43" t="s">
        <v>192</v>
      </c>
      <c r="N1332" s="53">
        <v>0</v>
      </c>
      <c r="O1332" s="28">
        <f>0.028/12</f>
        <v>0.0023333333333333335</v>
      </c>
      <c r="P1332" s="47">
        <f>ROUND((N1331*O1332)+(0*O1332/2),0)-0</f>
        <v>0</v>
      </c>
      <c r="Q1332">
        <f>P1332</f>
        <v>0</v>
      </c>
      <c r="S1332" s="53">
        <f>B1332+H1332+N1332</f>
        <v>0</v>
      </c>
      <c r="T1332" s="70" t="s">
        <v>384</v>
      </c>
      <c r="U1332" s="47">
        <f>ROUND((S1331*T1332)+(0*T1332/2),0)-0</f>
        <v>0</v>
      </c>
      <c r="V1332">
        <f>U1332</f>
        <v>0</v>
      </c>
    </row>
    <row r="1334" spans="1:22" ht="15">
      <c r="A1334" s="43" t="s">
        <v>288</v>
      </c>
      <c r="B1334" s="47">
        <f>+B1332</f>
        <v>0</v>
      </c>
      <c r="C1334" s="28">
        <f>0.028/12</f>
        <v>0.0023333333333333335</v>
      </c>
      <c r="D1334" s="47">
        <f>ROUND((B1332*C1334)+(0*C1334/2),0)</f>
        <v>0</v>
      </c>
      <c r="E1334">
        <f>ROUND(+E1332+D1334,0)</f>
        <v>0</v>
      </c>
      <c r="G1334" s="43" t="s">
        <v>288</v>
      </c>
      <c r="H1334" s="47">
        <f>+H1332</f>
        <v>0</v>
      </c>
      <c r="I1334" s="28">
        <f>0.028/12</f>
        <v>0.0023333333333333335</v>
      </c>
      <c r="J1334" s="47">
        <f>ROUND((H1332*I1334)+(0*I1334/2),0)</f>
        <v>0</v>
      </c>
      <c r="K1334">
        <f>ROUND(+K1332+J1334,0)</f>
        <v>0</v>
      </c>
      <c r="M1334" s="43" t="s">
        <v>288</v>
      </c>
      <c r="N1334" s="47">
        <f>+N1332</f>
        <v>0</v>
      </c>
      <c r="O1334" s="28">
        <f>0.028/12</f>
        <v>0.0023333333333333335</v>
      </c>
      <c r="P1334" s="47">
        <f>ROUND((N1332*O1334)+(0*O1334/2),0)</f>
        <v>0</v>
      </c>
      <c r="Q1334">
        <f>ROUND(+Q1332+P1334,0)</f>
        <v>0</v>
      </c>
      <c r="S1334" s="47">
        <f>B1334+H1334+N1334</f>
        <v>0</v>
      </c>
      <c r="T1334" s="70" t="s">
        <v>384</v>
      </c>
      <c r="U1334" s="47">
        <f>D1334+J1334+P1334</f>
        <v>0</v>
      </c>
      <c r="V1334">
        <f>ROUND(+V1332+U1334,0)</f>
        <v>0</v>
      </c>
    </row>
    <row r="1335" spans="1:22" ht="15">
      <c r="A1335" s="43" t="s">
        <v>289</v>
      </c>
      <c r="B1335" s="47">
        <f>B1334</f>
        <v>0</v>
      </c>
      <c r="C1335" s="28">
        <f aca="true" t="shared" si="331" ref="C1335:C1345">0.028/12</f>
        <v>0.0023333333333333335</v>
      </c>
      <c r="D1335" s="47">
        <f>ROUND((B1334*C1335)+(0*C1335/2),0)</f>
        <v>0</v>
      </c>
      <c r="E1335">
        <f>ROUND(+E1334+D1335,0)</f>
        <v>0</v>
      </c>
      <c r="G1335" s="43" t="s">
        <v>289</v>
      </c>
      <c r="H1335" s="47">
        <f>H1334</f>
        <v>0</v>
      </c>
      <c r="I1335" s="28">
        <f aca="true" t="shared" si="332" ref="I1335:I1345">0.028/12</f>
        <v>0.0023333333333333335</v>
      </c>
      <c r="J1335" s="47">
        <f aca="true" t="shared" si="333" ref="J1335:J1340">ROUND((H1334*I1335)+(0*I1335/2),0)</f>
        <v>0</v>
      </c>
      <c r="K1335">
        <f>ROUND(+K1334+J1335,0)</f>
        <v>0</v>
      </c>
      <c r="M1335" s="43" t="s">
        <v>289</v>
      </c>
      <c r="N1335" s="47">
        <f>N1334</f>
        <v>0</v>
      </c>
      <c r="O1335" s="28">
        <f aca="true" t="shared" si="334" ref="O1335:O1345">0.028/12</f>
        <v>0.0023333333333333335</v>
      </c>
      <c r="P1335" s="47">
        <f>ROUND((N1334*O1335)+(0*O1335/2),0)</f>
        <v>0</v>
      </c>
      <c r="Q1335">
        <f>ROUND(+Q1334+P1335,0)</f>
        <v>0</v>
      </c>
      <c r="S1335" s="47">
        <f aca="true" t="shared" si="335" ref="S1335:U1345">B1335+H1335+N1335</f>
        <v>0</v>
      </c>
      <c r="T1335" s="70" t="s">
        <v>384</v>
      </c>
      <c r="U1335" s="47">
        <f t="shared" si="335"/>
        <v>0</v>
      </c>
      <c r="V1335">
        <f>ROUND(+V1334+U1335,0)</f>
        <v>0</v>
      </c>
    </row>
    <row r="1336" spans="1:22" ht="15">
      <c r="A1336" s="43" t="s">
        <v>290</v>
      </c>
      <c r="B1336" s="47">
        <f>B1335+8340</f>
        <v>8340</v>
      </c>
      <c r="C1336" s="28">
        <f t="shared" si="331"/>
        <v>0.0023333333333333335</v>
      </c>
      <c r="D1336" s="47">
        <f>ROUND((B1335*C1336)+(8340*C1336/2),0)-10</f>
        <v>0</v>
      </c>
      <c r="E1336">
        <f aca="true" t="shared" si="336" ref="E1336:E1345">ROUND(+E1335+D1336,0)</f>
        <v>0</v>
      </c>
      <c r="G1336" s="43" t="s">
        <v>290</v>
      </c>
      <c r="H1336" s="47">
        <v>0</v>
      </c>
      <c r="I1336" s="28">
        <f t="shared" si="332"/>
        <v>0.0023333333333333335</v>
      </c>
      <c r="J1336" s="47">
        <f t="shared" si="333"/>
        <v>0</v>
      </c>
      <c r="K1336">
        <f aca="true" t="shared" si="337" ref="K1336:K1345">ROUND(+K1335+J1336,0)</f>
        <v>0</v>
      </c>
      <c r="M1336" s="43" t="s">
        <v>290</v>
      </c>
      <c r="N1336" s="47">
        <v>0</v>
      </c>
      <c r="O1336" s="28">
        <f t="shared" si="334"/>
        <v>0.0023333333333333335</v>
      </c>
      <c r="P1336" s="47">
        <f>ROUND((N1335*O1336)+(0*O1336/2),0)</f>
        <v>0</v>
      </c>
      <c r="Q1336">
        <f aca="true" t="shared" si="338" ref="Q1336:Q1345">ROUND(+Q1335+P1336,0)</f>
        <v>0</v>
      </c>
      <c r="S1336" s="47">
        <f t="shared" si="335"/>
        <v>8340</v>
      </c>
      <c r="T1336" s="70" t="s">
        <v>384</v>
      </c>
      <c r="U1336" s="47">
        <f t="shared" si="335"/>
        <v>0</v>
      </c>
      <c r="V1336">
        <f aca="true" t="shared" si="339" ref="V1336:V1345">ROUND(+V1335+U1336,0)</f>
        <v>0</v>
      </c>
    </row>
    <row r="1337" spans="1:22" ht="15">
      <c r="A1337" s="43" t="s">
        <v>291</v>
      </c>
      <c r="B1337" s="47">
        <f>B1336+110983</f>
        <v>119323</v>
      </c>
      <c r="C1337" s="28">
        <f t="shared" si="331"/>
        <v>0.0023333333333333335</v>
      </c>
      <c r="D1337" s="47">
        <f>ROUND((B1336*C1337)+(110982*C1337/2),0)-149</f>
        <v>0</v>
      </c>
      <c r="E1337">
        <f t="shared" si="336"/>
        <v>0</v>
      </c>
      <c r="G1337" s="43" t="s">
        <v>291</v>
      </c>
      <c r="H1337" s="47">
        <f>H1336+0</f>
        <v>0</v>
      </c>
      <c r="I1337" s="28">
        <f t="shared" si="332"/>
        <v>0.0023333333333333335</v>
      </c>
      <c r="J1337" s="47">
        <f t="shared" si="333"/>
        <v>0</v>
      </c>
      <c r="K1337">
        <f t="shared" si="337"/>
        <v>0</v>
      </c>
      <c r="M1337" s="43" t="s">
        <v>291</v>
      </c>
      <c r="N1337" s="47">
        <f>N1336+0</f>
        <v>0</v>
      </c>
      <c r="O1337" s="28">
        <f t="shared" si="334"/>
        <v>0.0023333333333333335</v>
      </c>
      <c r="P1337" s="47">
        <f>ROUND((N1336*O1337)+(0*O1337/2),0)</f>
        <v>0</v>
      </c>
      <c r="Q1337">
        <f t="shared" si="338"/>
        <v>0</v>
      </c>
      <c r="S1337" s="47">
        <f t="shared" si="335"/>
        <v>119323</v>
      </c>
      <c r="T1337" s="70" t="s">
        <v>384</v>
      </c>
      <c r="U1337" s="47">
        <f t="shared" si="335"/>
        <v>0</v>
      </c>
      <c r="V1337">
        <f t="shared" si="339"/>
        <v>0</v>
      </c>
    </row>
    <row r="1338" spans="1:22" ht="15">
      <c r="A1338" s="43" t="s">
        <v>292</v>
      </c>
      <c r="B1338" s="47">
        <f>B1337+20613</f>
        <v>139936</v>
      </c>
      <c r="C1338" s="28">
        <f t="shared" si="331"/>
        <v>0.0023333333333333335</v>
      </c>
      <c r="D1338" s="47">
        <f>ROUND((B1337*C1338)+(20612*C1338/2),0)-302</f>
        <v>0</v>
      </c>
      <c r="E1338">
        <f t="shared" si="336"/>
        <v>0</v>
      </c>
      <c r="G1338" s="43" t="s">
        <v>292</v>
      </c>
      <c r="H1338" s="47">
        <f>H1337+0</f>
        <v>0</v>
      </c>
      <c r="I1338" s="28">
        <f t="shared" si="332"/>
        <v>0.0023333333333333335</v>
      </c>
      <c r="J1338" s="47">
        <f t="shared" si="333"/>
        <v>0</v>
      </c>
      <c r="K1338">
        <f t="shared" si="337"/>
        <v>0</v>
      </c>
      <c r="M1338" s="43" t="s">
        <v>292</v>
      </c>
      <c r="N1338" s="47">
        <f>N1337+0</f>
        <v>0</v>
      </c>
      <c r="O1338" s="28">
        <f t="shared" si="334"/>
        <v>0.0023333333333333335</v>
      </c>
      <c r="P1338" s="47">
        <f>ROUND((N1337*O1338)+(0*O1338/2),0)</f>
        <v>0</v>
      </c>
      <c r="Q1338">
        <f t="shared" si="338"/>
        <v>0</v>
      </c>
      <c r="S1338" s="47">
        <f t="shared" si="335"/>
        <v>139936</v>
      </c>
      <c r="T1338" s="70" t="s">
        <v>384</v>
      </c>
      <c r="U1338" s="47">
        <f t="shared" si="335"/>
        <v>0</v>
      </c>
      <c r="V1338">
        <f t="shared" si="339"/>
        <v>0</v>
      </c>
    </row>
    <row r="1339" spans="1:22" ht="15">
      <c r="A1339" s="43" t="s">
        <v>293</v>
      </c>
      <c r="B1339" s="47">
        <f>B1338+142150</f>
        <v>282086</v>
      </c>
      <c r="C1339" s="28">
        <f t="shared" si="331"/>
        <v>0.0023333333333333335</v>
      </c>
      <c r="D1339" s="47">
        <f>ROUND((B1338*C1339)+(142150*C1339/2),0)-492</f>
        <v>0</v>
      </c>
      <c r="E1339">
        <f t="shared" si="336"/>
        <v>0</v>
      </c>
      <c r="G1339" s="43" t="s">
        <v>293</v>
      </c>
      <c r="H1339" s="47">
        <f>H1338+0</f>
        <v>0</v>
      </c>
      <c r="I1339" s="28">
        <f t="shared" si="332"/>
        <v>0.0023333333333333335</v>
      </c>
      <c r="J1339" s="47">
        <f t="shared" si="333"/>
        <v>0</v>
      </c>
      <c r="K1339">
        <f t="shared" si="337"/>
        <v>0</v>
      </c>
      <c r="M1339" s="43" t="s">
        <v>293</v>
      </c>
      <c r="N1339" s="47">
        <f>N1338+12502</f>
        <v>12502</v>
      </c>
      <c r="O1339" s="28">
        <f t="shared" si="334"/>
        <v>0.0023333333333333335</v>
      </c>
      <c r="P1339" s="47">
        <f>ROUND((N1338*O1339)+(12502*O1339/2),0)-7</f>
        <v>8</v>
      </c>
      <c r="Q1339">
        <f t="shared" si="338"/>
        <v>8</v>
      </c>
      <c r="S1339" s="47">
        <f t="shared" si="335"/>
        <v>294588</v>
      </c>
      <c r="T1339" s="70" t="s">
        <v>384</v>
      </c>
      <c r="U1339" s="47">
        <f t="shared" si="335"/>
        <v>8</v>
      </c>
      <c r="V1339">
        <f t="shared" si="339"/>
        <v>8</v>
      </c>
    </row>
    <row r="1340" spans="1:24" ht="15">
      <c r="A1340" s="43" t="s">
        <v>294</v>
      </c>
      <c r="B1340" s="47">
        <f>B1339+138429</f>
        <v>420515</v>
      </c>
      <c r="C1340" s="28">
        <f t="shared" si="331"/>
        <v>0.0023333333333333335</v>
      </c>
      <c r="D1340" s="47">
        <f>ROUND((B1339*C1340)+(138429*C1340/2),0)-820</f>
        <v>0</v>
      </c>
      <c r="E1340">
        <f t="shared" si="336"/>
        <v>0</v>
      </c>
      <c r="G1340" s="43" t="s">
        <v>294</v>
      </c>
      <c r="H1340" s="47">
        <f>H1339+0</f>
        <v>0</v>
      </c>
      <c r="I1340" s="28">
        <f t="shared" si="332"/>
        <v>0.0023333333333333335</v>
      </c>
      <c r="J1340" s="47">
        <f t="shared" si="333"/>
        <v>0</v>
      </c>
      <c r="K1340">
        <f t="shared" si="337"/>
        <v>0</v>
      </c>
      <c r="M1340" s="43" t="s">
        <v>294</v>
      </c>
      <c r="N1340" s="47">
        <f>N1339+18</f>
        <v>12520</v>
      </c>
      <c r="O1340" s="28">
        <f t="shared" si="334"/>
        <v>0.0023333333333333335</v>
      </c>
      <c r="P1340" s="47">
        <f>ROUND((N1339*O1340)+(18*O1340/2),0)-7</f>
        <v>22</v>
      </c>
      <c r="Q1340">
        <f t="shared" si="338"/>
        <v>30</v>
      </c>
      <c r="S1340" s="47">
        <f t="shared" si="335"/>
        <v>433035</v>
      </c>
      <c r="T1340" s="70" t="s">
        <v>384</v>
      </c>
      <c r="U1340" s="47">
        <f t="shared" si="335"/>
        <v>22</v>
      </c>
      <c r="V1340">
        <f t="shared" si="339"/>
        <v>30</v>
      </c>
      <c r="X1340">
        <v>-1109</v>
      </c>
    </row>
    <row r="1341" spans="1:24" ht="15">
      <c r="A1341" s="43" t="s">
        <v>295</v>
      </c>
      <c r="B1341" s="47">
        <f>B1340+14924</f>
        <v>435439</v>
      </c>
      <c r="C1341" s="28">
        <f t="shared" si="331"/>
        <v>0.0023333333333333335</v>
      </c>
      <c r="D1341" s="47">
        <f>ROUND((B1340*C1341)+(14924*C1341/2),0)-916</f>
        <v>83</v>
      </c>
      <c r="E1341">
        <f t="shared" si="336"/>
        <v>83</v>
      </c>
      <c r="G1341" s="43" t="s">
        <v>295</v>
      </c>
      <c r="H1341" s="47">
        <f>H1340+32185</f>
        <v>32185</v>
      </c>
      <c r="I1341" s="28">
        <f t="shared" si="332"/>
        <v>0.0023333333333333335</v>
      </c>
      <c r="J1341" s="47">
        <f>ROUND((H1340*I1341)+(32185*I1341/2),0)-36</f>
        <v>2</v>
      </c>
      <c r="K1341">
        <f t="shared" si="337"/>
        <v>2</v>
      </c>
      <c r="M1341" s="43" t="s">
        <v>295</v>
      </c>
      <c r="N1341" s="47">
        <f>N1340+0</f>
        <v>12520</v>
      </c>
      <c r="O1341" s="28">
        <f t="shared" si="334"/>
        <v>0.0023333333333333335</v>
      </c>
      <c r="P1341" s="47">
        <f>ROUND((N1340*O1341)+(0*O1341/2),0)-7</f>
        <v>22</v>
      </c>
      <c r="Q1341">
        <f t="shared" si="338"/>
        <v>52</v>
      </c>
      <c r="S1341" s="47">
        <f t="shared" si="335"/>
        <v>480144</v>
      </c>
      <c r="T1341" s="70" t="s">
        <v>384</v>
      </c>
      <c r="U1341" s="47">
        <f t="shared" si="335"/>
        <v>107</v>
      </c>
      <c r="V1341">
        <f t="shared" si="339"/>
        <v>137</v>
      </c>
      <c r="X1341">
        <v>-1109</v>
      </c>
    </row>
    <row r="1342" spans="1:24" ht="15">
      <c r="A1342" s="43" t="s">
        <v>296</v>
      </c>
      <c r="B1342" s="47">
        <f>B1341+1525</f>
        <v>436964</v>
      </c>
      <c r="C1342" s="28">
        <f t="shared" si="331"/>
        <v>0.0023333333333333335</v>
      </c>
      <c r="D1342" s="47">
        <f>ROUND((B1341*C1342)+(1525*C1342/2),0)-916</f>
        <v>102</v>
      </c>
      <c r="E1342">
        <f t="shared" si="336"/>
        <v>185</v>
      </c>
      <c r="G1342" s="43" t="s">
        <v>296</v>
      </c>
      <c r="H1342" s="47">
        <f>H1341+30173</f>
        <v>62358</v>
      </c>
      <c r="I1342" s="28">
        <f t="shared" si="332"/>
        <v>0.0023333333333333335</v>
      </c>
      <c r="J1342" s="47">
        <f>ROUND((H1341*I1342)+(30173*I1342/2),0)-106</f>
        <v>4</v>
      </c>
      <c r="K1342">
        <f t="shared" si="337"/>
        <v>6</v>
      </c>
      <c r="M1342" s="43" t="s">
        <v>296</v>
      </c>
      <c r="N1342" s="47">
        <f>N1341+0</f>
        <v>12520</v>
      </c>
      <c r="O1342" s="28">
        <f t="shared" si="334"/>
        <v>0.0023333333333333335</v>
      </c>
      <c r="P1342" s="47">
        <f>ROUND((N1341*O1342)+(0*O1342/2),0)-7</f>
        <v>22</v>
      </c>
      <c r="Q1342">
        <f t="shared" si="338"/>
        <v>74</v>
      </c>
      <c r="S1342" s="47">
        <f t="shared" si="335"/>
        <v>511842</v>
      </c>
      <c r="T1342" s="70" t="s">
        <v>384</v>
      </c>
      <c r="U1342" s="47">
        <f t="shared" si="335"/>
        <v>128</v>
      </c>
      <c r="V1342">
        <f t="shared" si="339"/>
        <v>265</v>
      </c>
      <c r="X1342">
        <v>-1109</v>
      </c>
    </row>
    <row r="1343" spans="1:24" ht="15">
      <c r="A1343" s="43" t="s">
        <v>297</v>
      </c>
      <c r="B1343" s="47">
        <f>B1342+889</f>
        <v>437853</v>
      </c>
      <c r="C1343" s="28">
        <f t="shared" si="331"/>
        <v>0.0023333333333333335</v>
      </c>
      <c r="D1343" s="47">
        <f>ROUND((B1342*C1343)+(889*C1343/2),0)-916</f>
        <v>105</v>
      </c>
      <c r="E1343">
        <f t="shared" si="336"/>
        <v>290</v>
      </c>
      <c r="G1343" s="43" t="s">
        <v>297</v>
      </c>
      <c r="H1343" s="47">
        <f>H1342+13327</f>
        <v>75685</v>
      </c>
      <c r="I1343" s="28">
        <f t="shared" si="332"/>
        <v>0.0023333333333333335</v>
      </c>
      <c r="J1343" s="47">
        <f>ROUND((H1342*I1343)+(13327*I1343/2),0)-155</f>
        <v>6</v>
      </c>
      <c r="K1343">
        <f t="shared" si="337"/>
        <v>12</v>
      </c>
      <c r="M1343" s="43" t="s">
        <v>297</v>
      </c>
      <c r="N1343" s="47">
        <f>N1342+0</f>
        <v>12520</v>
      </c>
      <c r="O1343" s="28">
        <f t="shared" si="334"/>
        <v>0.0023333333333333335</v>
      </c>
      <c r="P1343" s="47">
        <f>ROUND((N1342*O1343)+(0*O1343/2),0)-7</f>
        <v>22</v>
      </c>
      <c r="Q1343">
        <f t="shared" si="338"/>
        <v>96</v>
      </c>
      <c r="S1343" s="47">
        <f t="shared" si="335"/>
        <v>526058</v>
      </c>
      <c r="T1343" s="70" t="s">
        <v>384</v>
      </c>
      <c r="U1343" s="47">
        <f t="shared" si="335"/>
        <v>133</v>
      </c>
      <c r="V1343">
        <f t="shared" si="339"/>
        <v>398</v>
      </c>
      <c r="X1343">
        <v>-1109</v>
      </c>
    </row>
    <row r="1344" spans="1:24" ht="15">
      <c r="A1344" s="43" t="s">
        <v>298</v>
      </c>
      <c r="B1344" s="47">
        <f>B1343-13956</f>
        <v>423897</v>
      </c>
      <c r="C1344" s="28">
        <f t="shared" si="331"/>
        <v>0.0023333333333333335</v>
      </c>
      <c r="D1344" s="47">
        <f>ROUND((B1343*C1344)+(-13956*C1344/2),0)-916</f>
        <v>89</v>
      </c>
      <c r="E1344">
        <f t="shared" si="336"/>
        <v>379</v>
      </c>
      <c r="G1344" s="43" t="s">
        <v>298</v>
      </c>
      <c r="H1344" s="47">
        <f>H1343-72255</f>
        <v>3430</v>
      </c>
      <c r="I1344" s="28">
        <f t="shared" si="332"/>
        <v>0.0023333333333333335</v>
      </c>
      <c r="J1344" s="47">
        <f>ROUND((H1343*I1344)+(-72255*I1344/2),0)-89</f>
        <v>3</v>
      </c>
      <c r="K1344">
        <f t="shared" si="337"/>
        <v>15</v>
      </c>
      <c r="M1344" s="43" t="s">
        <v>298</v>
      </c>
      <c r="N1344" s="47">
        <f>N1343-6005</f>
        <v>6515</v>
      </c>
      <c r="O1344" s="28">
        <f t="shared" si="334"/>
        <v>0.0023333333333333335</v>
      </c>
      <c r="P1344" s="47">
        <f>ROUND((N1343*O1344)+(-6005*O1344/2),0)-6</f>
        <v>16</v>
      </c>
      <c r="Q1344">
        <f t="shared" si="338"/>
        <v>112</v>
      </c>
      <c r="S1344" s="47">
        <f t="shared" si="335"/>
        <v>433842</v>
      </c>
      <c r="T1344" s="70" t="s">
        <v>384</v>
      </c>
      <c r="U1344" s="47">
        <f t="shared" si="335"/>
        <v>108</v>
      </c>
      <c r="V1344">
        <f t="shared" si="339"/>
        <v>506</v>
      </c>
      <c r="X1344">
        <v>-1109</v>
      </c>
    </row>
    <row r="1345" spans="1:24" ht="15">
      <c r="A1345" s="43" t="s">
        <v>299</v>
      </c>
      <c r="B1345" s="47">
        <f>B1344+0</f>
        <v>423897</v>
      </c>
      <c r="C1345" s="28">
        <f t="shared" si="331"/>
        <v>0.0023333333333333335</v>
      </c>
      <c r="D1345" s="47">
        <f>ROUND((B1344*C1345)+(0*C1345/2),0)-916</f>
        <v>73</v>
      </c>
      <c r="E1345">
        <f t="shared" si="336"/>
        <v>452</v>
      </c>
      <c r="G1345" s="43" t="s">
        <v>299</v>
      </c>
      <c r="H1345" s="47">
        <f>H1344-5533</f>
        <v>-2103</v>
      </c>
      <c r="I1345" s="28">
        <f t="shared" si="332"/>
        <v>0.0023333333333333335</v>
      </c>
      <c r="J1345" s="47">
        <f>ROUND((H1344*I1345)+(-5533*I1345/2),0)-1</f>
        <v>1</v>
      </c>
      <c r="K1345">
        <f t="shared" si="337"/>
        <v>16</v>
      </c>
      <c r="M1345" s="43" t="s">
        <v>299</v>
      </c>
      <c r="N1345" s="47">
        <f>N1344+29837</f>
        <v>36352</v>
      </c>
      <c r="O1345" s="28">
        <f t="shared" si="334"/>
        <v>0.0023333333333333335</v>
      </c>
      <c r="P1345" s="47">
        <f>ROUND((N1344*O1345)+(29837*O1345/2),0)-7</f>
        <v>43</v>
      </c>
      <c r="Q1345">
        <f t="shared" si="338"/>
        <v>155</v>
      </c>
      <c r="S1345" s="47">
        <f t="shared" si="335"/>
        <v>458146</v>
      </c>
      <c r="T1345" s="70" t="s">
        <v>384</v>
      </c>
      <c r="U1345" s="47">
        <f t="shared" si="335"/>
        <v>117</v>
      </c>
      <c r="V1345">
        <f t="shared" si="339"/>
        <v>623</v>
      </c>
      <c r="X1345">
        <v>-1109</v>
      </c>
    </row>
    <row r="1347" spans="1:24" ht="15">
      <c r="A1347" s="43" t="s">
        <v>357</v>
      </c>
      <c r="B1347" s="47">
        <f>B1345</f>
        <v>423897</v>
      </c>
      <c r="C1347" s="28">
        <f>0.028/12</f>
        <v>0.0023333333333333335</v>
      </c>
      <c r="D1347" s="47">
        <f>ROUND((B1345*C1347)+(0*C1347/2),0)-916</f>
        <v>73</v>
      </c>
      <c r="E1347">
        <f>ROUND(+E1345+D1347,0)</f>
        <v>525</v>
      </c>
      <c r="G1347" t="str">
        <f>A1347</f>
        <v>1/01</v>
      </c>
      <c r="H1347" s="47">
        <f>H1345</f>
        <v>-2103</v>
      </c>
      <c r="I1347" s="28">
        <f>0.028/12</f>
        <v>0.0023333333333333335</v>
      </c>
      <c r="J1347" s="47">
        <f>ROUND((H1345*I1347)+(0*I1347/2),0)</f>
        <v>-5</v>
      </c>
      <c r="K1347">
        <f>ROUND(+K1345+J1347,0)</f>
        <v>11</v>
      </c>
      <c r="M1347" t="str">
        <f>A1347</f>
        <v>1/01</v>
      </c>
      <c r="N1347" s="47">
        <f>N1345+0</f>
        <v>36352</v>
      </c>
      <c r="O1347" s="28">
        <f>0.028/12</f>
        <v>0.0023333333333333335</v>
      </c>
      <c r="P1347" s="47">
        <f>ROUND((N1345*O1347)+(0*O1347/2),0)-7</f>
        <v>78</v>
      </c>
      <c r="Q1347">
        <f>ROUND(+Q1345+P1347,0)</f>
        <v>233</v>
      </c>
      <c r="S1347" s="47">
        <f>B1347+H1347+N1347</f>
        <v>458146</v>
      </c>
      <c r="T1347" s="70" t="s">
        <v>384</v>
      </c>
      <c r="U1347" s="47">
        <f>D1347+J1347+P1347</f>
        <v>146</v>
      </c>
      <c r="V1347">
        <f>ROUND(+V1345+U1347,0)</f>
        <v>769</v>
      </c>
      <c r="X1347">
        <v>-1109</v>
      </c>
    </row>
    <row r="1348" spans="1:24" ht="15">
      <c r="A1348" s="43" t="s">
        <v>358</v>
      </c>
      <c r="B1348" s="47">
        <f>B1347+0</f>
        <v>423897</v>
      </c>
      <c r="C1348" s="28">
        <f aca="true" t="shared" si="340" ref="C1348:C1358">0.028/12</f>
        <v>0.0023333333333333335</v>
      </c>
      <c r="D1348" s="47">
        <f>ROUND((B1347*C1348)+(0*C1348/2),0)-916</f>
        <v>73</v>
      </c>
      <c r="E1348">
        <f>ROUND(+E1347+D1348,0)</f>
        <v>598</v>
      </c>
      <c r="G1348" t="str">
        <f aca="true" t="shared" si="341" ref="G1348:G1358">A1348</f>
        <v>2/01</v>
      </c>
      <c r="H1348" s="47">
        <f>H1347</f>
        <v>-2103</v>
      </c>
      <c r="I1348" s="28">
        <f aca="true" t="shared" si="342" ref="I1348:I1358">0.028/12</f>
        <v>0.0023333333333333335</v>
      </c>
      <c r="J1348" s="47">
        <f aca="true" t="shared" si="343" ref="J1348:J1358">ROUND((H1347*I1348)+(0*I1348/2),0)</f>
        <v>-5</v>
      </c>
      <c r="K1348">
        <f>ROUND(+K1347+J1348,0)</f>
        <v>6</v>
      </c>
      <c r="M1348" t="str">
        <f aca="true" t="shared" si="344" ref="M1348:M1358">A1348</f>
        <v>2/01</v>
      </c>
      <c r="N1348" s="47">
        <f>N1347</f>
        <v>36352</v>
      </c>
      <c r="O1348" s="28">
        <f aca="true" t="shared" si="345" ref="O1348:O1358">0.028/12</f>
        <v>0.0023333333333333335</v>
      </c>
      <c r="P1348" s="47">
        <f aca="true" t="shared" si="346" ref="P1348:P1358">ROUND((N1347*O1348)+(0*O1348/2),0)-7</f>
        <v>78</v>
      </c>
      <c r="Q1348">
        <f>ROUND(+Q1347+P1348,0)</f>
        <v>311</v>
      </c>
      <c r="S1348" s="47">
        <f aca="true" t="shared" si="347" ref="S1348:S1358">B1348+H1348+N1348</f>
        <v>458146</v>
      </c>
      <c r="T1348" s="70" t="s">
        <v>384</v>
      </c>
      <c r="U1348" s="47">
        <f aca="true" t="shared" si="348" ref="U1348:U1358">D1348+J1348+P1348</f>
        <v>146</v>
      </c>
      <c r="V1348">
        <f>ROUND(+V1347+U1348,0)</f>
        <v>915</v>
      </c>
      <c r="X1348">
        <v>-1109</v>
      </c>
    </row>
    <row r="1349" spans="1:24" ht="15">
      <c r="A1349" s="43" t="s">
        <v>359</v>
      </c>
      <c r="B1349" s="47">
        <f aca="true" t="shared" si="349" ref="B1349:B1358">B1348</f>
        <v>423897</v>
      </c>
      <c r="C1349" s="28">
        <f t="shared" si="340"/>
        <v>0.0023333333333333335</v>
      </c>
      <c r="D1349" s="47">
        <f aca="true" t="shared" si="350" ref="D1349:D1358">ROUND((B1348*C1349)+(0*C1349/2),0)-916</f>
        <v>73</v>
      </c>
      <c r="E1349">
        <f aca="true" t="shared" si="351" ref="E1349:E1358">ROUND(+E1348+D1349,0)</f>
        <v>671</v>
      </c>
      <c r="G1349" t="str">
        <f t="shared" si="341"/>
        <v>3/01</v>
      </c>
      <c r="H1349" s="47">
        <f aca="true" t="shared" si="352" ref="H1349:H1358">H1348</f>
        <v>-2103</v>
      </c>
      <c r="I1349" s="28">
        <f t="shared" si="342"/>
        <v>0.0023333333333333335</v>
      </c>
      <c r="J1349" s="47">
        <f t="shared" si="343"/>
        <v>-5</v>
      </c>
      <c r="K1349">
        <f aca="true" t="shared" si="353" ref="K1349:K1358">ROUND(+K1348+J1349,0)</f>
        <v>1</v>
      </c>
      <c r="M1349" t="str">
        <f t="shared" si="344"/>
        <v>3/01</v>
      </c>
      <c r="N1349" s="47">
        <f aca="true" t="shared" si="354" ref="N1349:N1358">N1348</f>
        <v>36352</v>
      </c>
      <c r="O1349" s="28">
        <f t="shared" si="345"/>
        <v>0.0023333333333333335</v>
      </c>
      <c r="P1349" s="47">
        <f t="shared" si="346"/>
        <v>78</v>
      </c>
      <c r="Q1349">
        <f aca="true" t="shared" si="355" ref="Q1349:Q1358">ROUND(+Q1348+P1349,0)</f>
        <v>389</v>
      </c>
      <c r="S1349" s="47">
        <f t="shared" si="347"/>
        <v>458146</v>
      </c>
      <c r="T1349" s="70" t="s">
        <v>384</v>
      </c>
      <c r="U1349" s="47">
        <f t="shared" si="348"/>
        <v>146</v>
      </c>
      <c r="V1349">
        <f aca="true" t="shared" si="356" ref="V1349:V1358">ROUND(+V1348+U1349,0)</f>
        <v>1061</v>
      </c>
      <c r="X1349">
        <v>-1109</v>
      </c>
    </row>
    <row r="1350" spans="1:24" ht="15">
      <c r="A1350" s="43" t="s">
        <v>360</v>
      </c>
      <c r="B1350" s="47">
        <f t="shared" si="349"/>
        <v>423897</v>
      </c>
      <c r="C1350" s="28">
        <f t="shared" si="340"/>
        <v>0.0023333333333333335</v>
      </c>
      <c r="D1350" s="47">
        <f t="shared" si="350"/>
        <v>73</v>
      </c>
      <c r="E1350">
        <f t="shared" si="351"/>
        <v>744</v>
      </c>
      <c r="G1350" t="str">
        <f t="shared" si="341"/>
        <v>4/01</v>
      </c>
      <c r="H1350" s="47">
        <f t="shared" si="352"/>
        <v>-2103</v>
      </c>
      <c r="I1350" s="28">
        <f t="shared" si="342"/>
        <v>0.0023333333333333335</v>
      </c>
      <c r="J1350" s="47">
        <f t="shared" si="343"/>
        <v>-5</v>
      </c>
      <c r="K1350">
        <f t="shared" si="353"/>
        <v>-4</v>
      </c>
      <c r="M1350" t="str">
        <f t="shared" si="344"/>
        <v>4/01</v>
      </c>
      <c r="N1350" s="47">
        <f t="shared" si="354"/>
        <v>36352</v>
      </c>
      <c r="O1350" s="28">
        <f t="shared" si="345"/>
        <v>0.0023333333333333335</v>
      </c>
      <c r="P1350" s="47">
        <f t="shared" si="346"/>
        <v>78</v>
      </c>
      <c r="Q1350">
        <f t="shared" si="355"/>
        <v>467</v>
      </c>
      <c r="S1350" s="47">
        <f t="shared" si="347"/>
        <v>458146</v>
      </c>
      <c r="T1350" s="70" t="s">
        <v>384</v>
      </c>
      <c r="U1350" s="47">
        <f t="shared" si="348"/>
        <v>146</v>
      </c>
      <c r="V1350">
        <f t="shared" si="356"/>
        <v>1207</v>
      </c>
      <c r="X1350">
        <v>-1109</v>
      </c>
    </row>
    <row r="1351" spans="1:24" ht="15">
      <c r="A1351" s="43" t="s">
        <v>361</v>
      </c>
      <c r="B1351" s="47">
        <f t="shared" si="349"/>
        <v>423897</v>
      </c>
      <c r="C1351" s="28">
        <f t="shared" si="340"/>
        <v>0.0023333333333333335</v>
      </c>
      <c r="D1351" s="47">
        <f t="shared" si="350"/>
        <v>73</v>
      </c>
      <c r="E1351">
        <f t="shared" si="351"/>
        <v>817</v>
      </c>
      <c r="G1351" t="str">
        <f t="shared" si="341"/>
        <v>5/01</v>
      </c>
      <c r="H1351" s="47">
        <f t="shared" si="352"/>
        <v>-2103</v>
      </c>
      <c r="I1351" s="28">
        <f t="shared" si="342"/>
        <v>0.0023333333333333335</v>
      </c>
      <c r="J1351" s="47">
        <f t="shared" si="343"/>
        <v>-5</v>
      </c>
      <c r="K1351">
        <f t="shared" si="353"/>
        <v>-9</v>
      </c>
      <c r="M1351" t="str">
        <f t="shared" si="344"/>
        <v>5/01</v>
      </c>
      <c r="N1351" s="47">
        <f t="shared" si="354"/>
        <v>36352</v>
      </c>
      <c r="O1351" s="28">
        <f t="shared" si="345"/>
        <v>0.0023333333333333335</v>
      </c>
      <c r="P1351" s="47">
        <f t="shared" si="346"/>
        <v>78</v>
      </c>
      <c r="Q1351">
        <f t="shared" si="355"/>
        <v>545</v>
      </c>
      <c r="S1351" s="47">
        <f t="shared" si="347"/>
        <v>458146</v>
      </c>
      <c r="T1351" s="70" t="s">
        <v>384</v>
      </c>
      <c r="U1351" s="47">
        <f t="shared" si="348"/>
        <v>146</v>
      </c>
      <c r="V1351">
        <f t="shared" si="356"/>
        <v>1353</v>
      </c>
      <c r="X1351">
        <v>-1109</v>
      </c>
    </row>
    <row r="1352" spans="1:24" ht="15">
      <c r="A1352" s="43" t="s">
        <v>362</v>
      </c>
      <c r="B1352" s="47">
        <f t="shared" si="349"/>
        <v>423897</v>
      </c>
      <c r="C1352" s="28">
        <f t="shared" si="340"/>
        <v>0.0023333333333333335</v>
      </c>
      <c r="D1352" s="47">
        <f t="shared" si="350"/>
        <v>73</v>
      </c>
      <c r="E1352">
        <f t="shared" si="351"/>
        <v>890</v>
      </c>
      <c r="G1352" t="str">
        <f t="shared" si="341"/>
        <v>6/01</v>
      </c>
      <c r="H1352" s="47">
        <f t="shared" si="352"/>
        <v>-2103</v>
      </c>
      <c r="I1352" s="28">
        <f t="shared" si="342"/>
        <v>0.0023333333333333335</v>
      </c>
      <c r="J1352" s="47">
        <f t="shared" si="343"/>
        <v>-5</v>
      </c>
      <c r="K1352">
        <f t="shared" si="353"/>
        <v>-14</v>
      </c>
      <c r="M1352" t="str">
        <f t="shared" si="344"/>
        <v>6/01</v>
      </c>
      <c r="N1352" s="47">
        <f t="shared" si="354"/>
        <v>36352</v>
      </c>
      <c r="O1352" s="28">
        <f t="shared" si="345"/>
        <v>0.0023333333333333335</v>
      </c>
      <c r="P1352" s="47">
        <f t="shared" si="346"/>
        <v>78</v>
      </c>
      <c r="Q1352">
        <f t="shared" si="355"/>
        <v>623</v>
      </c>
      <c r="S1352" s="47">
        <f t="shared" si="347"/>
        <v>458146</v>
      </c>
      <c r="T1352" s="70" t="s">
        <v>384</v>
      </c>
      <c r="U1352" s="47">
        <f t="shared" si="348"/>
        <v>146</v>
      </c>
      <c r="V1352">
        <f t="shared" si="356"/>
        <v>1499</v>
      </c>
      <c r="X1352">
        <v>-1109</v>
      </c>
    </row>
    <row r="1353" spans="1:24" ht="15">
      <c r="A1353" s="43" t="s">
        <v>363</v>
      </c>
      <c r="B1353" s="47">
        <f t="shared" si="349"/>
        <v>423897</v>
      </c>
      <c r="C1353" s="28">
        <f t="shared" si="340"/>
        <v>0.0023333333333333335</v>
      </c>
      <c r="D1353" s="47">
        <f t="shared" si="350"/>
        <v>73</v>
      </c>
      <c r="E1353">
        <f t="shared" si="351"/>
        <v>963</v>
      </c>
      <c r="G1353" t="str">
        <f t="shared" si="341"/>
        <v>7/01</v>
      </c>
      <c r="H1353" s="47">
        <f t="shared" si="352"/>
        <v>-2103</v>
      </c>
      <c r="I1353" s="28">
        <f t="shared" si="342"/>
        <v>0.0023333333333333335</v>
      </c>
      <c r="J1353" s="47">
        <f t="shared" si="343"/>
        <v>-5</v>
      </c>
      <c r="K1353">
        <f t="shared" si="353"/>
        <v>-19</v>
      </c>
      <c r="M1353" t="str">
        <f t="shared" si="344"/>
        <v>7/01</v>
      </c>
      <c r="N1353" s="47">
        <f t="shared" si="354"/>
        <v>36352</v>
      </c>
      <c r="O1353" s="28">
        <f t="shared" si="345"/>
        <v>0.0023333333333333335</v>
      </c>
      <c r="P1353" s="47">
        <f t="shared" si="346"/>
        <v>78</v>
      </c>
      <c r="Q1353">
        <f t="shared" si="355"/>
        <v>701</v>
      </c>
      <c r="S1353" s="47">
        <f t="shared" si="347"/>
        <v>458146</v>
      </c>
      <c r="T1353" s="70" t="s">
        <v>384</v>
      </c>
      <c r="U1353" s="47">
        <f t="shared" si="348"/>
        <v>146</v>
      </c>
      <c r="V1353">
        <f t="shared" si="356"/>
        <v>1645</v>
      </c>
      <c r="X1353">
        <v>-1109</v>
      </c>
    </row>
    <row r="1354" spans="1:24" ht="15">
      <c r="A1354" s="43" t="s">
        <v>364</v>
      </c>
      <c r="B1354" s="47">
        <f t="shared" si="349"/>
        <v>423897</v>
      </c>
      <c r="C1354" s="28">
        <f t="shared" si="340"/>
        <v>0.0023333333333333335</v>
      </c>
      <c r="D1354" s="47">
        <f t="shared" si="350"/>
        <v>73</v>
      </c>
      <c r="E1354">
        <f t="shared" si="351"/>
        <v>1036</v>
      </c>
      <c r="G1354" t="str">
        <f t="shared" si="341"/>
        <v>8/01</v>
      </c>
      <c r="H1354" s="47">
        <f t="shared" si="352"/>
        <v>-2103</v>
      </c>
      <c r="I1354" s="28">
        <f t="shared" si="342"/>
        <v>0.0023333333333333335</v>
      </c>
      <c r="J1354" s="47">
        <f t="shared" si="343"/>
        <v>-5</v>
      </c>
      <c r="K1354">
        <f t="shared" si="353"/>
        <v>-24</v>
      </c>
      <c r="M1354" t="str">
        <f t="shared" si="344"/>
        <v>8/01</v>
      </c>
      <c r="N1354" s="47">
        <f t="shared" si="354"/>
        <v>36352</v>
      </c>
      <c r="O1354" s="28">
        <f t="shared" si="345"/>
        <v>0.0023333333333333335</v>
      </c>
      <c r="P1354" s="47">
        <f t="shared" si="346"/>
        <v>78</v>
      </c>
      <c r="Q1354">
        <f t="shared" si="355"/>
        <v>779</v>
      </c>
      <c r="S1354" s="47">
        <f t="shared" si="347"/>
        <v>458146</v>
      </c>
      <c r="T1354" s="70" t="s">
        <v>384</v>
      </c>
      <c r="U1354" s="47">
        <f t="shared" si="348"/>
        <v>146</v>
      </c>
      <c r="V1354">
        <f t="shared" si="356"/>
        <v>1791</v>
      </c>
      <c r="X1354">
        <v>-1109</v>
      </c>
    </row>
    <row r="1355" spans="1:24" ht="15">
      <c r="A1355" s="43" t="s">
        <v>365</v>
      </c>
      <c r="B1355" s="47">
        <f t="shared" si="349"/>
        <v>423897</v>
      </c>
      <c r="C1355" s="28">
        <f t="shared" si="340"/>
        <v>0.0023333333333333335</v>
      </c>
      <c r="D1355" s="47">
        <f t="shared" si="350"/>
        <v>73</v>
      </c>
      <c r="E1355">
        <f t="shared" si="351"/>
        <v>1109</v>
      </c>
      <c r="G1355" t="str">
        <f t="shared" si="341"/>
        <v>9/01</v>
      </c>
      <c r="H1355" s="47">
        <f t="shared" si="352"/>
        <v>-2103</v>
      </c>
      <c r="I1355" s="28">
        <f t="shared" si="342"/>
        <v>0.0023333333333333335</v>
      </c>
      <c r="J1355" s="47">
        <f t="shared" si="343"/>
        <v>-5</v>
      </c>
      <c r="K1355">
        <f t="shared" si="353"/>
        <v>-29</v>
      </c>
      <c r="M1355" t="str">
        <f t="shared" si="344"/>
        <v>9/01</v>
      </c>
      <c r="N1355" s="47">
        <f t="shared" si="354"/>
        <v>36352</v>
      </c>
      <c r="O1355" s="28">
        <f t="shared" si="345"/>
        <v>0.0023333333333333335</v>
      </c>
      <c r="P1355" s="47">
        <f t="shared" si="346"/>
        <v>78</v>
      </c>
      <c r="Q1355">
        <f t="shared" si="355"/>
        <v>857</v>
      </c>
      <c r="S1355" s="47">
        <f t="shared" si="347"/>
        <v>458146</v>
      </c>
      <c r="T1355" s="70" t="s">
        <v>384</v>
      </c>
      <c r="U1355" s="47">
        <f t="shared" si="348"/>
        <v>146</v>
      </c>
      <c r="V1355">
        <f t="shared" si="356"/>
        <v>1937</v>
      </c>
      <c r="X1355">
        <v>-1109</v>
      </c>
    </row>
    <row r="1356" spans="1:24" ht="15">
      <c r="A1356" s="43" t="s">
        <v>366</v>
      </c>
      <c r="B1356" s="47">
        <f t="shared" si="349"/>
        <v>423897</v>
      </c>
      <c r="C1356" s="28">
        <f t="shared" si="340"/>
        <v>0.0023333333333333335</v>
      </c>
      <c r="D1356" s="47">
        <f t="shared" si="350"/>
        <v>73</v>
      </c>
      <c r="E1356">
        <f t="shared" si="351"/>
        <v>1182</v>
      </c>
      <c r="G1356" t="str">
        <f t="shared" si="341"/>
        <v>10/01</v>
      </c>
      <c r="H1356" s="47">
        <f t="shared" si="352"/>
        <v>-2103</v>
      </c>
      <c r="I1356" s="28">
        <f t="shared" si="342"/>
        <v>0.0023333333333333335</v>
      </c>
      <c r="J1356" s="47">
        <f t="shared" si="343"/>
        <v>-5</v>
      </c>
      <c r="K1356">
        <f t="shared" si="353"/>
        <v>-34</v>
      </c>
      <c r="M1356" t="str">
        <f t="shared" si="344"/>
        <v>10/01</v>
      </c>
      <c r="N1356" s="47">
        <f t="shared" si="354"/>
        <v>36352</v>
      </c>
      <c r="O1356" s="28">
        <f t="shared" si="345"/>
        <v>0.0023333333333333335</v>
      </c>
      <c r="P1356" s="47">
        <f t="shared" si="346"/>
        <v>78</v>
      </c>
      <c r="Q1356">
        <f t="shared" si="355"/>
        <v>935</v>
      </c>
      <c r="S1356" s="47">
        <f t="shared" si="347"/>
        <v>458146</v>
      </c>
      <c r="T1356" s="70" t="s">
        <v>384</v>
      </c>
      <c r="U1356" s="47">
        <f t="shared" si="348"/>
        <v>146</v>
      </c>
      <c r="V1356">
        <f t="shared" si="356"/>
        <v>2083</v>
      </c>
      <c r="X1356">
        <v>-1109</v>
      </c>
    </row>
    <row r="1357" spans="1:24" ht="15">
      <c r="A1357" s="43" t="s">
        <v>367</v>
      </c>
      <c r="B1357" s="47">
        <f t="shared" si="349"/>
        <v>423897</v>
      </c>
      <c r="C1357" s="28">
        <f t="shared" si="340"/>
        <v>0.0023333333333333335</v>
      </c>
      <c r="D1357" s="47">
        <f t="shared" si="350"/>
        <v>73</v>
      </c>
      <c r="E1357">
        <f t="shared" si="351"/>
        <v>1255</v>
      </c>
      <c r="G1357" t="str">
        <f t="shared" si="341"/>
        <v>11/01</v>
      </c>
      <c r="H1357" s="47">
        <f t="shared" si="352"/>
        <v>-2103</v>
      </c>
      <c r="I1357" s="28">
        <f t="shared" si="342"/>
        <v>0.0023333333333333335</v>
      </c>
      <c r="J1357" s="47">
        <f t="shared" si="343"/>
        <v>-5</v>
      </c>
      <c r="K1357">
        <f t="shared" si="353"/>
        <v>-39</v>
      </c>
      <c r="M1357" t="str">
        <f t="shared" si="344"/>
        <v>11/01</v>
      </c>
      <c r="N1357" s="47">
        <f t="shared" si="354"/>
        <v>36352</v>
      </c>
      <c r="O1357" s="28">
        <f t="shared" si="345"/>
        <v>0.0023333333333333335</v>
      </c>
      <c r="P1357" s="47">
        <f t="shared" si="346"/>
        <v>78</v>
      </c>
      <c r="Q1357">
        <f t="shared" si="355"/>
        <v>1013</v>
      </c>
      <c r="S1357" s="47">
        <f t="shared" si="347"/>
        <v>458146</v>
      </c>
      <c r="T1357" s="70" t="s">
        <v>384</v>
      </c>
      <c r="U1357" s="47">
        <f t="shared" si="348"/>
        <v>146</v>
      </c>
      <c r="V1357">
        <f t="shared" si="356"/>
        <v>2229</v>
      </c>
      <c r="X1357">
        <v>-1109</v>
      </c>
    </row>
    <row r="1358" spans="1:24" ht="15">
      <c r="A1358" s="43" t="s">
        <v>368</v>
      </c>
      <c r="B1358" s="47">
        <f t="shared" si="349"/>
        <v>423897</v>
      </c>
      <c r="C1358" s="28">
        <f t="shared" si="340"/>
        <v>0.0023333333333333335</v>
      </c>
      <c r="D1358" s="47">
        <f t="shared" si="350"/>
        <v>73</v>
      </c>
      <c r="E1358">
        <f t="shared" si="351"/>
        <v>1328</v>
      </c>
      <c r="G1358" t="str">
        <f t="shared" si="341"/>
        <v>12/01</v>
      </c>
      <c r="H1358" s="47">
        <f t="shared" si="352"/>
        <v>-2103</v>
      </c>
      <c r="I1358" s="28">
        <f t="shared" si="342"/>
        <v>0.0023333333333333335</v>
      </c>
      <c r="J1358" s="47">
        <f t="shared" si="343"/>
        <v>-5</v>
      </c>
      <c r="K1358">
        <f t="shared" si="353"/>
        <v>-44</v>
      </c>
      <c r="M1358" t="str">
        <f t="shared" si="344"/>
        <v>12/01</v>
      </c>
      <c r="N1358" s="47">
        <f t="shared" si="354"/>
        <v>36352</v>
      </c>
      <c r="O1358" s="28">
        <f t="shared" si="345"/>
        <v>0.0023333333333333335</v>
      </c>
      <c r="P1358" s="47">
        <f t="shared" si="346"/>
        <v>78</v>
      </c>
      <c r="Q1358">
        <f t="shared" si="355"/>
        <v>1091</v>
      </c>
      <c r="S1358" s="47">
        <f t="shared" si="347"/>
        <v>458146</v>
      </c>
      <c r="T1358" s="70" t="s">
        <v>384</v>
      </c>
      <c r="U1358" s="47">
        <f t="shared" si="348"/>
        <v>146</v>
      </c>
      <c r="V1358">
        <f t="shared" si="356"/>
        <v>2375</v>
      </c>
      <c r="X1358">
        <v>-1109</v>
      </c>
    </row>
    <row r="1360" spans="1:24" ht="15">
      <c r="A1360" s="73" t="s">
        <v>423</v>
      </c>
      <c r="B1360" s="47">
        <f>B1358+350528+20571624</f>
        <v>21346049</v>
      </c>
      <c r="C1360" s="28">
        <f>0.028/12</f>
        <v>0.0023333333333333335</v>
      </c>
      <c r="D1360" s="47">
        <f>ROUND((B1358*C1360)+(20921543*C1360/2),0)-916</f>
        <v>24482</v>
      </c>
      <c r="E1360">
        <f>ROUND(+E1358+D1360,0)</f>
        <v>25810</v>
      </c>
      <c r="G1360" s="73" t="s">
        <v>423</v>
      </c>
      <c r="H1360" s="47">
        <f>H1358</f>
        <v>-2103</v>
      </c>
      <c r="I1360" s="28">
        <f>0.028/12</f>
        <v>0.0023333333333333335</v>
      </c>
      <c r="J1360" s="47">
        <f>ROUND((H1358*I1360)+(0*I1360/2),0)</f>
        <v>-5</v>
      </c>
      <c r="K1360">
        <f>ROUND(+K1358+J1360,0)</f>
        <v>-49</v>
      </c>
      <c r="M1360" s="73" t="s">
        <v>423</v>
      </c>
      <c r="N1360" s="47">
        <f>N1358+0</f>
        <v>36352</v>
      </c>
      <c r="O1360" s="28">
        <f>0.028/12</f>
        <v>0.0023333333333333335</v>
      </c>
      <c r="P1360" s="47">
        <f>ROUND((N1358*O1360)+(0*O1360/2),0)-7</f>
        <v>78</v>
      </c>
      <c r="Q1360">
        <f>ROUND(+Q1358+P1360,0)</f>
        <v>1169</v>
      </c>
      <c r="S1360" s="47">
        <f>B1360+H1360+N1360</f>
        <v>21380298</v>
      </c>
      <c r="T1360" s="70" t="s">
        <v>384</v>
      </c>
      <c r="U1360" s="47">
        <f>D1360+J1360+P1360</f>
        <v>24555</v>
      </c>
      <c r="V1360">
        <f>ROUND(+V1358+U1360,0)</f>
        <v>26930</v>
      </c>
      <c r="X1360">
        <v>-1109</v>
      </c>
    </row>
    <row r="1361" spans="1:24" ht="15">
      <c r="A1361" s="72" t="s">
        <v>424</v>
      </c>
      <c r="B1361" s="47">
        <f>B1360-187470</f>
        <v>21158579</v>
      </c>
      <c r="C1361" s="28">
        <f aca="true" t="shared" si="357" ref="C1361:C1371">0.028/12</f>
        <v>0.0023333333333333335</v>
      </c>
      <c r="D1361" s="47">
        <f>ROUND((B1360*C1361)+(-187470*C1361/2),0)-916</f>
        <v>48673</v>
      </c>
      <c r="E1361">
        <f>ROUND(+E1360+D1361,0)</f>
        <v>74483</v>
      </c>
      <c r="G1361" s="72" t="s">
        <v>424</v>
      </c>
      <c r="H1361" s="47">
        <f>H1360</f>
        <v>-2103</v>
      </c>
      <c r="I1361" s="28">
        <f aca="true" t="shared" si="358" ref="I1361:I1371">0.028/12</f>
        <v>0.0023333333333333335</v>
      </c>
      <c r="J1361" s="47">
        <f aca="true" t="shared" si="359" ref="J1361:J1371">ROUND((H1360*I1361)+(0*I1361/2),0)</f>
        <v>-5</v>
      </c>
      <c r="K1361">
        <f>ROUND(+K1360+J1361,0)</f>
        <v>-54</v>
      </c>
      <c r="M1361" s="72" t="s">
        <v>424</v>
      </c>
      <c r="N1361" s="47">
        <f>N1360</f>
        <v>36352</v>
      </c>
      <c r="O1361" s="28">
        <f aca="true" t="shared" si="360" ref="O1361:O1371">0.028/12</f>
        <v>0.0023333333333333335</v>
      </c>
      <c r="P1361" s="47">
        <f aca="true" t="shared" si="361" ref="P1361:P1371">ROUND((N1360*O1361)+(0*O1361/2),0)-7</f>
        <v>78</v>
      </c>
      <c r="Q1361">
        <f>ROUND(+Q1360+P1361,0)</f>
        <v>1247</v>
      </c>
      <c r="S1361" s="47">
        <f aca="true" t="shared" si="362" ref="S1361:S1371">B1361+H1361+N1361+0</f>
        <v>21192828</v>
      </c>
      <c r="T1361" s="70" t="s">
        <v>384</v>
      </c>
      <c r="U1361" s="47">
        <f>D1361+J1361+P1361</f>
        <v>48746</v>
      </c>
      <c r="V1361">
        <f>ROUND(+V1360+U1361,0)</f>
        <v>75676</v>
      </c>
      <c r="X1361">
        <v>-1109</v>
      </c>
    </row>
    <row r="1362" spans="1:24" ht="15">
      <c r="A1362" s="72" t="s">
        <v>425</v>
      </c>
      <c r="B1362" s="47">
        <f>B1361+642788</f>
        <v>21801367</v>
      </c>
      <c r="C1362" s="28">
        <f t="shared" si="357"/>
        <v>0.0023333333333333335</v>
      </c>
      <c r="D1362" s="47">
        <f>ROUND((B1361*C1362)+(642788*C1362/2),0)-916</f>
        <v>49204</v>
      </c>
      <c r="E1362">
        <f aca="true" t="shared" si="363" ref="E1362:E1371">ROUND(+E1361+D1362,0)</f>
        <v>123687</v>
      </c>
      <c r="G1362" s="72" t="s">
        <v>425</v>
      </c>
      <c r="H1362" s="47">
        <f aca="true" t="shared" si="364" ref="H1362:H1371">H1361</f>
        <v>-2103</v>
      </c>
      <c r="I1362" s="28">
        <f t="shared" si="358"/>
        <v>0.0023333333333333335</v>
      </c>
      <c r="J1362" s="47">
        <f t="shared" si="359"/>
        <v>-5</v>
      </c>
      <c r="K1362">
        <f aca="true" t="shared" si="365" ref="K1362:K1371">ROUND(+K1361+J1362,0)</f>
        <v>-59</v>
      </c>
      <c r="M1362" s="72" t="s">
        <v>425</v>
      </c>
      <c r="N1362" s="47">
        <f aca="true" t="shared" si="366" ref="N1362:N1371">N1361</f>
        <v>36352</v>
      </c>
      <c r="O1362" s="28">
        <f t="shared" si="360"/>
        <v>0.0023333333333333335</v>
      </c>
      <c r="P1362" s="47">
        <f t="shared" si="361"/>
        <v>78</v>
      </c>
      <c r="Q1362">
        <f aca="true" t="shared" si="367" ref="Q1362:Q1371">ROUND(+Q1361+P1362,0)</f>
        <v>1325</v>
      </c>
      <c r="S1362" s="47">
        <f t="shared" si="362"/>
        <v>21835616</v>
      </c>
      <c r="T1362" s="70" t="s">
        <v>384</v>
      </c>
      <c r="U1362" s="47">
        <f aca="true" t="shared" si="368" ref="U1362:U1371">D1362+J1362+P1362</f>
        <v>49277</v>
      </c>
      <c r="V1362">
        <f aca="true" t="shared" si="369" ref="V1362:V1371">ROUND(+V1361+U1362,0)</f>
        <v>124953</v>
      </c>
      <c r="X1362">
        <v>-1109</v>
      </c>
    </row>
    <row r="1363" spans="1:24" ht="15">
      <c r="A1363" s="72" t="s">
        <v>426</v>
      </c>
      <c r="B1363" s="47">
        <f>B1362+21922</f>
        <v>21823289</v>
      </c>
      <c r="C1363" s="28">
        <f t="shared" si="357"/>
        <v>0.0023333333333333335</v>
      </c>
      <c r="D1363" s="47">
        <f>ROUND((B1362*C1363)+(21922*C1363/2),0)-916</f>
        <v>49979</v>
      </c>
      <c r="E1363">
        <f t="shared" si="363"/>
        <v>173666</v>
      </c>
      <c r="G1363" s="72" t="s">
        <v>426</v>
      </c>
      <c r="H1363" s="47">
        <f t="shared" si="364"/>
        <v>-2103</v>
      </c>
      <c r="I1363" s="28">
        <f t="shared" si="358"/>
        <v>0.0023333333333333335</v>
      </c>
      <c r="J1363" s="47">
        <f t="shared" si="359"/>
        <v>-5</v>
      </c>
      <c r="K1363">
        <f t="shared" si="365"/>
        <v>-64</v>
      </c>
      <c r="M1363" s="72" t="s">
        <v>426</v>
      </c>
      <c r="N1363" s="47">
        <f t="shared" si="366"/>
        <v>36352</v>
      </c>
      <c r="O1363" s="28">
        <f t="shared" si="360"/>
        <v>0.0023333333333333335</v>
      </c>
      <c r="P1363" s="47">
        <f t="shared" si="361"/>
        <v>78</v>
      </c>
      <c r="Q1363">
        <f t="shared" si="367"/>
        <v>1403</v>
      </c>
      <c r="S1363" s="47">
        <f t="shared" si="362"/>
        <v>21857538</v>
      </c>
      <c r="T1363" s="70" t="s">
        <v>384</v>
      </c>
      <c r="U1363" s="47">
        <f t="shared" si="368"/>
        <v>50052</v>
      </c>
      <c r="V1363">
        <f t="shared" si="369"/>
        <v>175005</v>
      </c>
      <c r="X1363">
        <v>-1109</v>
      </c>
    </row>
    <row r="1364" spans="1:24" ht="15">
      <c r="A1364" s="72" t="s">
        <v>410</v>
      </c>
      <c r="B1364" s="47">
        <f>B1363+44908</f>
        <v>21868197</v>
      </c>
      <c r="C1364" s="28">
        <f t="shared" si="357"/>
        <v>0.0023333333333333335</v>
      </c>
      <c r="D1364" s="47">
        <f>ROUND((B1363*C1364)+(44908*C1364/2),0)-916</f>
        <v>50057</v>
      </c>
      <c r="E1364">
        <f t="shared" si="363"/>
        <v>223723</v>
      </c>
      <c r="G1364" s="72" t="s">
        <v>410</v>
      </c>
      <c r="H1364" s="47">
        <f t="shared" si="364"/>
        <v>-2103</v>
      </c>
      <c r="I1364" s="28">
        <f t="shared" si="358"/>
        <v>0.0023333333333333335</v>
      </c>
      <c r="J1364" s="47">
        <f t="shared" si="359"/>
        <v>-5</v>
      </c>
      <c r="K1364">
        <f t="shared" si="365"/>
        <v>-69</v>
      </c>
      <c r="M1364" s="72" t="s">
        <v>410</v>
      </c>
      <c r="N1364" s="47">
        <f t="shared" si="366"/>
        <v>36352</v>
      </c>
      <c r="O1364" s="28">
        <f t="shared" si="360"/>
        <v>0.0023333333333333335</v>
      </c>
      <c r="P1364" s="47">
        <f t="shared" si="361"/>
        <v>78</v>
      </c>
      <c r="Q1364">
        <f t="shared" si="367"/>
        <v>1481</v>
      </c>
      <c r="S1364" s="47">
        <f t="shared" si="362"/>
        <v>21902446</v>
      </c>
      <c r="T1364" s="70" t="s">
        <v>384</v>
      </c>
      <c r="U1364" s="47">
        <f t="shared" si="368"/>
        <v>50130</v>
      </c>
      <c r="V1364">
        <f t="shared" si="369"/>
        <v>225135</v>
      </c>
      <c r="X1364">
        <v>-1109</v>
      </c>
    </row>
    <row r="1365" spans="1:24" ht="15">
      <c r="A1365" s="72" t="s">
        <v>427</v>
      </c>
      <c r="B1365" s="47">
        <f>B1364+21255</f>
        <v>21889452</v>
      </c>
      <c r="C1365" s="28">
        <f t="shared" si="357"/>
        <v>0.0023333333333333335</v>
      </c>
      <c r="D1365" s="47">
        <f>ROUND((B1364*C1365)+(21255*C1365/2),0)-916</f>
        <v>50135</v>
      </c>
      <c r="E1365">
        <f t="shared" si="363"/>
        <v>273858</v>
      </c>
      <c r="G1365" s="72" t="s">
        <v>427</v>
      </c>
      <c r="H1365" s="47">
        <f t="shared" si="364"/>
        <v>-2103</v>
      </c>
      <c r="I1365" s="28">
        <f t="shared" si="358"/>
        <v>0.0023333333333333335</v>
      </c>
      <c r="J1365" s="47">
        <f t="shared" si="359"/>
        <v>-5</v>
      </c>
      <c r="K1365">
        <f t="shared" si="365"/>
        <v>-74</v>
      </c>
      <c r="M1365" s="72" t="s">
        <v>427</v>
      </c>
      <c r="N1365" s="47">
        <f t="shared" si="366"/>
        <v>36352</v>
      </c>
      <c r="O1365" s="28">
        <f t="shared" si="360"/>
        <v>0.0023333333333333335</v>
      </c>
      <c r="P1365" s="47">
        <f t="shared" si="361"/>
        <v>78</v>
      </c>
      <c r="Q1365">
        <f t="shared" si="367"/>
        <v>1559</v>
      </c>
      <c r="S1365" s="47">
        <f t="shared" si="362"/>
        <v>21923701</v>
      </c>
      <c r="T1365" s="70" t="s">
        <v>384</v>
      </c>
      <c r="U1365" s="47">
        <f t="shared" si="368"/>
        <v>50208</v>
      </c>
      <c r="V1365">
        <f t="shared" si="369"/>
        <v>275343</v>
      </c>
      <c r="X1365">
        <v>-1109</v>
      </c>
    </row>
    <row r="1366" spans="1:24" ht="15">
      <c r="A1366" s="72" t="s">
        <v>428</v>
      </c>
      <c r="B1366" s="47">
        <f aca="true" t="shared" si="370" ref="B1366:B1371">B1365</f>
        <v>21889452</v>
      </c>
      <c r="C1366" s="28">
        <f t="shared" si="357"/>
        <v>0.0023333333333333335</v>
      </c>
      <c r="D1366" s="47">
        <f aca="true" t="shared" si="371" ref="D1366:D1371">ROUND((B1365*C1366)+(0*C1366/2),0)-916</f>
        <v>50159</v>
      </c>
      <c r="E1366">
        <f t="shared" si="363"/>
        <v>324017</v>
      </c>
      <c r="G1366" s="72" t="s">
        <v>428</v>
      </c>
      <c r="H1366" s="47">
        <f t="shared" si="364"/>
        <v>-2103</v>
      </c>
      <c r="I1366" s="28">
        <f t="shared" si="358"/>
        <v>0.0023333333333333335</v>
      </c>
      <c r="J1366" s="47">
        <f t="shared" si="359"/>
        <v>-5</v>
      </c>
      <c r="K1366">
        <f t="shared" si="365"/>
        <v>-79</v>
      </c>
      <c r="M1366" s="72" t="s">
        <v>428</v>
      </c>
      <c r="N1366" s="47">
        <f t="shared" si="366"/>
        <v>36352</v>
      </c>
      <c r="O1366" s="28">
        <f t="shared" si="360"/>
        <v>0.0023333333333333335</v>
      </c>
      <c r="P1366" s="47">
        <f t="shared" si="361"/>
        <v>78</v>
      </c>
      <c r="Q1366">
        <f t="shared" si="367"/>
        <v>1637</v>
      </c>
      <c r="S1366" s="47">
        <f t="shared" si="362"/>
        <v>21923701</v>
      </c>
      <c r="T1366" s="70" t="s">
        <v>384</v>
      </c>
      <c r="U1366" s="47">
        <f t="shared" si="368"/>
        <v>50232</v>
      </c>
      <c r="V1366">
        <f t="shared" si="369"/>
        <v>325575</v>
      </c>
      <c r="X1366">
        <v>-1109</v>
      </c>
    </row>
    <row r="1367" spans="1:24" ht="15">
      <c r="A1367" s="72" t="s">
        <v>429</v>
      </c>
      <c r="B1367" s="47">
        <f t="shared" si="370"/>
        <v>21889452</v>
      </c>
      <c r="C1367" s="28">
        <f t="shared" si="357"/>
        <v>0.0023333333333333335</v>
      </c>
      <c r="D1367" s="47">
        <f t="shared" si="371"/>
        <v>50159</v>
      </c>
      <c r="E1367">
        <f t="shared" si="363"/>
        <v>374176</v>
      </c>
      <c r="G1367" s="72" t="s">
        <v>429</v>
      </c>
      <c r="H1367" s="47">
        <f t="shared" si="364"/>
        <v>-2103</v>
      </c>
      <c r="I1367" s="28">
        <f t="shared" si="358"/>
        <v>0.0023333333333333335</v>
      </c>
      <c r="J1367" s="47">
        <f t="shared" si="359"/>
        <v>-5</v>
      </c>
      <c r="K1367">
        <f t="shared" si="365"/>
        <v>-84</v>
      </c>
      <c r="M1367" s="72" t="s">
        <v>429</v>
      </c>
      <c r="N1367" s="47">
        <f t="shared" si="366"/>
        <v>36352</v>
      </c>
      <c r="O1367" s="28">
        <f t="shared" si="360"/>
        <v>0.0023333333333333335</v>
      </c>
      <c r="P1367" s="47">
        <f t="shared" si="361"/>
        <v>78</v>
      </c>
      <c r="Q1367">
        <f t="shared" si="367"/>
        <v>1715</v>
      </c>
      <c r="S1367" s="47">
        <f t="shared" si="362"/>
        <v>21923701</v>
      </c>
      <c r="T1367" s="70" t="s">
        <v>384</v>
      </c>
      <c r="U1367" s="47">
        <f t="shared" si="368"/>
        <v>50232</v>
      </c>
      <c r="V1367">
        <f t="shared" si="369"/>
        <v>375807</v>
      </c>
      <c r="X1367">
        <v>-1109</v>
      </c>
    </row>
    <row r="1368" spans="1:24" ht="15">
      <c r="A1368" s="72" t="s">
        <v>430</v>
      </c>
      <c r="B1368" s="47">
        <f t="shared" si="370"/>
        <v>21889452</v>
      </c>
      <c r="C1368" s="28">
        <f t="shared" si="357"/>
        <v>0.0023333333333333335</v>
      </c>
      <c r="D1368" s="47">
        <f t="shared" si="371"/>
        <v>50159</v>
      </c>
      <c r="E1368">
        <f t="shared" si="363"/>
        <v>424335</v>
      </c>
      <c r="G1368" s="72" t="s">
        <v>430</v>
      </c>
      <c r="H1368" s="47">
        <f t="shared" si="364"/>
        <v>-2103</v>
      </c>
      <c r="I1368" s="28">
        <f t="shared" si="358"/>
        <v>0.0023333333333333335</v>
      </c>
      <c r="J1368" s="47">
        <f t="shared" si="359"/>
        <v>-5</v>
      </c>
      <c r="K1368">
        <f t="shared" si="365"/>
        <v>-89</v>
      </c>
      <c r="M1368" s="72" t="s">
        <v>430</v>
      </c>
      <c r="N1368" s="47">
        <f t="shared" si="366"/>
        <v>36352</v>
      </c>
      <c r="O1368" s="28">
        <f t="shared" si="360"/>
        <v>0.0023333333333333335</v>
      </c>
      <c r="P1368" s="47">
        <f t="shared" si="361"/>
        <v>78</v>
      </c>
      <c r="Q1368">
        <f t="shared" si="367"/>
        <v>1793</v>
      </c>
      <c r="S1368" s="47">
        <f t="shared" si="362"/>
        <v>21923701</v>
      </c>
      <c r="T1368" s="70" t="s">
        <v>384</v>
      </c>
      <c r="U1368" s="47">
        <f t="shared" si="368"/>
        <v>50232</v>
      </c>
      <c r="V1368">
        <f t="shared" si="369"/>
        <v>426039</v>
      </c>
      <c r="X1368">
        <v>-1109</v>
      </c>
    </row>
    <row r="1369" spans="1:24" ht="15">
      <c r="A1369" s="72" t="s">
        <v>431</v>
      </c>
      <c r="B1369" s="47">
        <f t="shared" si="370"/>
        <v>21889452</v>
      </c>
      <c r="C1369" s="28">
        <f t="shared" si="357"/>
        <v>0.0023333333333333335</v>
      </c>
      <c r="D1369" s="47">
        <f t="shared" si="371"/>
        <v>50159</v>
      </c>
      <c r="E1369">
        <f t="shared" si="363"/>
        <v>474494</v>
      </c>
      <c r="G1369" s="72" t="s">
        <v>431</v>
      </c>
      <c r="H1369" s="47">
        <f t="shared" si="364"/>
        <v>-2103</v>
      </c>
      <c r="I1369" s="28">
        <f t="shared" si="358"/>
        <v>0.0023333333333333335</v>
      </c>
      <c r="J1369" s="47">
        <f t="shared" si="359"/>
        <v>-5</v>
      </c>
      <c r="K1369">
        <f t="shared" si="365"/>
        <v>-94</v>
      </c>
      <c r="M1369" s="72" t="s">
        <v>431</v>
      </c>
      <c r="N1369" s="47">
        <f t="shared" si="366"/>
        <v>36352</v>
      </c>
      <c r="O1369" s="28">
        <f t="shared" si="360"/>
        <v>0.0023333333333333335</v>
      </c>
      <c r="P1369" s="47">
        <f t="shared" si="361"/>
        <v>78</v>
      </c>
      <c r="Q1369">
        <f t="shared" si="367"/>
        <v>1871</v>
      </c>
      <c r="S1369" s="47">
        <f t="shared" si="362"/>
        <v>21923701</v>
      </c>
      <c r="T1369" s="70" t="s">
        <v>384</v>
      </c>
      <c r="U1369" s="47">
        <f t="shared" si="368"/>
        <v>50232</v>
      </c>
      <c r="V1369">
        <f t="shared" si="369"/>
        <v>476271</v>
      </c>
      <c r="X1369">
        <v>-1109</v>
      </c>
    </row>
    <row r="1370" spans="1:24" ht="15">
      <c r="A1370" s="72" t="s">
        <v>432</v>
      </c>
      <c r="B1370" s="47">
        <f t="shared" si="370"/>
        <v>21889452</v>
      </c>
      <c r="C1370" s="28">
        <f t="shared" si="357"/>
        <v>0.0023333333333333335</v>
      </c>
      <c r="D1370" s="47">
        <f t="shared" si="371"/>
        <v>50159</v>
      </c>
      <c r="E1370">
        <f t="shared" si="363"/>
        <v>524653</v>
      </c>
      <c r="G1370" s="72" t="s">
        <v>432</v>
      </c>
      <c r="H1370" s="47">
        <f t="shared" si="364"/>
        <v>-2103</v>
      </c>
      <c r="I1370" s="28">
        <f t="shared" si="358"/>
        <v>0.0023333333333333335</v>
      </c>
      <c r="J1370" s="47">
        <f t="shared" si="359"/>
        <v>-5</v>
      </c>
      <c r="K1370">
        <f t="shared" si="365"/>
        <v>-99</v>
      </c>
      <c r="M1370" s="72" t="s">
        <v>432</v>
      </c>
      <c r="N1370" s="47">
        <f t="shared" si="366"/>
        <v>36352</v>
      </c>
      <c r="O1370" s="28">
        <f t="shared" si="360"/>
        <v>0.0023333333333333335</v>
      </c>
      <c r="P1370" s="47">
        <f t="shared" si="361"/>
        <v>78</v>
      </c>
      <c r="Q1370">
        <f t="shared" si="367"/>
        <v>1949</v>
      </c>
      <c r="S1370" s="47">
        <f t="shared" si="362"/>
        <v>21923701</v>
      </c>
      <c r="T1370" s="70" t="s">
        <v>384</v>
      </c>
      <c r="U1370" s="47">
        <f t="shared" si="368"/>
        <v>50232</v>
      </c>
      <c r="V1370">
        <f t="shared" si="369"/>
        <v>526503</v>
      </c>
      <c r="X1370">
        <v>-1109</v>
      </c>
    </row>
    <row r="1371" spans="1:24" ht="15">
      <c r="A1371" s="72" t="s">
        <v>433</v>
      </c>
      <c r="B1371" s="47">
        <f t="shared" si="370"/>
        <v>21889452</v>
      </c>
      <c r="C1371" s="28">
        <f t="shared" si="357"/>
        <v>0.0023333333333333335</v>
      </c>
      <c r="D1371" s="47">
        <f t="shared" si="371"/>
        <v>50159</v>
      </c>
      <c r="E1371">
        <f t="shared" si="363"/>
        <v>574812</v>
      </c>
      <c r="G1371" s="72" t="s">
        <v>433</v>
      </c>
      <c r="H1371" s="47">
        <f t="shared" si="364"/>
        <v>-2103</v>
      </c>
      <c r="I1371" s="28">
        <f t="shared" si="358"/>
        <v>0.0023333333333333335</v>
      </c>
      <c r="J1371" s="47">
        <f t="shared" si="359"/>
        <v>-5</v>
      </c>
      <c r="K1371">
        <f t="shared" si="365"/>
        <v>-104</v>
      </c>
      <c r="M1371" s="72" t="s">
        <v>433</v>
      </c>
      <c r="N1371" s="47">
        <f t="shared" si="366"/>
        <v>36352</v>
      </c>
      <c r="O1371" s="28">
        <f t="shared" si="360"/>
        <v>0.0023333333333333335</v>
      </c>
      <c r="P1371" s="47">
        <f t="shared" si="361"/>
        <v>78</v>
      </c>
      <c r="Q1371">
        <f t="shared" si="367"/>
        <v>2027</v>
      </c>
      <c r="S1371" s="47">
        <f t="shared" si="362"/>
        <v>21923701</v>
      </c>
      <c r="T1371" s="70" t="s">
        <v>384</v>
      </c>
      <c r="U1371" s="47">
        <f t="shared" si="368"/>
        <v>50232</v>
      </c>
      <c r="V1371">
        <f t="shared" si="369"/>
        <v>576735</v>
      </c>
      <c r="X1371">
        <v>-1109</v>
      </c>
    </row>
    <row r="1374" ht="15">
      <c r="A1374" t="s">
        <v>341</v>
      </c>
    </row>
    <row r="1376" spans="2:4" ht="15">
      <c r="B1376" s="29" t="s">
        <v>115</v>
      </c>
      <c r="C1376" s="29" t="s">
        <v>116</v>
      </c>
      <c r="D1376" s="29" t="s">
        <v>116</v>
      </c>
    </row>
    <row r="1377" spans="3:5" ht="15">
      <c r="C1377" s="29" t="s">
        <v>117</v>
      </c>
      <c r="D1377" s="29" t="s">
        <v>118</v>
      </c>
      <c r="E1377" s="29" t="s">
        <v>119</v>
      </c>
    </row>
    <row r="1379" spans="1:5" ht="15.75">
      <c r="A1379" s="43" t="s">
        <v>192</v>
      </c>
      <c r="B1379" s="53">
        <v>0</v>
      </c>
      <c r="C1379" s="28">
        <f>0.035/12</f>
        <v>0.002916666666666667</v>
      </c>
      <c r="D1379" s="47">
        <f>ROUND((B1378*C1379)+(0*C1379/2),0)-0</f>
        <v>0</v>
      </c>
      <c r="E1379">
        <f>D1379</f>
        <v>0</v>
      </c>
    </row>
    <row r="1381" spans="1:17" ht="15">
      <c r="A1381" s="43" t="s">
        <v>288</v>
      </c>
      <c r="B1381" s="47">
        <f>+B1379</f>
        <v>0</v>
      </c>
      <c r="C1381" s="28">
        <f>0.035/12</f>
        <v>0.002916666666666667</v>
      </c>
      <c r="D1381" s="47">
        <f>ROUND((B1379*C1381)+(0*C1381/2),0)</f>
        <v>0</v>
      </c>
      <c r="E1381">
        <f>ROUND(+E1379+D1381,0)</f>
        <v>0</v>
      </c>
      <c r="G1381" s="43" t="s">
        <v>288</v>
      </c>
      <c r="H1381" s="47">
        <f>+H1379</f>
        <v>0</v>
      </c>
      <c r="I1381" s="28">
        <f>0.033/12</f>
        <v>0.0027500000000000003</v>
      </c>
      <c r="J1381" s="47">
        <f>ROUND((H1379*I1381)+(0*I1381/2),0)</f>
        <v>0</v>
      </c>
      <c r="K1381">
        <f>ROUND(+K1379+J1381,0)</f>
        <v>0</v>
      </c>
      <c r="M1381" s="43" t="s">
        <v>288</v>
      </c>
      <c r="N1381" s="47">
        <f>B1381+H1381</f>
        <v>0</v>
      </c>
      <c r="O1381" s="70" t="s">
        <v>384</v>
      </c>
      <c r="P1381" s="47">
        <f>D1381+J1381</f>
        <v>0</v>
      </c>
      <c r="Q1381">
        <f>ROUND(+Q1379+P1381,0)</f>
        <v>0</v>
      </c>
    </row>
    <row r="1382" spans="1:17" ht="15">
      <c r="A1382" s="43" t="s">
        <v>289</v>
      </c>
      <c r="B1382" s="47">
        <f aca="true" t="shared" si="372" ref="B1382:B1392">B1381</f>
        <v>0</v>
      </c>
      <c r="C1382" s="28">
        <f aca="true" t="shared" si="373" ref="C1382:C1392">0.035/12</f>
        <v>0.002916666666666667</v>
      </c>
      <c r="D1382" s="47">
        <f aca="true" t="shared" si="374" ref="D1382:D1392">ROUND((B1381*C1382)+(0*C1382/2),0)</f>
        <v>0</v>
      </c>
      <c r="E1382">
        <f>ROUND(+E1381+D1382,0)</f>
        <v>0</v>
      </c>
      <c r="G1382" s="43" t="s">
        <v>289</v>
      </c>
      <c r="H1382" s="47">
        <f>H1381</f>
        <v>0</v>
      </c>
      <c r="I1382" s="28">
        <f aca="true" t="shared" si="375" ref="I1382:I1392">0.033/12</f>
        <v>0.0027500000000000003</v>
      </c>
      <c r="J1382" s="47">
        <f>ROUND((H1381*I1382)+(0*I1382/2),0)</f>
        <v>0</v>
      </c>
      <c r="K1382">
        <f>ROUND(+K1381+J1382,0)</f>
        <v>0</v>
      </c>
      <c r="M1382" s="43" t="s">
        <v>289</v>
      </c>
      <c r="N1382" s="47">
        <f aca="true" t="shared" si="376" ref="N1382:N1392">B1382+H1382</f>
        <v>0</v>
      </c>
      <c r="O1382" s="70" t="s">
        <v>384</v>
      </c>
      <c r="P1382" s="47">
        <f aca="true" t="shared" si="377" ref="P1382:P1392">D1382+J1382</f>
        <v>0</v>
      </c>
      <c r="Q1382">
        <f>ROUND(+Q1381+P1382,0)</f>
        <v>0</v>
      </c>
    </row>
    <row r="1383" spans="1:17" ht="15">
      <c r="A1383" s="43" t="s">
        <v>290</v>
      </c>
      <c r="B1383" s="47">
        <f t="shared" si="372"/>
        <v>0</v>
      </c>
      <c r="C1383" s="28">
        <f t="shared" si="373"/>
        <v>0.002916666666666667</v>
      </c>
      <c r="D1383" s="47">
        <f t="shared" si="374"/>
        <v>0</v>
      </c>
      <c r="E1383">
        <f aca="true" t="shared" si="378" ref="E1383:E1392">ROUND(+E1382+D1383,0)</f>
        <v>0</v>
      </c>
      <c r="G1383" s="43" t="s">
        <v>290</v>
      </c>
      <c r="H1383" s="47">
        <f aca="true" t="shared" si="379" ref="H1383:H1392">H1382</f>
        <v>0</v>
      </c>
      <c r="I1383" s="28">
        <f t="shared" si="375"/>
        <v>0.0027500000000000003</v>
      </c>
      <c r="J1383" s="47">
        <f aca="true" t="shared" si="380" ref="J1383:J1392">ROUND((H1382*I1383)+(0*I1383/2),0)</f>
        <v>0</v>
      </c>
      <c r="K1383">
        <f aca="true" t="shared" si="381" ref="K1383:K1392">ROUND(+K1382+J1383,0)</f>
        <v>0</v>
      </c>
      <c r="M1383" s="43" t="s">
        <v>290</v>
      </c>
      <c r="N1383" s="47">
        <f t="shared" si="376"/>
        <v>0</v>
      </c>
      <c r="O1383" s="70" t="s">
        <v>384</v>
      </c>
      <c r="P1383" s="47">
        <f t="shared" si="377"/>
        <v>0</v>
      </c>
      <c r="Q1383">
        <f aca="true" t="shared" si="382" ref="Q1383:Q1392">ROUND(+Q1382+P1383,0)</f>
        <v>0</v>
      </c>
    </row>
    <row r="1384" spans="1:17" ht="15">
      <c r="A1384" s="43" t="s">
        <v>291</v>
      </c>
      <c r="B1384" s="47">
        <f t="shared" si="372"/>
        <v>0</v>
      </c>
      <c r="C1384" s="28">
        <f t="shared" si="373"/>
        <v>0.002916666666666667</v>
      </c>
      <c r="D1384" s="47">
        <f t="shared" si="374"/>
        <v>0</v>
      </c>
      <c r="E1384">
        <f t="shared" si="378"/>
        <v>0</v>
      </c>
      <c r="G1384" s="43" t="s">
        <v>291</v>
      </c>
      <c r="H1384" s="47">
        <f t="shared" si="379"/>
        <v>0</v>
      </c>
      <c r="I1384" s="28">
        <f t="shared" si="375"/>
        <v>0.0027500000000000003</v>
      </c>
      <c r="J1384" s="47">
        <f t="shared" si="380"/>
        <v>0</v>
      </c>
      <c r="K1384">
        <f t="shared" si="381"/>
        <v>0</v>
      </c>
      <c r="M1384" s="43" t="s">
        <v>291</v>
      </c>
      <c r="N1384" s="47">
        <f t="shared" si="376"/>
        <v>0</v>
      </c>
      <c r="O1384" s="70" t="s">
        <v>384</v>
      </c>
      <c r="P1384" s="47">
        <f t="shared" si="377"/>
        <v>0</v>
      </c>
      <c r="Q1384">
        <f t="shared" si="382"/>
        <v>0</v>
      </c>
    </row>
    <row r="1385" spans="1:17" ht="15">
      <c r="A1385" s="43" t="s">
        <v>292</v>
      </c>
      <c r="B1385" s="47">
        <f t="shared" si="372"/>
        <v>0</v>
      </c>
      <c r="C1385" s="28">
        <f t="shared" si="373"/>
        <v>0.002916666666666667</v>
      </c>
      <c r="D1385" s="47">
        <f t="shared" si="374"/>
        <v>0</v>
      </c>
      <c r="E1385">
        <f t="shared" si="378"/>
        <v>0</v>
      </c>
      <c r="G1385" s="43" t="s">
        <v>292</v>
      </c>
      <c r="H1385" s="47">
        <f t="shared" si="379"/>
        <v>0</v>
      </c>
      <c r="I1385" s="28">
        <f t="shared" si="375"/>
        <v>0.0027500000000000003</v>
      </c>
      <c r="J1385" s="47">
        <f t="shared" si="380"/>
        <v>0</v>
      </c>
      <c r="K1385">
        <f t="shared" si="381"/>
        <v>0</v>
      </c>
      <c r="M1385" s="43" t="s">
        <v>292</v>
      </c>
      <c r="N1385" s="47">
        <f t="shared" si="376"/>
        <v>0</v>
      </c>
      <c r="O1385" s="70" t="s">
        <v>384</v>
      </c>
      <c r="P1385" s="47">
        <f t="shared" si="377"/>
        <v>0</v>
      </c>
      <c r="Q1385">
        <f t="shared" si="382"/>
        <v>0</v>
      </c>
    </row>
    <row r="1386" spans="1:17" ht="15">
      <c r="A1386" s="43" t="s">
        <v>293</v>
      </c>
      <c r="B1386" s="47">
        <f t="shared" si="372"/>
        <v>0</v>
      </c>
      <c r="C1386" s="28">
        <f t="shared" si="373"/>
        <v>0.002916666666666667</v>
      </c>
      <c r="D1386" s="47">
        <f t="shared" si="374"/>
        <v>0</v>
      </c>
      <c r="E1386">
        <f t="shared" si="378"/>
        <v>0</v>
      </c>
      <c r="G1386" s="43" t="s">
        <v>293</v>
      </c>
      <c r="H1386" s="47">
        <f t="shared" si="379"/>
        <v>0</v>
      </c>
      <c r="I1386" s="28">
        <f t="shared" si="375"/>
        <v>0.0027500000000000003</v>
      </c>
      <c r="J1386" s="47">
        <f t="shared" si="380"/>
        <v>0</v>
      </c>
      <c r="K1386">
        <f t="shared" si="381"/>
        <v>0</v>
      </c>
      <c r="M1386" s="43" t="s">
        <v>293</v>
      </c>
      <c r="N1386" s="47">
        <f t="shared" si="376"/>
        <v>0</v>
      </c>
      <c r="O1386" s="70" t="s">
        <v>384</v>
      </c>
      <c r="P1386" s="47">
        <f t="shared" si="377"/>
        <v>0</v>
      </c>
      <c r="Q1386">
        <f t="shared" si="382"/>
        <v>0</v>
      </c>
    </row>
    <row r="1387" spans="1:17" ht="15">
      <c r="A1387" s="43" t="s">
        <v>294</v>
      </c>
      <c r="B1387" s="47">
        <f t="shared" si="372"/>
        <v>0</v>
      </c>
      <c r="C1387" s="28">
        <f t="shared" si="373"/>
        <v>0.002916666666666667</v>
      </c>
      <c r="D1387" s="47">
        <f t="shared" si="374"/>
        <v>0</v>
      </c>
      <c r="E1387">
        <f t="shared" si="378"/>
        <v>0</v>
      </c>
      <c r="G1387" s="43" t="s">
        <v>294</v>
      </c>
      <c r="H1387" s="47">
        <f t="shared" si="379"/>
        <v>0</v>
      </c>
      <c r="I1387" s="28">
        <f t="shared" si="375"/>
        <v>0.0027500000000000003</v>
      </c>
      <c r="J1387" s="47">
        <f t="shared" si="380"/>
        <v>0</v>
      </c>
      <c r="K1387">
        <f t="shared" si="381"/>
        <v>0</v>
      </c>
      <c r="M1387" s="43" t="s">
        <v>294</v>
      </c>
      <c r="N1387" s="47">
        <f t="shared" si="376"/>
        <v>0</v>
      </c>
      <c r="O1387" s="70" t="s">
        <v>384</v>
      </c>
      <c r="P1387" s="47">
        <f t="shared" si="377"/>
        <v>0</v>
      </c>
      <c r="Q1387">
        <f t="shared" si="382"/>
        <v>0</v>
      </c>
    </row>
    <row r="1388" spans="1:17" ht="15">
      <c r="A1388" s="43" t="s">
        <v>295</v>
      </c>
      <c r="B1388" s="47">
        <f t="shared" si="372"/>
        <v>0</v>
      </c>
      <c r="C1388" s="28">
        <f t="shared" si="373"/>
        <v>0.002916666666666667</v>
      </c>
      <c r="D1388" s="47">
        <f t="shared" si="374"/>
        <v>0</v>
      </c>
      <c r="E1388">
        <f t="shared" si="378"/>
        <v>0</v>
      </c>
      <c r="G1388" s="43" t="s">
        <v>295</v>
      </c>
      <c r="H1388" s="47">
        <f t="shared" si="379"/>
        <v>0</v>
      </c>
      <c r="I1388" s="28">
        <f t="shared" si="375"/>
        <v>0.0027500000000000003</v>
      </c>
      <c r="J1388" s="47">
        <f t="shared" si="380"/>
        <v>0</v>
      </c>
      <c r="K1388">
        <f t="shared" si="381"/>
        <v>0</v>
      </c>
      <c r="M1388" s="43" t="s">
        <v>295</v>
      </c>
      <c r="N1388" s="47">
        <f t="shared" si="376"/>
        <v>0</v>
      </c>
      <c r="O1388" s="70" t="s">
        <v>384</v>
      </c>
      <c r="P1388" s="47">
        <f t="shared" si="377"/>
        <v>0</v>
      </c>
      <c r="Q1388">
        <f t="shared" si="382"/>
        <v>0</v>
      </c>
    </row>
    <row r="1389" spans="1:17" ht="15">
      <c r="A1389" s="43" t="s">
        <v>296</v>
      </c>
      <c r="B1389" s="47">
        <f t="shared" si="372"/>
        <v>0</v>
      </c>
      <c r="C1389" s="28">
        <f t="shared" si="373"/>
        <v>0.002916666666666667</v>
      </c>
      <c r="D1389" s="47">
        <f t="shared" si="374"/>
        <v>0</v>
      </c>
      <c r="E1389">
        <f t="shared" si="378"/>
        <v>0</v>
      </c>
      <c r="G1389" s="43" t="s">
        <v>296</v>
      </c>
      <c r="H1389" s="47">
        <f t="shared" si="379"/>
        <v>0</v>
      </c>
      <c r="I1389" s="28">
        <f t="shared" si="375"/>
        <v>0.0027500000000000003</v>
      </c>
      <c r="J1389" s="47">
        <f t="shared" si="380"/>
        <v>0</v>
      </c>
      <c r="K1389">
        <f t="shared" si="381"/>
        <v>0</v>
      </c>
      <c r="M1389" s="43" t="s">
        <v>296</v>
      </c>
      <c r="N1389" s="47">
        <f t="shared" si="376"/>
        <v>0</v>
      </c>
      <c r="O1389" s="70" t="s">
        <v>384</v>
      </c>
      <c r="P1389" s="47">
        <f t="shared" si="377"/>
        <v>0</v>
      </c>
      <c r="Q1389">
        <f t="shared" si="382"/>
        <v>0</v>
      </c>
    </row>
    <row r="1390" spans="1:17" ht="15">
      <c r="A1390" s="43" t="s">
        <v>297</v>
      </c>
      <c r="B1390" s="47">
        <f t="shared" si="372"/>
        <v>0</v>
      </c>
      <c r="C1390" s="28">
        <f t="shared" si="373"/>
        <v>0.002916666666666667</v>
      </c>
      <c r="D1390" s="47">
        <f t="shared" si="374"/>
        <v>0</v>
      </c>
      <c r="E1390">
        <f t="shared" si="378"/>
        <v>0</v>
      </c>
      <c r="G1390" s="43" t="s">
        <v>297</v>
      </c>
      <c r="H1390" s="47">
        <f t="shared" si="379"/>
        <v>0</v>
      </c>
      <c r="I1390" s="28">
        <f t="shared" si="375"/>
        <v>0.0027500000000000003</v>
      </c>
      <c r="J1390" s="47">
        <f t="shared" si="380"/>
        <v>0</v>
      </c>
      <c r="K1390">
        <f t="shared" si="381"/>
        <v>0</v>
      </c>
      <c r="M1390" s="43" t="s">
        <v>297</v>
      </c>
      <c r="N1390" s="47">
        <f t="shared" si="376"/>
        <v>0</v>
      </c>
      <c r="O1390" s="70" t="s">
        <v>384</v>
      </c>
      <c r="P1390" s="47">
        <f t="shared" si="377"/>
        <v>0</v>
      </c>
      <c r="Q1390">
        <f t="shared" si="382"/>
        <v>0</v>
      </c>
    </row>
    <row r="1391" spans="1:17" ht="15">
      <c r="A1391" s="43" t="s">
        <v>298</v>
      </c>
      <c r="B1391" s="47">
        <f t="shared" si="372"/>
        <v>0</v>
      </c>
      <c r="C1391" s="28">
        <f t="shared" si="373"/>
        <v>0.002916666666666667</v>
      </c>
      <c r="D1391" s="47">
        <f t="shared" si="374"/>
        <v>0</v>
      </c>
      <c r="E1391">
        <f t="shared" si="378"/>
        <v>0</v>
      </c>
      <c r="G1391" s="43" t="s">
        <v>298</v>
      </c>
      <c r="H1391" s="47">
        <f>H1390</f>
        <v>0</v>
      </c>
      <c r="I1391" s="28">
        <f t="shared" si="375"/>
        <v>0.0027500000000000003</v>
      </c>
      <c r="J1391" s="47">
        <f t="shared" si="380"/>
        <v>0</v>
      </c>
      <c r="K1391">
        <f t="shared" si="381"/>
        <v>0</v>
      </c>
      <c r="M1391" s="43" t="s">
        <v>298</v>
      </c>
      <c r="N1391" s="47">
        <f t="shared" si="376"/>
        <v>0</v>
      </c>
      <c r="O1391" s="70" t="s">
        <v>384</v>
      </c>
      <c r="P1391" s="47">
        <f t="shared" si="377"/>
        <v>0</v>
      </c>
      <c r="Q1391">
        <f t="shared" si="382"/>
        <v>0</v>
      </c>
    </row>
    <row r="1392" spans="1:17" ht="15">
      <c r="A1392" s="43" t="s">
        <v>299</v>
      </c>
      <c r="B1392" s="47">
        <f t="shared" si="372"/>
        <v>0</v>
      </c>
      <c r="C1392" s="28">
        <f t="shared" si="373"/>
        <v>0.002916666666666667</v>
      </c>
      <c r="D1392" s="47">
        <f t="shared" si="374"/>
        <v>0</v>
      </c>
      <c r="E1392">
        <f t="shared" si="378"/>
        <v>0</v>
      </c>
      <c r="G1392" s="43" t="s">
        <v>299</v>
      </c>
      <c r="H1392" s="47">
        <f t="shared" si="379"/>
        <v>0</v>
      </c>
      <c r="I1392" s="28">
        <f t="shared" si="375"/>
        <v>0.0027500000000000003</v>
      </c>
      <c r="J1392" s="47">
        <f t="shared" si="380"/>
        <v>0</v>
      </c>
      <c r="K1392">
        <f t="shared" si="381"/>
        <v>0</v>
      </c>
      <c r="M1392" s="43" t="s">
        <v>299</v>
      </c>
      <c r="N1392" s="47">
        <f t="shared" si="376"/>
        <v>0</v>
      </c>
      <c r="O1392" s="70" t="s">
        <v>384</v>
      </c>
      <c r="P1392" s="47">
        <f t="shared" si="377"/>
        <v>0</v>
      </c>
      <c r="Q1392">
        <f t="shared" si="382"/>
        <v>0</v>
      </c>
    </row>
    <row r="1394" spans="1:17" ht="15">
      <c r="A1394" s="43" t="s">
        <v>357</v>
      </c>
      <c r="B1394" s="47">
        <f>B1392</f>
        <v>0</v>
      </c>
      <c r="C1394" s="28">
        <f aca="true" t="shared" si="383" ref="C1394:C1418">0.035/12</f>
        <v>0.002916666666666667</v>
      </c>
      <c r="D1394" s="47">
        <f>ROUND((B1392*C1394)+(0*C1394/2),0)</f>
        <v>0</v>
      </c>
      <c r="E1394">
        <f>ROUND(+E1392+D1394,0)</f>
        <v>0</v>
      </c>
      <c r="G1394" t="str">
        <f>A1394</f>
        <v>1/01</v>
      </c>
      <c r="H1394" s="47">
        <f>H1392</f>
        <v>0</v>
      </c>
      <c r="I1394" s="28">
        <f>0.033/12</f>
        <v>0.0027500000000000003</v>
      </c>
      <c r="J1394" s="47">
        <f>ROUND((H1392*I1394)+(0*I1394/2),0)</f>
        <v>0</v>
      </c>
      <c r="K1394">
        <f>ROUND(+K1392+J1394,0)</f>
        <v>0</v>
      </c>
      <c r="M1394" t="str">
        <f>A1394</f>
        <v>1/01</v>
      </c>
      <c r="N1394" s="47">
        <f>B1394+H1394</f>
        <v>0</v>
      </c>
      <c r="O1394" s="70" t="s">
        <v>384</v>
      </c>
      <c r="P1394" s="47">
        <f>D1394+J1394</f>
        <v>0</v>
      </c>
      <c r="Q1394">
        <f>ROUND(+Q1392+P1394,0)</f>
        <v>0</v>
      </c>
    </row>
    <row r="1395" spans="1:17" ht="15">
      <c r="A1395" s="43" t="s">
        <v>358</v>
      </c>
      <c r="B1395" s="47">
        <f>B1394</f>
        <v>0</v>
      </c>
      <c r="C1395" s="28">
        <f t="shared" si="383"/>
        <v>0.002916666666666667</v>
      </c>
      <c r="D1395" s="47">
        <f>ROUND((B1394*C1395)+(0*C1395/2),0)</f>
        <v>0</v>
      </c>
      <c r="E1395">
        <f>ROUND(+E1394+D1395,0)</f>
        <v>0</v>
      </c>
      <c r="G1395" t="str">
        <f aca="true" t="shared" si="384" ref="G1395:G1405">A1395</f>
        <v>2/01</v>
      </c>
      <c r="H1395" s="47">
        <f>H1394</f>
        <v>0</v>
      </c>
      <c r="I1395" s="28">
        <f aca="true" t="shared" si="385" ref="I1395:I1405">0.033/12</f>
        <v>0.0027500000000000003</v>
      </c>
      <c r="J1395" s="47">
        <f>ROUND((H1394*I1395)+(0*I1395/2),0)</f>
        <v>0</v>
      </c>
      <c r="K1395">
        <f>ROUND(+K1394+J1395,0)</f>
        <v>0</v>
      </c>
      <c r="M1395" t="str">
        <f aca="true" t="shared" si="386" ref="M1395:M1405">A1395</f>
        <v>2/01</v>
      </c>
      <c r="N1395" s="47">
        <f aca="true" t="shared" si="387" ref="N1395:N1405">B1395+H1395</f>
        <v>0</v>
      </c>
      <c r="O1395" s="70" t="s">
        <v>384</v>
      </c>
      <c r="P1395" s="47">
        <f aca="true" t="shared" si="388" ref="P1395:P1405">D1395+J1395</f>
        <v>0</v>
      </c>
      <c r="Q1395">
        <f>ROUND(+Q1394+P1395,0)</f>
        <v>0</v>
      </c>
    </row>
    <row r="1396" spans="1:17" ht="15">
      <c r="A1396" s="43" t="s">
        <v>359</v>
      </c>
      <c r="B1396">
        <f aca="true" t="shared" si="389" ref="B1396:B1405">B1395</f>
        <v>0</v>
      </c>
      <c r="C1396" s="28">
        <f t="shared" si="383"/>
        <v>0.002916666666666667</v>
      </c>
      <c r="D1396" s="47">
        <f aca="true" t="shared" si="390" ref="D1396:D1403">ROUND((B1395*C1396)+(0*C1396/2),0)</f>
        <v>0</v>
      </c>
      <c r="E1396">
        <f aca="true" t="shared" si="391" ref="E1396:E1403">ROUND(+E1395+D1396,0)</f>
        <v>0</v>
      </c>
      <c r="G1396" t="str">
        <f t="shared" si="384"/>
        <v>3/01</v>
      </c>
      <c r="H1396" s="47">
        <f aca="true" t="shared" si="392" ref="H1396:H1405">H1395</f>
        <v>0</v>
      </c>
      <c r="I1396" s="28">
        <f t="shared" si="385"/>
        <v>0.0027500000000000003</v>
      </c>
      <c r="J1396" s="47">
        <f aca="true" t="shared" si="393" ref="J1396:J1405">ROUND((H1395*I1396)+(0*I1396/2),0)</f>
        <v>0</v>
      </c>
      <c r="K1396">
        <f aca="true" t="shared" si="394" ref="K1396:K1405">ROUND(+K1395+J1396,0)</f>
        <v>0</v>
      </c>
      <c r="M1396" t="str">
        <f t="shared" si="386"/>
        <v>3/01</v>
      </c>
      <c r="N1396" s="47">
        <f t="shared" si="387"/>
        <v>0</v>
      </c>
      <c r="O1396" s="70" t="s">
        <v>384</v>
      </c>
      <c r="P1396" s="47">
        <f t="shared" si="388"/>
        <v>0</v>
      </c>
      <c r="Q1396">
        <f aca="true" t="shared" si="395" ref="Q1396:Q1405">ROUND(+Q1395+P1396,0)</f>
        <v>0</v>
      </c>
    </row>
    <row r="1397" spans="1:17" ht="15">
      <c r="A1397" s="43" t="s">
        <v>360</v>
      </c>
      <c r="B1397">
        <f t="shared" si="389"/>
        <v>0</v>
      </c>
      <c r="C1397" s="28">
        <f t="shared" si="383"/>
        <v>0.002916666666666667</v>
      </c>
      <c r="D1397" s="47">
        <f t="shared" si="390"/>
        <v>0</v>
      </c>
      <c r="E1397">
        <f t="shared" si="391"/>
        <v>0</v>
      </c>
      <c r="G1397" t="str">
        <f t="shared" si="384"/>
        <v>4/01</v>
      </c>
      <c r="H1397" s="47">
        <f t="shared" si="392"/>
        <v>0</v>
      </c>
      <c r="I1397" s="28">
        <f t="shared" si="385"/>
        <v>0.0027500000000000003</v>
      </c>
      <c r="J1397" s="47">
        <f t="shared" si="393"/>
        <v>0</v>
      </c>
      <c r="K1397">
        <f t="shared" si="394"/>
        <v>0</v>
      </c>
      <c r="M1397" t="str">
        <f t="shared" si="386"/>
        <v>4/01</v>
      </c>
      <c r="N1397" s="47">
        <f t="shared" si="387"/>
        <v>0</v>
      </c>
      <c r="O1397" s="70" t="s">
        <v>384</v>
      </c>
      <c r="P1397" s="47">
        <f t="shared" si="388"/>
        <v>0</v>
      </c>
      <c r="Q1397">
        <f t="shared" si="395"/>
        <v>0</v>
      </c>
    </row>
    <row r="1398" spans="1:17" ht="15">
      <c r="A1398" s="43" t="s">
        <v>361</v>
      </c>
      <c r="B1398">
        <f t="shared" si="389"/>
        <v>0</v>
      </c>
      <c r="C1398" s="28">
        <f t="shared" si="383"/>
        <v>0.002916666666666667</v>
      </c>
      <c r="D1398" s="47">
        <f t="shared" si="390"/>
        <v>0</v>
      </c>
      <c r="E1398">
        <f t="shared" si="391"/>
        <v>0</v>
      </c>
      <c r="G1398" t="str">
        <f t="shared" si="384"/>
        <v>5/01</v>
      </c>
      <c r="H1398" s="47">
        <f t="shared" si="392"/>
        <v>0</v>
      </c>
      <c r="I1398" s="28">
        <f t="shared" si="385"/>
        <v>0.0027500000000000003</v>
      </c>
      <c r="J1398" s="47">
        <f t="shared" si="393"/>
        <v>0</v>
      </c>
      <c r="K1398">
        <f t="shared" si="394"/>
        <v>0</v>
      </c>
      <c r="M1398" t="str">
        <f t="shared" si="386"/>
        <v>5/01</v>
      </c>
      <c r="N1398" s="47">
        <f t="shared" si="387"/>
        <v>0</v>
      </c>
      <c r="O1398" s="70" t="s">
        <v>384</v>
      </c>
      <c r="P1398" s="47">
        <f t="shared" si="388"/>
        <v>0</v>
      </c>
      <c r="Q1398">
        <f t="shared" si="395"/>
        <v>0</v>
      </c>
    </row>
    <row r="1399" spans="1:17" ht="15">
      <c r="A1399" s="43" t="s">
        <v>362</v>
      </c>
      <c r="B1399">
        <f t="shared" si="389"/>
        <v>0</v>
      </c>
      <c r="C1399" s="28">
        <f t="shared" si="383"/>
        <v>0.002916666666666667</v>
      </c>
      <c r="D1399" s="47">
        <f t="shared" si="390"/>
        <v>0</v>
      </c>
      <c r="E1399">
        <f t="shared" si="391"/>
        <v>0</v>
      </c>
      <c r="G1399" t="str">
        <f t="shared" si="384"/>
        <v>6/01</v>
      </c>
      <c r="H1399" s="47">
        <f t="shared" si="392"/>
        <v>0</v>
      </c>
      <c r="I1399" s="28">
        <f t="shared" si="385"/>
        <v>0.0027500000000000003</v>
      </c>
      <c r="J1399" s="47">
        <f t="shared" si="393"/>
        <v>0</v>
      </c>
      <c r="K1399">
        <f t="shared" si="394"/>
        <v>0</v>
      </c>
      <c r="M1399" t="str">
        <f t="shared" si="386"/>
        <v>6/01</v>
      </c>
      <c r="N1399" s="47">
        <f t="shared" si="387"/>
        <v>0</v>
      </c>
      <c r="O1399" s="70" t="s">
        <v>384</v>
      </c>
      <c r="P1399" s="47">
        <f t="shared" si="388"/>
        <v>0</v>
      </c>
      <c r="Q1399">
        <f t="shared" si="395"/>
        <v>0</v>
      </c>
    </row>
    <row r="1400" spans="1:17" ht="15">
      <c r="A1400" s="43" t="s">
        <v>363</v>
      </c>
      <c r="B1400">
        <f t="shared" si="389"/>
        <v>0</v>
      </c>
      <c r="C1400" s="28">
        <f t="shared" si="383"/>
        <v>0.002916666666666667</v>
      </c>
      <c r="D1400" s="47">
        <f t="shared" si="390"/>
        <v>0</v>
      </c>
      <c r="E1400">
        <f t="shared" si="391"/>
        <v>0</v>
      </c>
      <c r="G1400" t="str">
        <f t="shared" si="384"/>
        <v>7/01</v>
      </c>
      <c r="H1400" s="47">
        <f t="shared" si="392"/>
        <v>0</v>
      </c>
      <c r="I1400" s="28">
        <f t="shared" si="385"/>
        <v>0.0027500000000000003</v>
      </c>
      <c r="J1400" s="47">
        <f t="shared" si="393"/>
        <v>0</v>
      </c>
      <c r="K1400">
        <f t="shared" si="394"/>
        <v>0</v>
      </c>
      <c r="M1400" t="str">
        <f t="shared" si="386"/>
        <v>7/01</v>
      </c>
      <c r="N1400" s="47">
        <f t="shared" si="387"/>
        <v>0</v>
      </c>
      <c r="O1400" s="70" t="s">
        <v>384</v>
      </c>
      <c r="P1400" s="47">
        <f t="shared" si="388"/>
        <v>0</v>
      </c>
      <c r="Q1400">
        <f t="shared" si="395"/>
        <v>0</v>
      </c>
    </row>
    <row r="1401" spans="1:17" ht="15">
      <c r="A1401" s="43" t="s">
        <v>364</v>
      </c>
      <c r="B1401">
        <f t="shared" si="389"/>
        <v>0</v>
      </c>
      <c r="C1401" s="28">
        <f t="shared" si="383"/>
        <v>0.002916666666666667</v>
      </c>
      <c r="D1401" s="47">
        <f t="shared" si="390"/>
        <v>0</v>
      </c>
      <c r="E1401">
        <f t="shared" si="391"/>
        <v>0</v>
      </c>
      <c r="G1401" t="str">
        <f t="shared" si="384"/>
        <v>8/01</v>
      </c>
      <c r="H1401" s="47">
        <f t="shared" si="392"/>
        <v>0</v>
      </c>
      <c r="I1401" s="28">
        <f t="shared" si="385"/>
        <v>0.0027500000000000003</v>
      </c>
      <c r="J1401" s="47">
        <f t="shared" si="393"/>
        <v>0</v>
      </c>
      <c r="K1401">
        <f t="shared" si="394"/>
        <v>0</v>
      </c>
      <c r="M1401" t="str">
        <f t="shared" si="386"/>
        <v>8/01</v>
      </c>
      <c r="N1401" s="47">
        <f t="shared" si="387"/>
        <v>0</v>
      </c>
      <c r="O1401" s="70" t="s">
        <v>384</v>
      </c>
      <c r="P1401" s="47">
        <f t="shared" si="388"/>
        <v>0</v>
      </c>
      <c r="Q1401">
        <f t="shared" si="395"/>
        <v>0</v>
      </c>
    </row>
    <row r="1402" spans="1:17" ht="15">
      <c r="A1402" s="43" t="s">
        <v>365</v>
      </c>
      <c r="B1402">
        <f t="shared" si="389"/>
        <v>0</v>
      </c>
      <c r="C1402" s="28">
        <f t="shared" si="383"/>
        <v>0.002916666666666667</v>
      </c>
      <c r="D1402" s="47">
        <f t="shared" si="390"/>
        <v>0</v>
      </c>
      <c r="E1402">
        <f t="shared" si="391"/>
        <v>0</v>
      </c>
      <c r="G1402" t="str">
        <f t="shared" si="384"/>
        <v>9/01</v>
      </c>
      <c r="H1402" s="47">
        <f t="shared" si="392"/>
        <v>0</v>
      </c>
      <c r="I1402" s="28">
        <f t="shared" si="385"/>
        <v>0.0027500000000000003</v>
      </c>
      <c r="J1402" s="47">
        <f t="shared" si="393"/>
        <v>0</v>
      </c>
      <c r="K1402">
        <f t="shared" si="394"/>
        <v>0</v>
      </c>
      <c r="M1402" t="str">
        <f t="shared" si="386"/>
        <v>9/01</v>
      </c>
      <c r="N1402" s="47">
        <f t="shared" si="387"/>
        <v>0</v>
      </c>
      <c r="O1402" s="70" t="s">
        <v>384</v>
      </c>
      <c r="P1402" s="47">
        <f t="shared" si="388"/>
        <v>0</v>
      </c>
      <c r="Q1402">
        <f t="shared" si="395"/>
        <v>0</v>
      </c>
    </row>
    <row r="1403" spans="1:17" ht="15">
      <c r="A1403" s="43" t="s">
        <v>366</v>
      </c>
      <c r="B1403">
        <f t="shared" si="389"/>
        <v>0</v>
      </c>
      <c r="C1403" s="28">
        <f t="shared" si="383"/>
        <v>0.002916666666666667</v>
      </c>
      <c r="D1403" s="47">
        <f t="shared" si="390"/>
        <v>0</v>
      </c>
      <c r="E1403">
        <f t="shared" si="391"/>
        <v>0</v>
      </c>
      <c r="G1403" t="str">
        <f t="shared" si="384"/>
        <v>10/01</v>
      </c>
      <c r="H1403" s="47">
        <f t="shared" si="392"/>
        <v>0</v>
      </c>
      <c r="I1403" s="28">
        <f t="shared" si="385"/>
        <v>0.0027500000000000003</v>
      </c>
      <c r="J1403" s="47">
        <f t="shared" si="393"/>
        <v>0</v>
      </c>
      <c r="K1403">
        <f t="shared" si="394"/>
        <v>0</v>
      </c>
      <c r="M1403" t="str">
        <f t="shared" si="386"/>
        <v>10/01</v>
      </c>
      <c r="N1403" s="47">
        <f t="shared" si="387"/>
        <v>0</v>
      </c>
      <c r="O1403" s="70" t="s">
        <v>384</v>
      </c>
      <c r="P1403" s="47">
        <f t="shared" si="388"/>
        <v>0</v>
      </c>
      <c r="Q1403">
        <f t="shared" si="395"/>
        <v>0</v>
      </c>
    </row>
    <row r="1404" spans="1:17" ht="15">
      <c r="A1404" s="43" t="s">
        <v>367</v>
      </c>
      <c r="B1404">
        <f t="shared" si="389"/>
        <v>0</v>
      </c>
      <c r="C1404" s="28">
        <f t="shared" si="383"/>
        <v>0.002916666666666667</v>
      </c>
      <c r="D1404" s="47">
        <f>ROUND((B1403*C1404)+(0*C1404/2),0)</f>
        <v>0</v>
      </c>
      <c r="E1404">
        <f>ROUND(+E1403+D1404,0)</f>
        <v>0</v>
      </c>
      <c r="G1404" t="str">
        <f t="shared" si="384"/>
        <v>11/01</v>
      </c>
      <c r="H1404" s="47">
        <f t="shared" si="392"/>
        <v>0</v>
      </c>
      <c r="I1404" s="28">
        <f t="shared" si="385"/>
        <v>0.0027500000000000003</v>
      </c>
      <c r="J1404" s="47">
        <f t="shared" si="393"/>
        <v>0</v>
      </c>
      <c r="K1404">
        <f t="shared" si="394"/>
        <v>0</v>
      </c>
      <c r="M1404" t="str">
        <f t="shared" si="386"/>
        <v>11/01</v>
      </c>
      <c r="N1404" s="47">
        <f t="shared" si="387"/>
        <v>0</v>
      </c>
      <c r="O1404" s="70" t="s">
        <v>384</v>
      </c>
      <c r="P1404" s="47">
        <f t="shared" si="388"/>
        <v>0</v>
      </c>
      <c r="Q1404">
        <f t="shared" si="395"/>
        <v>0</v>
      </c>
    </row>
    <row r="1405" spans="1:17" ht="15">
      <c r="A1405" s="43" t="s">
        <v>368</v>
      </c>
      <c r="B1405">
        <f t="shared" si="389"/>
        <v>0</v>
      </c>
      <c r="C1405" s="28">
        <f t="shared" si="383"/>
        <v>0.002916666666666667</v>
      </c>
      <c r="D1405" s="47">
        <f>ROUND((B1404*C1405)+(0*C1405/2),0)</f>
        <v>0</v>
      </c>
      <c r="E1405">
        <f>ROUND(+E1404+D1405,0)</f>
        <v>0</v>
      </c>
      <c r="G1405" t="str">
        <f t="shared" si="384"/>
        <v>12/01</v>
      </c>
      <c r="H1405" s="47">
        <f t="shared" si="392"/>
        <v>0</v>
      </c>
      <c r="I1405" s="28">
        <f t="shared" si="385"/>
        <v>0.0027500000000000003</v>
      </c>
      <c r="J1405" s="47">
        <f t="shared" si="393"/>
        <v>0</v>
      </c>
      <c r="K1405">
        <f t="shared" si="394"/>
        <v>0</v>
      </c>
      <c r="M1405" t="str">
        <f t="shared" si="386"/>
        <v>12/01</v>
      </c>
      <c r="N1405" s="47">
        <f t="shared" si="387"/>
        <v>0</v>
      </c>
      <c r="O1405" s="70" t="s">
        <v>384</v>
      </c>
      <c r="P1405" s="47">
        <f t="shared" si="388"/>
        <v>0</v>
      </c>
      <c r="Q1405">
        <f t="shared" si="395"/>
        <v>0</v>
      </c>
    </row>
    <row r="1407" spans="1:17" ht="15">
      <c r="A1407" s="73" t="s">
        <v>423</v>
      </c>
      <c r="B1407" s="47">
        <f>B1405</f>
        <v>0</v>
      </c>
      <c r="C1407" s="28">
        <f t="shared" si="383"/>
        <v>0.002916666666666667</v>
      </c>
      <c r="D1407" s="47">
        <f>ROUND((B1405*C1407)+(0*C1407/2),0)</f>
        <v>0</v>
      </c>
      <c r="E1407">
        <f>ROUND(+E1405+D1407,0)</f>
        <v>0</v>
      </c>
      <c r="G1407" s="73" t="s">
        <v>423</v>
      </c>
      <c r="H1407" s="47">
        <f>H1405</f>
        <v>0</v>
      </c>
      <c r="I1407" s="28">
        <f>0.033/12</f>
        <v>0.0027500000000000003</v>
      </c>
      <c r="J1407" s="47">
        <f>ROUND((H1405*I1407)+(0*I1407/2),0)</f>
        <v>0</v>
      </c>
      <c r="K1407">
        <f>ROUND(+K1405+J1407,0)</f>
        <v>0</v>
      </c>
      <c r="M1407" s="73" t="s">
        <v>423</v>
      </c>
      <c r="N1407" s="47">
        <f>B1407+H1407</f>
        <v>0</v>
      </c>
      <c r="O1407" s="70" t="s">
        <v>384</v>
      </c>
      <c r="P1407" s="47">
        <f>D1407+J1407</f>
        <v>0</v>
      </c>
      <c r="Q1407">
        <f>ROUND(+Q1405+P1407,0)</f>
        <v>0</v>
      </c>
    </row>
    <row r="1408" spans="1:17" ht="15">
      <c r="A1408" s="72" t="s">
        <v>424</v>
      </c>
      <c r="B1408" s="47">
        <f>B1407</f>
        <v>0</v>
      </c>
      <c r="C1408" s="28">
        <f t="shared" si="383"/>
        <v>0.002916666666666667</v>
      </c>
      <c r="D1408" s="47">
        <f>ROUND((B1407*C1408)+(0*C1408/2),0)</f>
        <v>0</v>
      </c>
      <c r="E1408">
        <f>ROUND(+E1407+D1408,0)</f>
        <v>0</v>
      </c>
      <c r="G1408" s="72" t="s">
        <v>424</v>
      </c>
      <c r="H1408" s="47">
        <f>H1407</f>
        <v>0</v>
      </c>
      <c r="I1408" s="28">
        <f aca="true" t="shared" si="396" ref="I1408:I1418">0.033/12</f>
        <v>0.0027500000000000003</v>
      </c>
      <c r="J1408" s="47">
        <f>ROUND((H1407*I1408)+(0*I1408/2),0)</f>
        <v>0</v>
      </c>
      <c r="K1408">
        <f>ROUND(+K1407+J1408,0)</f>
        <v>0</v>
      </c>
      <c r="M1408" s="72" t="s">
        <v>424</v>
      </c>
      <c r="N1408" s="47">
        <f aca="true" t="shared" si="397" ref="N1408:N1418">B1408+H1408</f>
        <v>0</v>
      </c>
      <c r="O1408" s="70" t="s">
        <v>384</v>
      </c>
      <c r="P1408" s="47">
        <f>D1408+J1408</f>
        <v>0</v>
      </c>
      <c r="Q1408">
        <f>ROUND(+Q1407+P1408,0)</f>
        <v>0</v>
      </c>
    </row>
    <row r="1409" spans="1:17" ht="15">
      <c r="A1409" s="72" t="s">
        <v>425</v>
      </c>
      <c r="B1409">
        <f>B1408</f>
        <v>0</v>
      </c>
      <c r="C1409" s="28">
        <f t="shared" si="383"/>
        <v>0.002916666666666667</v>
      </c>
      <c r="D1409" s="47">
        <f>ROUND((B1408*C1409)+(0*C1409/2),0)</f>
        <v>0</v>
      </c>
      <c r="E1409">
        <f aca="true" t="shared" si="398" ref="E1409:E1416">ROUND(+E1408+D1409,0)</f>
        <v>0</v>
      </c>
      <c r="G1409" s="72" t="s">
        <v>425</v>
      </c>
      <c r="H1409" s="47">
        <f aca="true" t="shared" si="399" ref="H1409:H1418">H1408</f>
        <v>0</v>
      </c>
      <c r="I1409" s="28">
        <f t="shared" si="396"/>
        <v>0.0027500000000000003</v>
      </c>
      <c r="J1409" s="47">
        <f aca="true" t="shared" si="400" ref="J1409:J1418">ROUND((H1408*I1409)+(0*I1409/2),0)</f>
        <v>0</v>
      </c>
      <c r="K1409">
        <f aca="true" t="shared" si="401" ref="K1409:K1418">ROUND(+K1408+J1409,0)</f>
        <v>0</v>
      </c>
      <c r="M1409" s="72" t="s">
        <v>425</v>
      </c>
      <c r="N1409" s="47">
        <f t="shared" si="397"/>
        <v>0</v>
      </c>
      <c r="O1409" s="70" t="s">
        <v>384</v>
      </c>
      <c r="P1409" s="47">
        <f aca="true" t="shared" si="402" ref="P1409:P1418">D1409+J1409</f>
        <v>0</v>
      </c>
      <c r="Q1409">
        <f aca="true" t="shared" si="403" ref="Q1409:Q1418">ROUND(+Q1408+P1409,0)</f>
        <v>0</v>
      </c>
    </row>
    <row r="1410" spans="1:17" ht="15">
      <c r="A1410" s="72" t="s">
        <v>426</v>
      </c>
      <c r="B1410">
        <f aca="true" t="shared" si="404" ref="B1410:B1418">B1409</f>
        <v>0</v>
      </c>
      <c r="C1410" s="28">
        <f t="shared" si="383"/>
        <v>0.002916666666666667</v>
      </c>
      <c r="D1410" s="47">
        <f aca="true" t="shared" si="405" ref="D1410:D1416">ROUND((B1409*C1410)+(0*C1410/2),0)</f>
        <v>0</v>
      </c>
      <c r="E1410">
        <f t="shared" si="398"/>
        <v>0</v>
      </c>
      <c r="G1410" s="72" t="s">
        <v>426</v>
      </c>
      <c r="H1410" s="47">
        <f t="shared" si="399"/>
        <v>0</v>
      </c>
      <c r="I1410" s="28">
        <f t="shared" si="396"/>
        <v>0.0027500000000000003</v>
      </c>
      <c r="J1410" s="47">
        <f t="shared" si="400"/>
        <v>0</v>
      </c>
      <c r="K1410">
        <f t="shared" si="401"/>
        <v>0</v>
      </c>
      <c r="M1410" s="72" t="s">
        <v>426</v>
      </c>
      <c r="N1410" s="47">
        <f t="shared" si="397"/>
        <v>0</v>
      </c>
      <c r="O1410" s="70" t="s">
        <v>384</v>
      </c>
      <c r="P1410" s="47">
        <f t="shared" si="402"/>
        <v>0</v>
      </c>
      <c r="Q1410">
        <f t="shared" si="403"/>
        <v>0</v>
      </c>
    </row>
    <row r="1411" spans="1:17" ht="15">
      <c r="A1411" s="72" t="s">
        <v>410</v>
      </c>
      <c r="B1411">
        <f t="shared" si="404"/>
        <v>0</v>
      </c>
      <c r="C1411" s="28">
        <f t="shared" si="383"/>
        <v>0.002916666666666667</v>
      </c>
      <c r="D1411" s="47">
        <f t="shared" si="405"/>
        <v>0</v>
      </c>
      <c r="E1411">
        <f t="shared" si="398"/>
        <v>0</v>
      </c>
      <c r="G1411" s="72" t="s">
        <v>410</v>
      </c>
      <c r="H1411" s="47">
        <f t="shared" si="399"/>
        <v>0</v>
      </c>
      <c r="I1411" s="28">
        <f t="shared" si="396"/>
        <v>0.0027500000000000003</v>
      </c>
      <c r="J1411" s="47">
        <f t="shared" si="400"/>
        <v>0</v>
      </c>
      <c r="K1411">
        <f t="shared" si="401"/>
        <v>0</v>
      </c>
      <c r="M1411" s="72" t="s">
        <v>410</v>
      </c>
      <c r="N1411" s="47">
        <f t="shared" si="397"/>
        <v>0</v>
      </c>
      <c r="O1411" s="70" t="s">
        <v>384</v>
      </c>
      <c r="P1411" s="47">
        <f t="shared" si="402"/>
        <v>0</v>
      </c>
      <c r="Q1411">
        <f t="shared" si="403"/>
        <v>0</v>
      </c>
    </row>
    <row r="1412" spans="1:17" ht="15">
      <c r="A1412" s="72" t="s">
        <v>427</v>
      </c>
      <c r="B1412">
        <f t="shared" si="404"/>
        <v>0</v>
      </c>
      <c r="C1412" s="28">
        <f t="shared" si="383"/>
        <v>0.002916666666666667</v>
      </c>
      <c r="D1412" s="47">
        <f t="shared" si="405"/>
        <v>0</v>
      </c>
      <c r="E1412">
        <f t="shared" si="398"/>
        <v>0</v>
      </c>
      <c r="G1412" s="72" t="s">
        <v>427</v>
      </c>
      <c r="H1412" s="47">
        <f t="shared" si="399"/>
        <v>0</v>
      </c>
      <c r="I1412" s="28">
        <f t="shared" si="396"/>
        <v>0.0027500000000000003</v>
      </c>
      <c r="J1412" s="47">
        <f t="shared" si="400"/>
        <v>0</v>
      </c>
      <c r="K1412">
        <f t="shared" si="401"/>
        <v>0</v>
      </c>
      <c r="M1412" s="72" t="s">
        <v>427</v>
      </c>
      <c r="N1412" s="47">
        <f t="shared" si="397"/>
        <v>0</v>
      </c>
      <c r="O1412" s="70" t="s">
        <v>384</v>
      </c>
      <c r="P1412" s="47">
        <f t="shared" si="402"/>
        <v>0</v>
      </c>
      <c r="Q1412">
        <f t="shared" si="403"/>
        <v>0</v>
      </c>
    </row>
    <row r="1413" spans="1:17" ht="15">
      <c r="A1413" s="72" t="s">
        <v>428</v>
      </c>
      <c r="B1413">
        <f t="shared" si="404"/>
        <v>0</v>
      </c>
      <c r="C1413" s="28">
        <f t="shared" si="383"/>
        <v>0.002916666666666667</v>
      </c>
      <c r="D1413" s="47">
        <f t="shared" si="405"/>
        <v>0</v>
      </c>
      <c r="E1413">
        <f t="shared" si="398"/>
        <v>0</v>
      </c>
      <c r="G1413" s="72" t="s">
        <v>428</v>
      </c>
      <c r="H1413" s="47">
        <f t="shared" si="399"/>
        <v>0</v>
      </c>
      <c r="I1413" s="28">
        <f t="shared" si="396"/>
        <v>0.0027500000000000003</v>
      </c>
      <c r="J1413" s="47">
        <f t="shared" si="400"/>
        <v>0</v>
      </c>
      <c r="K1413">
        <f t="shared" si="401"/>
        <v>0</v>
      </c>
      <c r="M1413" s="72" t="s">
        <v>428</v>
      </c>
      <c r="N1413" s="47">
        <f t="shared" si="397"/>
        <v>0</v>
      </c>
      <c r="O1413" s="70" t="s">
        <v>384</v>
      </c>
      <c r="P1413" s="47">
        <f t="shared" si="402"/>
        <v>0</v>
      </c>
      <c r="Q1413">
        <f t="shared" si="403"/>
        <v>0</v>
      </c>
    </row>
    <row r="1414" spans="1:17" ht="15">
      <c r="A1414" s="72" t="s">
        <v>429</v>
      </c>
      <c r="B1414">
        <f t="shared" si="404"/>
        <v>0</v>
      </c>
      <c r="C1414" s="28">
        <f t="shared" si="383"/>
        <v>0.002916666666666667</v>
      </c>
      <c r="D1414" s="47">
        <f t="shared" si="405"/>
        <v>0</v>
      </c>
      <c r="E1414">
        <f t="shared" si="398"/>
        <v>0</v>
      </c>
      <c r="G1414" s="72" t="s">
        <v>429</v>
      </c>
      <c r="H1414" s="47">
        <f t="shared" si="399"/>
        <v>0</v>
      </c>
      <c r="I1414" s="28">
        <f t="shared" si="396"/>
        <v>0.0027500000000000003</v>
      </c>
      <c r="J1414" s="47">
        <f t="shared" si="400"/>
        <v>0</v>
      </c>
      <c r="K1414">
        <f t="shared" si="401"/>
        <v>0</v>
      </c>
      <c r="M1414" s="72" t="s">
        <v>429</v>
      </c>
      <c r="N1414" s="47">
        <f t="shared" si="397"/>
        <v>0</v>
      </c>
      <c r="O1414" s="70" t="s">
        <v>384</v>
      </c>
      <c r="P1414" s="47">
        <f t="shared" si="402"/>
        <v>0</v>
      </c>
      <c r="Q1414">
        <f t="shared" si="403"/>
        <v>0</v>
      </c>
    </row>
    <row r="1415" spans="1:17" ht="15">
      <c r="A1415" s="72" t="s">
        <v>430</v>
      </c>
      <c r="B1415">
        <f t="shared" si="404"/>
        <v>0</v>
      </c>
      <c r="C1415" s="28">
        <f t="shared" si="383"/>
        <v>0.002916666666666667</v>
      </c>
      <c r="D1415" s="47">
        <f t="shared" si="405"/>
        <v>0</v>
      </c>
      <c r="E1415">
        <f t="shared" si="398"/>
        <v>0</v>
      </c>
      <c r="G1415" s="72" t="s">
        <v>430</v>
      </c>
      <c r="H1415" s="47">
        <f t="shared" si="399"/>
        <v>0</v>
      </c>
      <c r="I1415" s="28">
        <f t="shared" si="396"/>
        <v>0.0027500000000000003</v>
      </c>
      <c r="J1415" s="47">
        <f t="shared" si="400"/>
        <v>0</v>
      </c>
      <c r="K1415">
        <f t="shared" si="401"/>
        <v>0</v>
      </c>
      <c r="M1415" s="72" t="s">
        <v>430</v>
      </c>
      <c r="N1415" s="47">
        <f t="shared" si="397"/>
        <v>0</v>
      </c>
      <c r="O1415" s="70" t="s">
        <v>384</v>
      </c>
      <c r="P1415" s="47">
        <f t="shared" si="402"/>
        <v>0</v>
      </c>
      <c r="Q1415">
        <f t="shared" si="403"/>
        <v>0</v>
      </c>
    </row>
    <row r="1416" spans="1:17" ht="15">
      <c r="A1416" s="72" t="s">
        <v>431</v>
      </c>
      <c r="B1416">
        <f t="shared" si="404"/>
        <v>0</v>
      </c>
      <c r="C1416" s="28">
        <f t="shared" si="383"/>
        <v>0.002916666666666667</v>
      </c>
      <c r="D1416" s="47">
        <f t="shared" si="405"/>
        <v>0</v>
      </c>
      <c r="E1416">
        <f t="shared" si="398"/>
        <v>0</v>
      </c>
      <c r="G1416" s="72" t="s">
        <v>431</v>
      </c>
      <c r="H1416" s="47">
        <f t="shared" si="399"/>
        <v>0</v>
      </c>
      <c r="I1416" s="28">
        <f t="shared" si="396"/>
        <v>0.0027500000000000003</v>
      </c>
      <c r="J1416" s="47">
        <f t="shared" si="400"/>
        <v>0</v>
      </c>
      <c r="K1416">
        <f t="shared" si="401"/>
        <v>0</v>
      </c>
      <c r="M1416" s="72" t="s">
        <v>431</v>
      </c>
      <c r="N1416" s="47">
        <f t="shared" si="397"/>
        <v>0</v>
      </c>
      <c r="O1416" s="70" t="s">
        <v>384</v>
      </c>
      <c r="P1416" s="47">
        <f t="shared" si="402"/>
        <v>0</v>
      </c>
      <c r="Q1416">
        <f t="shared" si="403"/>
        <v>0</v>
      </c>
    </row>
    <row r="1417" spans="1:17" ht="15">
      <c r="A1417" s="72" t="s">
        <v>432</v>
      </c>
      <c r="B1417">
        <f t="shared" si="404"/>
        <v>0</v>
      </c>
      <c r="C1417" s="28">
        <f t="shared" si="383"/>
        <v>0.002916666666666667</v>
      </c>
      <c r="D1417" s="47">
        <f>ROUND((B1416*C1417)+(0*C1417/2),0)</f>
        <v>0</v>
      </c>
      <c r="E1417">
        <f>ROUND(+E1416+D1417,0)</f>
        <v>0</v>
      </c>
      <c r="G1417" s="72" t="s">
        <v>432</v>
      </c>
      <c r="H1417" s="47">
        <f t="shared" si="399"/>
        <v>0</v>
      </c>
      <c r="I1417" s="28">
        <f t="shared" si="396"/>
        <v>0.0027500000000000003</v>
      </c>
      <c r="J1417" s="47">
        <f t="shared" si="400"/>
        <v>0</v>
      </c>
      <c r="K1417">
        <f t="shared" si="401"/>
        <v>0</v>
      </c>
      <c r="M1417" s="72" t="s">
        <v>432</v>
      </c>
      <c r="N1417" s="47">
        <f t="shared" si="397"/>
        <v>0</v>
      </c>
      <c r="O1417" s="70" t="s">
        <v>384</v>
      </c>
      <c r="P1417" s="47">
        <f t="shared" si="402"/>
        <v>0</v>
      </c>
      <c r="Q1417">
        <f t="shared" si="403"/>
        <v>0</v>
      </c>
    </row>
    <row r="1418" spans="1:17" ht="15">
      <c r="A1418" s="72" t="s">
        <v>433</v>
      </c>
      <c r="B1418">
        <f t="shared" si="404"/>
        <v>0</v>
      </c>
      <c r="C1418" s="28">
        <f t="shared" si="383"/>
        <v>0.002916666666666667</v>
      </c>
      <c r="D1418" s="47">
        <f>ROUND((B1417*C1418)+(0*C1418/2),0)</f>
        <v>0</v>
      </c>
      <c r="E1418">
        <f>ROUND(+E1417+D1418,0)</f>
        <v>0</v>
      </c>
      <c r="G1418" s="72" t="s">
        <v>433</v>
      </c>
      <c r="H1418" s="47">
        <f t="shared" si="399"/>
        <v>0</v>
      </c>
      <c r="I1418" s="28">
        <f t="shared" si="396"/>
        <v>0.0027500000000000003</v>
      </c>
      <c r="J1418" s="47">
        <f t="shared" si="400"/>
        <v>0</v>
      </c>
      <c r="K1418">
        <f t="shared" si="401"/>
        <v>0</v>
      </c>
      <c r="M1418" s="72" t="s">
        <v>433</v>
      </c>
      <c r="N1418" s="47">
        <f t="shared" si="397"/>
        <v>0</v>
      </c>
      <c r="O1418" s="70" t="s">
        <v>384</v>
      </c>
      <c r="P1418" s="47">
        <f t="shared" si="402"/>
        <v>0</v>
      </c>
      <c r="Q1418">
        <f t="shared" si="403"/>
        <v>0</v>
      </c>
    </row>
    <row r="1420" ht="15">
      <c r="A1420" t="s">
        <v>343</v>
      </c>
    </row>
    <row r="1422" spans="2:4" ht="15">
      <c r="B1422" s="29" t="s">
        <v>115</v>
      </c>
      <c r="C1422" s="29" t="s">
        <v>116</v>
      </c>
      <c r="D1422" s="29" t="s">
        <v>116</v>
      </c>
    </row>
    <row r="1423" spans="3:5" ht="15">
      <c r="C1423" s="29" t="s">
        <v>117</v>
      </c>
      <c r="D1423" s="29" t="s">
        <v>118</v>
      </c>
      <c r="E1423" s="29" t="s">
        <v>119</v>
      </c>
    </row>
    <row r="1424" spans="2:19" ht="15">
      <c r="B1424" t="s">
        <v>434</v>
      </c>
      <c r="G1424" t="s">
        <v>435</v>
      </c>
      <c r="M1424" t="s">
        <v>437</v>
      </c>
      <c r="S1424" t="s">
        <v>436</v>
      </c>
    </row>
    <row r="1425" spans="1:23" ht="15.75">
      <c r="A1425" s="43" t="s">
        <v>192</v>
      </c>
      <c r="B1425" s="53">
        <v>0</v>
      </c>
      <c r="C1425" s="28">
        <f>0.035/12</f>
        <v>0.002916666666666667</v>
      </c>
      <c r="D1425" s="47">
        <f>ROUND((B1424*C1425)+(0*C1425/2),0)-0</f>
        <v>0</v>
      </c>
      <c r="E1425">
        <f>D1425</f>
        <v>0</v>
      </c>
      <c r="G1425" s="53"/>
      <c r="H1425" s="53">
        <v>0</v>
      </c>
      <c r="I1425" s="28">
        <f>0.033/12</f>
        <v>0.0027500000000000003</v>
      </c>
      <c r="J1425" s="47">
        <f>ROUND((H1424*I1425)+(0*I1425/2),0)-0</f>
        <v>0</v>
      </c>
      <c r="K1425">
        <f>J1425</f>
        <v>0</v>
      </c>
      <c r="M1425" s="53"/>
      <c r="N1425" s="53">
        <v>0</v>
      </c>
      <c r="O1425" s="28">
        <f>0.029/12</f>
        <v>0.002416666666666667</v>
      </c>
      <c r="P1425" s="47">
        <f>ROUND((N1424*O1425)+(0*O1425/2),0)-0</f>
        <v>0</v>
      </c>
      <c r="Q1425">
        <f>P1425</f>
        <v>0</v>
      </c>
      <c r="S1425" s="53"/>
      <c r="T1425" s="53">
        <v>0</v>
      </c>
      <c r="U1425" s="28">
        <f>0.027/12</f>
        <v>0.00225</v>
      </c>
      <c r="V1425" s="47">
        <f>ROUND((T1424*U1425)+(0*U1425/2),0)-0</f>
        <v>0</v>
      </c>
      <c r="W1425">
        <f>V1425</f>
        <v>0</v>
      </c>
    </row>
    <row r="1427" spans="1:29" ht="15">
      <c r="A1427" s="43" t="s">
        <v>288</v>
      </c>
      <c r="B1427" s="47">
        <f>+B1425</f>
        <v>0</v>
      </c>
      <c r="C1427" s="28">
        <f>0.035/12</f>
        <v>0.002916666666666667</v>
      </c>
      <c r="D1427" s="47">
        <f>ROUND((B1425*C1427)+(0*C1427/2),0)</f>
        <v>0</v>
      </c>
      <c r="E1427">
        <f>ROUND(+E1425+D1427,0)</f>
        <v>0</v>
      </c>
      <c r="G1427" s="43" t="s">
        <v>288</v>
      </c>
      <c r="H1427" s="47">
        <f>+H1425</f>
        <v>0</v>
      </c>
      <c r="I1427" s="28">
        <f>0.033/12</f>
        <v>0.0027500000000000003</v>
      </c>
      <c r="J1427" s="47">
        <f>ROUND((H1425*I1427)+(0*I1427/2),0)</f>
        <v>0</v>
      </c>
      <c r="K1427">
        <f>ROUND(+K1425+J1427,0)</f>
        <v>0</v>
      </c>
      <c r="M1427" s="43" t="s">
        <v>288</v>
      </c>
      <c r="N1427" s="47">
        <f>+N1425</f>
        <v>0</v>
      </c>
      <c r="O1427" s="28">
        <f aca="true" t="shared" si="406" ref="O1427:O1464">0.029/12</f>
        <v>0.002416666666666667</v>
      </c>
      <c r="P1427" s="47">
        <f>ROUND((N1425*O1427)+(0*O1427/2),0)</f>
        <v>0</v>
      </c>
      <c r="Q1427">
        <f>ROUND(+Q1425+P1427,0)</f>
        <v>0</v>
      </c>
      <c r="S1427" s="43" t="s">
        <v>288</v>
      </c>
      <c r="T1427" s="47">
        <f>+T1425</f>
        <v>0</v>
      </c>
      <c r="U1427" s="28">
        <f aca="true" t="shared" si="407" ref="U1427:U1464">0.027/12</f>
        <v>0.00225</v>
      </c>
      <c r="V1427" s="47">
        <f>ROUND((T1425*U1427)+(0*U1427/2),0)</f>
        <v>0</v>
      </c>
      <c r="W1427">
        <f>ROUND(+W1425+V1427,0)</f>
        <v>0</v>
      </c>
      <c r="Y1427" s="43" t="s">
        <v>288</v>
      </c>
      <c r="Z1427" s="47">
        <f>N1427+T1427+B1427+H1427</f>
        <v>0</v>
      </c>
      <c r="AA1427" s="70" t="s">
        <v>384</v>
      </c>
      <c r="AB1427" s="47">
        <f>P1427+V1427+J1427+D1427</f>
        <v>0</v>
      </c>
      <c r="AC1427">
        <f>ROUND(+AC1425+AB1427,0)</f>
        <v>0</v>
      </c>
    </row>
    <row r="1428" spans="1:29" ht="15">
      <c r="A1428" s="43" t="s">
        <v>289</v>
      </c>
      <c r="B1428" s="47">
        <f aca="true" t="shared" si="408" ref="B1428:B1433">B1427</f>
        <v>0</v>
      </c>
      <c r="C1428" s="28">
        <f aca="true" t="shared" si="409" ref="C1428:C1438">0.035/12</f>
        <v>0.002916666666666667</v>
      </c>
      <c r="D1428" s="47">
        <f aca="true" t="shared" si="410" ref="D1428:D1433">ROUND((B1427*C1428)+(0*C1428/2),0)</f>
        <v>0</v>
      </c>
      <c r="E1428">
        <f>ROUND(+E1427+D1428,0)</f>
        <v>0</v>
      </c>
      <c r="G1428" s="43" t="s">
        <v>289</v>
      </c>
      <c r="H1428" s="47">
        <f>H1427</f>
        <v>0</v>
      </c>
      <c r="I1428" s="28">
        <f aca="true" t="shared" si="411" ref="I1428:I1438">0.033/12</f>
        <v>0.0027500000000000003</v>
      </c>
      <c r="J1428" s="47">
        <f>ROUND((H1427*I1428)+(0*I1428/2),0)</f>
        <v>0</v>
      </c>
      <c r="K1428">
        <f>ROUND(+K1427+J1428,0)</f>
        <v>0</v>
      </c>
      <c r="M1428" s="43" t="s">
        <v>289</v>
      </c>
      <c r="N1428" s="47">
        <f>N1427</f>
        <v>0</v>
      </c>
      <c r="O1428" s="28">
        <f t="shared" si="406"/>
        <v>0.002416666666666667</v>
      </c>
      <c r="P1428" s="47">
        <f>ROUND((N1427*O1428)+(0*O1428/2),0)</f>
        <v>0</v>
      </c>
      <c r="Q1428">
        <f>ROUND(+Q1427+P1428,0)</f>
        <v>0</v>
      </c>
      <c r="S1428" s="43" t="s">
        <v>289</v>
      </c>
      <c r="T1428" s="47">
        <f>T1427</f>
        <v>0</v>
      </c>
      <c r="U1428" s="28">
        <f t="shared" si="407"/>
        <v>0.00225</v>
      </c>
      <c r="V1428" s="47">
        <f>ROUND((T1427*U1428)+(0*U1428/2),0)</f>
        <v>0</v>
      </c>
      <c r="W1428">
        <f>ROUND(+W1427+V1428,0)</f>
        <v>0</v>
      </c>
      <c r="Y1428" s="43" t="s">
        <v>289</v>
      </c>
      <c r="Z1428" s="47">
        <f aca="true" t="shared" si="412" ref="Z1428:Z1438">N1428+T1428+B1428+H1428</f>
        <v>0</v>
      </c>
      <c r="AA1428" s="70" t="s">
        <v>384</v>
      </c>
      <c r="AB1428" s="47">
        <f aca="true" t="shared" si="413" ref="AB1428:AB1438">P1428+V1428+J1428+D1428</f>
        <v>0</v>
      </c>
      <c r="AC1428">
        <f>ROUND(+AC1427+AB1428,0)</f>
        <v>0</v>
      </c>
    </row>
    <row r="1429" spans="1:29" ht="15">
      <c r="A1429" s="43" t="s">
        <v>290</v>
      </c>
      <c r="B1429" s="47">
        <f t="shared" si="408"/>
        <v>0</v>
      </c>
      <c r="C1429" s="28">
        <f t="shared" si="409"/>
        <v>0.002916666666666667</v>
      </c>
      <c r="D1429" s="47">
        <f t="shared" si="410"/>
        <v>0</v>
      </c>
      <c r="E1429">
        <f aca="true" t="shared" si="414" ref="E1429:E1438">ROUND(+E1428+D1429,0)</f>
        <v>0</v>
      </c>
      <c r="G1429" s="43" t="s">
        <v>290</v>
      </c>
      <c r="H1429" s="47">
        <f aca="true" t="shared" si="415" ref="H1429:H1436">H1428</f>
        <v>0</v>
      </c>
      <c r="I1429" s="28">
        <f t="shared" si="411"/>
        <v>0.0027500000000000003</v>
      </c>
      <c r="J1429" s="47">
        <f aca="true" t="shared" si="416" ref="J1429:J1438">ROUND((H1428*I1429)+(0*I1429/2),0)</f>
        <v>0</v>
      </c>
      <c r="K1429">
        <f aca="true" t="shared" si="417" ref="K1429:K1438">ROUND(+K1428+J1429,0)</f>
        <v>0</v>
      </c>
      <c r="M1429" s="43" t="s">
        <v>290</v>
      </c>
      <c r="N1429" s="47">
        <f aca="true" t="shared" si="418" ref="N1429:N1436">N1428</f>
        <v>0</v>
      </c>
      <c r="O1429" s="28">
        <f t="shared" si="406"/>
        <v>0.002416666666666667</v>
      </c>
      <c r="P1429" s="47">
        <f aca="true" t="shared" si="419" ref="P1429:P1438">ROUND((N1428*O1429)+(0*O1429/2),0)</f>
        <v>0</v>
      </c>
      <c r="Q1429">
        <f aca="true" t="shared" si="420" ref="Q1429:Q1438">ROUND(+Q1428+P1429,0)</f>
        <v>0</v>
      </c>
      <c r="S1429" s="43" t="s">
        <v>290</v>
      </c>
      <c r="T1429" s="47">
        <f aca="true" t="shared" si="421" ref="T1429:T1436">T1428</f>
        <v>0</v>
      </c>
      <c r="U1429" s="28">
        <f t="shared" si="407"/>
        <v>0.00225</v>
      </c>
      <c r="V1429" s="47">
        <f aca="true" t="shared" si="422" ref="V1429:V1438">ROUND((T1428*U1429)+(0*U1429/2),0)</f>
        <v>0</v>
      </c>
      <c r="W1429">
        <f aca="true" t="shared" si="423" ref="W1429:W1438">ROUND(+W1428+V1429,0)</f>
        <v>0</v>
      </c>
      <c r="Y1429" s="43" t="s">
        <v>290</v>
      </c>
      <c r="Z1429" s="47">
        <f t="shared" si="412"/>
        <v>0</v>
      </c>
      <c r="AA1429" s="70" t="s">
        <v>384</v>
      </c>
      <c r="AB1429" s="47">
        <f t="shared" si="413"/>
        <v>0</v>
      </c>
      <c r="AC1429">
        <f aca="true" t="shared" si="424" ref="AC1429:AC1438">ROUND(+AC1428+AB1429,0)</f>
        <v>0</v>
      </c>
    </row>
    <row r="1430" spans="1:29" ht="15">
      <c r="A1430" s="43" t="s">
        <v>291</v>
      </c>
      <c r="B1430" s="47">
        <f t="shared" si="408"/>
        <v>0</v>
      </c>
      <c r="C1430" s="28">
        <f t="shared" si="409"/>
        <v>0.002916666666666667</v>
      </c>
      <c r="D1430" s="47">
        <f t="shared" si="410"/>
        <v>0</v>
      </c>
      <c r="E1430">
        <f t="shared" si="414"/>
        <v>0</v>
      </c>
      <c r="G1430" s="43" t="s">
        <v>291</v>
      </c>
      <c r="H1430" s="47">
        <f t="shared" si="415"/>
        <v>0</v>
      </c>
      <c r="I1430" s="28">
        <f t="shared" si="411"/>
        <v>0.0027500000000000003</v>
      </c>
      <c r="J1430" s="47">
        <f t="shared" si="416"/>
        <v>0</v>
      </c>
      <c r="K1430">
        <f t="shared" si="417"/>
        <v>0</v>
      </c>
      <c r="M1430" s="43" t="s">
        <v>291</v>
      </c>
      <c r="N1430" s="47">
        <f t="shared" si="418"/>
        <v>0</v>
      </c>
      <c r="O1430" s="28">
        <f t="shared" si="406"/>
        <v>0.002416666666666667</v>
      </c>
      <c r="P1430" s="47">
        <f t="shared" si="419"/>
        <v>0</v>
      </c>
      <c r="Q1430">
        <f t="shared" si="420"/>
        <v>0</v>
      </c>
      <c r="S1430" s="43" t="s">
        <v>291</v>
      </c>
      <c r="T1430" s="47">
        <f t="shared" si="421"/>
        <v>0</v>
      </c>
      <c r="U1430" s="28">
        <f t="shared" si="407"/>
        <v>0.00225</v>
      </c>
      <c r="V1430" s="47">
        <f t="shared" si="422"/>
        <v>0</v>
      </c>
      <c r="W1430">
        <f t="shared" si="423"/>
        <v>0</v>
      </c>
      <c r="Y1430" s="43" t="s">
        <v>291</v>
      </c>
      <c r="Z1430" s="47">
        <f t="shared" si="412"/>
        <v>0</v>
      </c>
      <c r="AA1430" s="70" t="s">
        <v>384</v>
      </c>
      <c r="AB1430" s="47">
        <f t="shared" si="413"/>
        <v>0</v>
      </c>
      <c r="AC1430">
        <f t="shared" si="424"/>
        <v>0</v>
      </c>
    </row>
    <row r="1431" spans="1:29" ht="15">
      <c r="A1431" s="43" t="s">
        <v>292</v>
      </c>
      <c r="B1431" s="47">
        <f t="shared" si="408"/>
        <v>0</v>
      </c>
      <c r="C1431" s="28">
        <f t="shared" si="409"/>
        <v>0.002916666666666667</v>
      </c>
      <c r="D1431" s="47">
        <f t="shared" si="410"/>
        <v>0</v>
      </c>
      <c r="E1431">
        <f t="shared" si="414"/>
        <v>0</v>
      </c>
      <c r="G1431" s="43" t="s">
        <v>292</v>
      </c>
      <c r="H1431" s="47">
        <f t="shared" si="415"/>
        <v>0</v>
      </c>
      <c r="I1431" s="28">
        <f t="shared" si="411"/>
        <v>0.0027500000000000003</v>
      </c>
      <c r="J1431" s="47">
        <f t="shared" si="416"/>
        <v>0</v>
      </c>
      <c r="K1431">
        <f t="shared" si="417"/>
        <v>0</v>
      </c>
      <c r="M1431" s="43" t="s">
        <v>292</v>
      </c>
      <c r="N1431" s="47">
        <f t="shared" si="418"/>
        <v>0</v>
      </c>
      <c r="O1431" s="28">
        <f t="shared" si="406"/>
        <v>0.002416666666666667</v>
      </c>
      <c r="P1431" s="47">
        <f t="shared" si="419"/>
        <v>0</v>
      </c>
      <c r="Q1431">
        <f t="shared" si="420"/>
        <v>0</v>
      </c>
      <c r="S1431" s="43" t="s">
        <v>292</v>
      </c>
      <c r="T1431" s="47">
        <f t="shared" si="421"/>
        <v>0</v>
      </c>
      <c r="U1431" s="28">
        <f t="shared" si="407"/>
        <v>0.00225</v>
      </c>
      <c r="V1431" s="47">
        <f t="shared" si="422"/>
        <v>0</v>
      </c>
      <c r="W1431">
        <f t="shared" si="423"/>
        <v>0</v>
      </c>
      <c r="Y1431" s="43" t="s">
        <v>292</v>
      </c>
      <c r="Z1431" s="47">
        <f t="shared" si="412"/>
        <v>0</v>
      </c>
      <c r="AA1431" s="70" t="s">
        <v>384</v>
      </c>
      <c r="AB1431" s="47">
        <f t="shared" si="413"/>
        <v>0</v>
      </c>
      <c r="AC1431">
        <f t="shared" si="424"/>
        <v>0</v>
      </c>
    </row>
    <row r="1432" spans="1:29" ht="15">
      <c r="A1432" s="43" t="s">
        <v>293</v>
      </c>
      <c r="B1432" s="47">
        <f t="shared" si="408"/>
        <v>0</v>
      </c>
      <c r="C1432" s="28">
        <f t="shared" si="409"/>
        <v>0.002916666666666667</v>
      </c>
      <c r="D1432" s="47">
        <f t="shared" si="410"/>
        <v>0</v>
      </c>
      <c r="E1432">
        <f t="shared" si="414"/>
        <v>0</v>
      </c>
      <c r="G1432" s="43" t="s">
        <v>293</v>
      </c>
      <c r="H1432" s="47">
        <f t="shared" si="415"/>
        <v>0</v>
      </c>
      <c r="I1432" s="28">
        <f t="shared" si="411"/>
        <v>0.0027500000000000003</v>
      </c>
      <c r="J1432" s="47">
        <f t="shared" si="416"/>
        <v>0</v>
      </c>
      <c r="K1432">
        <f t="shared" si="417"/>
        <v>0</v>
      </c>
      <c r="M1432" s="43" t="s">
        <v>293</v>
      </c>
      <c r="N1432" s="47">
        <f t="shared" si="418"/>
        <v>0</v>
      </c>
      <c r="O1432" s="28">
        <f t="shared" si="406"/>
        <v>0.002416666666666667</v>
      </c>
      <c r="P1432" s="47">
        <f t="shared" si="419"/>
        <v>0</v>
      </c>
      <c r="Q1432">
        <f t="shared" si="420"/>
        <v>0</v>
      </c>
      <c r="S1432" s="43" t="s">
        <v>293</v>
      </c>
      <c r="T1432" s="47">
        <f t="shared" si="421"/>
        <v>0</v>
      </c>
      <c r="U1432" s="28">
        <f t="shared" si="407"/>
        <v>0.00225</v>
      </c>
      <c r="V1432" s="47">
        <f t="shared" si="422"/>
        <v>0</v>
      </c>
      <c r="W1432">
        <f t="shared" si="423"/>
        <v>0</v>
      </c>
      <c r="Y1432" s="43" t="s">
        <v>293</v>
      </c>
      <c r="Z1432" s="47">
        <f t="shared" si="412"/>
        <v>0</v>
      </c>
      <c r="AA1432" s="70" t="s">
        <v>384</v>
      </c>
      <c r="AB1432" s="47">
        <f t="shared" si="413"/>
        <v>0</v>
      </c>
      <c r="AC1432">
        <f t="shared" si="424"/>
        <v>0</v>
      </c>
    </row>
    <row r="1433" spans="1:29" ht="15">
      <c r="A1433" s="43" t="s">
        <v>294</v>
      </c>
      <c r="B1433" s="47">
        <f t="shared" si="408"/>
        <v>0</v>
      </c>
      <c r="C1433" s="28">
        <f t="shared" si="409"/>
        <v>0.002916666666666667</v>
      </c>
      <c r="D1433" s="47">
        <f t="shared" si="410"/>
        <v>0</v>
      </c>
      <c r="E1433">
        <f t="shared" si="414"/>
        <v>0</v>
      </c>
      <c r="G1433" s="43" t="s">
        <v>294</v>
      </c>
      <c r="H1433" s="47">
        <f t="shared" si="415"/>
        <v>0</v>
      </c>
      <c r="I1433" s="28">
        <f t="shared" si="411"/>
        <v>0.0027500000000000003</v>
      </c>
      <c r="J1433" s="47">
        <f t="shared" si="416"/>
        <v>0</v>
      </c>
      <c r="K1433">
        <f t="shared" si="417"/>
        <v>0</v>
      </c>
      <c r="M1433" s="43" t="s">
        <v>294</v>
      </c>
      <c r="N1433" s="47">
        <f t="shared" si="418"/>
        <v>0</v>
      </c>
      <c r="O1433" s="28">
        <f t="shared" si="406"/>
        <v>0.002416666666666667</v>
      </c>
      <c r="P1433" s="47">
        <f t="shared" si="419"/>
        <v>0</v>
      </c>
      <c r="Q1433">
        <f t="shared" si="420"/>
        <v>0</v>
      </c>
      <c r="S1433" s="43" t="s">
        <v>294</v>
      </c>
      <c r="T1433" s="47">
        <f t="shared" si="421"/>
        <v>0</v>
      </c>
      <c r="U1433" s="28">
        <f t="shared" si="407"/>
        <v>0.00225</v>
      </c>
      <c r="V1433" s="47">
        <f t="shared" si="422"/>
        <v>0</v>
      </c>
      <c r="W1433">
        <f t="shared" si="423"/>
        <v>0</v>
      </c>
      <c r="Y1433" s="43" t="s">
        <v>294</v>
      </c>
      <c r="Z1433" s="47">
        <f t="shared" si="412"/>
        <v>0</v>
      </c>
      <c r="AA1433" s="70" t="s">
        <v>384</v>
      </c>
      <c r="AB1433" s="47">
        <f t="shared" si="413"/>
        <v>0</v>
      </c>
      <c r="AC1433">
        <f t="shared" si="424"/>
        <v>0</v>
      </c>
    </row>
    <row r="1434" spans="1:29" ht="15">
      <c r="A1434" s="43" t="s">
        <v>295</v>
      </c>
      <c r="B1434" s="47">
        <f>B1433+3765</f>
        <v>3765</v>
      </c>
      <c r="C1434" s="28">
        <f t="shared" si="409"/>
        <v>0.002916666666666667</v>
      </c>
      <c r="D1434" s="47">
        <f>ROUND((B1433*C1434)+(3765*C1434/2),0)</f>
        <v>5</v>
      </c>
      <c r="E1434">
        <f t="shared" si="414"/>
        <v>5</v>
      </c>
      <c r="G1434" s="43" t="s">
        <v>295</v>
      </c>
      <c r="H1434" s="47">
        <f t="shared" si="415"/>
        <v>0</v>
      </c>
      <c r="I1434" s="28">
        <f t="shared" si="411"/>
        <v>0.0027500000000000003</v>
      </c>
      <c r="J1434" s="47">
        <f t="shared" si="416"/>
        <v>0</v>
      </c>
      <c r="K1434">
        <f t="shared" si="417"/>
        <v>0</v>
      </c>
      <c r="M1434" s="43" t="s">
        <v>295</v>
      </c>
      <c r="N1434" s="47">
        <f t="shared" si="418"/>
        <v>0</v>
      </c>
      <c r="O1434" s="28">
        <f t="shared" si="406"/>
        <v>0.002416666666666667</v>
      </c>
      <c r="P1434" s="47">
        <f t="shared" si="419"/>
        <v>0</v>
      </c>
      <c r="Q1434">
        <f t="shared" si="420"/>
        <v>0</v>
      </c>
      <c r="S1434" s="43" t="s">
        <v>295</v>
      </c>
      <c r="T1434" s="47">
        <f t="shared" si="421"/>
        <v>0</v>
      </c>
      <c r="U1434" s="28">
        <f t="shared" si="407"/>
        <v>0.00225</v>
      </c>
      <c r="V1434" s="47">
        <f t="shared" si="422"/>
        <v>0</v>
      </c>
      <c r="W1434">
        <f t="shared" si="423"/>
        <v>0</v>
      </c>
      <c r="Y1434" s="43" t="s">
        <v>295</v>
      </c>
      <c r="Z1434" s="47">
        <f t="shared" si="412"/>
        <v>3765</v>
      </c>
      <c r="AA1434" s="70" t="s">
        <v>384</v>
      </c>
      <c r="AB1434" s="47">
        <f t="shared" si="413"/>
        <v>5</v>
      </c>
      <c r="AC1434">
        <f t="shared" si="424"/>
        <v>5</v>
      </c>
    </row>
    <row r="1435" spans="1:29" ht="15">
      <c r="A1435" s="43" t="s">
        <v>296</v>
      </c>
      <c r="B1435" s="47">
        <f>B1434+74963</f>
        <v>78728</v>
      </c>
      <c r="C1435" s="28">
        <f t="shared" si="409"/>
        <v>0.002916666666666667</v>
      </c>
      <c r="D1435" s="47">
        <f>ROUND((B1434*C1435)+(74963*C1435/2),0)</f>
        <v>120</v>
      </c>
      <c r="E1435">
        <f t="shared" si="414"/>
        <v>125</v>
      </c>
      <c r="G1435" s="43" t="s">
        <v>296</v>
      </c>
      <c r="H1435" s="47">
        <f t="shared" si="415"/>
        <v>0</v>
      </c>
      <c r="I1435" s="28">
        <f t="shared" si="411"/>
        <v>0.0027500000000000003</v>
      </c>
      <c r="J1435" s="47">
        <f t="shared" si="416"/>
        <v>0</v>
      </c>
      <c r="K1435">
        <f t="shared" si="417"/>
        <v>0</v>
      </c>
      <c r="M1435" s="43" t="s">
        <v>296</v>
      </c>
      <c r="N1435" s="47">
        <f t="shared" si="418"/>
        <v>0</v>
      </c>
      <c r="O1435" s="28">
        <f t="shared" si="406"/>
        <v>0.002416666666666667</v>
      </c>
      <c r="P1435" s="47">
        <f t="shared" si="419"/>
        <v>0</v>
      </c>
      <c r="Q1435">
        <f t="shared" si="420"/>
        <v>0</v>
      </c>
      <c r="S1435" s="43" t="s">
        <v>296</v>
      </c>
      <c r="T1435" s="47">
        <f t="shared" si="421"/>
        <v>0</v>
      </c>
      <c r="U1435" s="28">
        <f t="shared" si="407"/>
        <v>0.00225</v>
      </c>
      <c r="V1435" s="47">
        <f t="shared" si="422"/>
        <v>0</v>
      </c>
      <c r="W1435">
        <f t="shared" si="423"/>
        <v>0</v>
      </c>
      <c r="Y1435" s="43" t="s">
        <v>296</v>
      </c>
      <c r="Z1435" s="47">
        <f t="shared" si="412"/>
        <v>78728</v>
      </c>
      <c r="AA1435" s="70" t="s">
        <v>384</v>
      </c>
      <c r="AB1435" s="47">
        <f t="shared" si="413"/>
        <v>120</v>
      </c>
      <c r="AC1435">
        <f t="shared" si="424"/>
        <v>125</v>
      </c>
    </row>
    <row r="1436" spans="1:29" ht="15">
      <c r="A1436" s="43" t="s">
        <v>297</v>
      </c>
      <c r="B1436" s="47">
        <f>B1435+13199</f>
        <v>91927</v>
      </c>
      <c r="C1436" s="28">
        <f t="shared" si="409"/>
        <v>0.002916666666666667</v>
      </c>
      <c r="D1436" s="47">
        <f>ROUND((B1435*C1436)+(13199*C1436/2),0)</f>
        <v>249</v>
      </c>
      <c r="E1436">
        <f t="shared" si="414"/>
        <v>374</v>
      </c>
      <c r="G1436" s="43" t="s">
        <v>297</v>
      </c>
      <c r="H1436" s="47">
        <f t="shared" si="415"/>
        <v>0</v>
      </c>
      <c r="I1436" s="28">
        <f t="shared" si="411"/>
        <v>0.0027500000000000003</v>
      </c>
      <c r="J1436" s="47">
        <f t="shared" si="416"/>
        <v>0</v>
      </c>
      <c r="K1436">
        <f t="shared" si="417"/>
        <v>0</v>
      </c>
      <c r="M1436" s="43" t="s">
        <v>297</v>
      </c>
      <c r="N1436" s="47">
        <f t="shared" si="418"/>
        <v>0</v>
      </c>
      <c r="O1436" s="28">
        <f t="shared" si="406"/>
        <v>0.002416666666666667</v>
      </c>
      <c r="P1436" s="47">
        <f t="shared" si="419"/>
        <v>0</v>
      </c>
      <c r="Q1436">
        <f t="shared" si="420"/>
        <v>0</v>
      </c>
      <c r="S1436" s="43" t="s">
        <v>297</v>
      </c>
      <c r="T1436" s="47">
        <f t="shared" si="421"/>
        <v>0</v>
      </c>
      <c r="U1436" s="28">
        <f t="shared" si="407"/>
        <v>0.00225</v>
      </c>
      <c r="V1436" s="47">
        <f t="shared" si="422"/>
        <v>0</v>
      </c>
      <c r="W1436">
        <f t="shared" si="423"/>
        <v>0</v>
      </c>
      <c r="Y1436" s="43" t="s">
        <v>297</v>
      </c>
      <c r="Z1436" s="47">
        <f t="shared" si="412"/>
        <v>91927</v>
      </c>
      <c r="AA1436" s="70" t="s">
        <v>384</v>
      </c>
      <c r="AB1436" s="47">
        <f t="shared" si="413"/>
        <v>249</v>
      </c>
      <c r="AC1436">
        <f t="shared" si="424"/>
        <v>374</v>
      </c>
    </row>
    <row r="1437" spans="1:29" ht="15">
      <c r="A1437" s="43" t="s">
        <v>298</v>
      </c>
      <c r="B1437" s="47">
        <f>B1436-17620</f>
        <v>74307</v>
      </c>
      <c r="C1437" s="28">
        <f t="shared" si="409"/>
        <v>0.002916666666666667</v>
      </c>
      <c r="D1437" s="47">
        <f>ROUND((B1436*C1437)+(-17620*C1437/2),0)</f>
        <v>242</v>
      </c>
      <c r="E1437">
        <f t="shared" si="414"/>
        <v>616</v>
      </c>
      <c r="G1437" s="43" t="s">
        <v>298</v>
      </c>
      <c r="H1437" s="47">
        <f>H1436</f>
        <v>0</v>
      </c>
      <c r="I1437" s="28">
        <f t="shared" si="411"/>
        <v>0.0027500000000000003</v>
      </c>
      <c r="J1437" s="47">
        <f t="shared" si="416"/>
        <v>0</v>
      </c>
      <c r="K1437">
        <f t="shared" si="417"/>
        <v>0</v>
      </c>
      <c r="M1437" s="43" t="s">
        <v>298</v>
      </c>
      <c r="N1437" s="47">
        <f>N1436</f>
        <v>0</v>
      </c>
      <c r="O1437" s="28">
        <f t="shared" si="406"/>
        <v>0.002416666666666667</v>
      </c>
      <c r="P1437" s="47">
        <f t="shared" si="419"/>
        <v>0</v>
      </c>
      <c r="Q1437">
        <f t="shared" si="420"/>
        <v>0</v>
      </c>
      <c r="S1437" s="43" t="s">
        <v>298</v>
      </c>
      <c r="T1437" s="47">
        <f>T1436</f>
        <v>0</v>
      </c>
      <c r="U1437" s="28">
        <f t="shared" si="407"/>
        <v>0.00225</v>
      </c>
      <c r="V1437" s="47">
        <f t="shared" si="422"/>
        <v>0</v>
      </c>
      <c r="W1437">
        <f t="shared" si="423"/>
        <v>0</v>
      </c>
      <c r="Y1437" s="43" t="s">
        <v>298</v>
      </c>
      <c r="Z1437" s="47">
        <f t="shared" si="412"/>
        <v>74307</v>
      </c>
      <c r="AA1437" s="70" t="s">
        <v>384</v>
      </c>
      <c r="AB1437" s="47">
        <f t="shared" si="413"/>
        <v>242</v>
      </c>
      <c r="AC1437">
        <f t="shared" si="424"/>
        <v>616</v>
      </c>
    </row>
    <row r="1438" spans="1:29" ht="15">
      <c r="A1438" s="43" t="s">
        <v>299</v>
      </c>
      <c r="B1438" s="47">
        <f>B1437+10253</f>
        <v>84560</v>
      </c>
      <c r="C1438" s="28">
        <f t="shared" si="409"/>
        <v>0.002916666666666667</v>
      </c>
      <c r="D1438" s="47">
        <f>ROUND((B1437*C1438)+(10253*C1438/2),0)</f>
        <v>232</v>
      </c>
      <c r="E1438">
        <f t="shared" si="414"/>
        <v>848</v>
      </c>
      <c r="G1438" s="43" t="s">
        <v>299</v>
      </c>
      <c r="H1438" s="47">
        <f>H1437</f>
        <v>0</v>
      </c>
      <c r="I1438" s="28">
        <f t="shared" si="411"/>
        <v>0.0027500000000000003</v>
      </c>
      <c r="J1438" s="47">
        <f t="shared" si="416"/>
        <v>0</v>
      </c>
      <c r="K1438">
        <f t="shared" si="417"/>
        <v>0</v>
      </c>
      <c r="M1438" s="43" t="s">
        <v>299</v>
      </c>
      <c r="N1438" s="47">
        <f>N1437</f>
        <v>0</v>
      </c>
      <c r="O1438" s="28">
        <f t="shared" si="406"/>
        <v>0.002416666666666667</v>
      </c>
      <c r="P1438" s="47">
        <f t="shared" si="419"/>
        <v>0</v>
      </c>
      <c r="Q1438">
        <f t="shared" si="420"/>
        <v>0</v>
      </c>
      <c r="S1438" s="43" t="s">
        <v>299</v>
      </c>
      <c r="T1438" s="47">
        <f>T1437</f>
        <v>0</v>
      </c>
      <c r="U1438" s="28">
        <f t="shared" si="407"/>
        <v>0.00225</v>
      </c>
      <c r="V1438" s="47">
        <f t="shared" si="422"/>
        <v>0</v>
      </c>
      <c r="W1438">
        <f t="shared" si="423"/>
        <v>0</v>
      </c>
      <c r="Y1438" s="43" t="s">
        <v>299</v>
      </c>
      <c r="Z1438" s="47">
        <f t="shared" si="412"/>
        <v>84560</v>
      </c>
      <c r="AA1438" s="70" t="s">
        <v>384</v>
      </c>
      <c r="AB1438" s="47">
        <f t="shared" si="413"/>
        <v>232</v>
      </c>
      <c r="AC1438">
        <f t="shared" si="424"/>
        <v>848</v>
      </c>
    </row>
    <row r="1440" spans="1:29" ht="15">
      <c r="A1440" s="43" t="s">
        <v>357</v>
      </c>
      <c r="B1440" s="47">
        <f>B1438-2593</f>
        <v>81967</v>
      </c>
      <c r="C1440" s="28">
        <f>0.035/12</f>
        <v>0.002916666666666667</v>
      </c>
      <c r="D1440" s="47">
        <f>ROUND((B1438*C1440)+(-2593*C1440/2),0)</f>
        <v>243</v>
      </c>
      <c r="E1440">
        <f>ROUND(+E1438+D1440,0)</f>
        <v>1091</v>
      </c>
      <c r="G1440" t="str">
        <f>A1440</f>
        <v>1/01</v>
      </c>
      <c r="H1440" s="47">
        <f>H1438</f>
        <v>0</v>
      </c>
      <c r="I1440" s="28">
        <f>0.033/12</f>
        <v>0.0027500000000000003</v>
      </c>
      <c r="J1440" s="47">
        <f>ROUND((H1438*I1440)+(0*I1440/2),0)</f>
        <v>0</v>
      </c>
      <c r="K1440">
        <f>ROUND(+K1438+J1440,0)</f>
        <v>0</v>
      </c>
      <c r="M1440" t="str">
        <f>G1440</f>
        <v>1/01</v>
      </c>
      <c r="N1440" s="47">
        <f>N1438</f>
        <v>0</v>
      </c>
      <c r="O1440" s="28">
        <f t="shared" si="406"/>
        <v>0.002416666666666667</v>
      </c>
      <c r="P1440" s="47">
        <f>ROUND((N1438*O1440)+(0*O1440/2),0)</f>
        <v>0</v>
      </c>
      <c r="Q1440">
        <f>ROUND(+Q1438+P1440,0)</f>
        <v>0</v>
      </c>
      <c r="S1440" t="str">
        <f>M1440</f>
        <v>1/01</v>
      </c>
      <c r="T1440" s="47">
        <f>T1438</f>
        <v>0</v>
      </c>
      <c r="U1440" s="28">
        <f t="shared" si="407"/>
        <v>0.00225</v>
      </c>
      <c r="V1440" s="47">
        <f>ROUND((T1438*U1440)+(0*U1440/2),0)</f>
        <v>0</v>
      </c>
      <c r="W1440">
        <f>ROUND(+W1438+V1440,0)</f>
        <v>0</v>
      </c>
      <c r="Y1440" t="str">
        <f>M1440</f>
        <v>1/01</v>
      </c>
      <c r="Z1440" s="47">
        <f>N1440+T1440+B1440+H1440</f>
        <v>81967</v>
      </c>
      <c r="AA1440" s="70" t="s">
        <v>384</v>
      </c>
      <c r="AB1440" s="47">
        <f>P1440+V1440+J1440+D1440</f>
        <v>243</v>
      </c>
      <c r="AC1440">
        <f>ROUND(+AC1438+AB1440,0)</f>
        <v>1091</v>
      </c>
    </row>
    <row r="1441" spans="1:29" ht="15">
      <c r="A1441" s="43" t="s">
        <v>385</v>
      </c>
      <c r="B1441" s="47">
        <f>B1440+18998</f>
        <v>100965</v>
      </c>
      <c r="C1441" s="28">
        <f aca="true" t="shared" si="425" ref="C1441:C1451">0.035/12</f>
        <v>0.002916666666666667</v>
      </c>
      <c r="D1441" s="47">
        <f>ROUND((B1440*C1441)+(18998*C1441/2),0)</f>
        <v>267</v>
      </c>
      <c r="E1441">
        <f>ROUND(+E1440+D1441,0)</f>
        <v>1358</v>
      </c>
      <c r="G1441" t="str">
        <f aca="true" t="shared" si="426" ref="G1441:G1451">A1441</f>
        <v>02/01</v>
      </c>
      <c r="H1441" s="47">
        <f>H1440</f>
        <v>0</v>
      </c>
      <c r="I1441" s="28">
        <f aca="true" t="shared" si="427" ref="I1441:I1451">0.033/12</f>
        <v>0.0027500000000000003</v>
      </c>
      <c r="J1441" s="47">
        <f>ROUND((H1440*I1441)+(0*I1441/2),0)</f>
        <v>0</v>
      </c>
      <c r="K1441">
        <f>ROUND(+K1440+J1441,0)</f>
        <v>0</v>
      </c>
      <c r="M1441" t="str">
        <f aca="true" t="shared" si="428" ref="M1441:M1451">G1441</f>
        <v>02/01</v>
      </c>
      <c r="N1441" s="47">
        <f>N1440</f>
        <v>0</v>
      </c>
      <c r="O1441" s="28">
        <f t="shared" si="406"/>
        <v>0.002416666666666667</v>
      </c>
      <c r="P1441" s="47">
        <f>ROUND((N1440*O1441)+(0*O1441/2),0)</f>
        <v>0</v>
      </c>
      <c r="Q1441">
        <f>ROUND(+Q1440+P1441,0)</f>
        <v>0</v>
      </c>
      <c r="S1441" t="str">
        <f aca="true" t="shared" si="429" ref="S1441:S1451">M1441</f>
        <v>02/01</v>
      </c>
      <c r="T1441" s="47">
        <f>T1440</f>
        <v>0</v>
      </c>
      <c r="U1441" s="28">
        <f t="shared" si="407"/>
        <v>0.00225</v>
      </c>
      <c r="V1441" s="47">
        <f>ROUND((T1440*U1441)+(0*U1441/2),0)</f>
        <v>0</v>
      </c>
      <c r="W1441">
        <f>ROUND(+W1440+V1441,0)</f>
        <v>0</v>
      </c>
      <c r="Y1441" t="str">
        <f aca="true" t="shared" si="430" ref="Y1441:Y1451">M1441</f>
        <v>02/01</v>
      </c>
      <c r="Z1441" s="47">
        <f aca="true" t="shared" si="431" ref="Z1441:Z1451">N1441+T1441+B1441+H1441</f>
        <v>100965</v>
      </c>
      <c r="AA1441" s="70" t="s">
        <v>384</v>
      </c>
      <c r="AB1441" s="47">
        <f aca="true" t="shared" si="432" ref="AB1441:AB1451">P1441+V1441+J1441+D1441</f>
        <v>267</v>
      </c>
      <c r="AC1441">
        <f>ROUND(+AC1440+AB1441,0)</f>
        <v>1358</v>
      </c>
    </row>
    <row r="1442" spans="1:29" ht="15">
      <c r="A1442" s="43" t="s">
        <v>386</v>
      </c>
      <c r="B1442" s="47">
        <f>B1441+3766</f>
        <v>104731</v>
      </c>
      <c r="C1442" s="28">
        <f t="shared" si="425"/>
        <v>0.002916666666666667</v>
      </c>
      <c r="D1442" s="47">
        <f>ROUND((B1441*C1442)+(3766*C1442/2),0)</f>
        <v>300</v>
      </c>
      <c r="E1442">
        <f>ROUND(+E1441+D1442,0)</f>
        <v>1658</v>
      </c>
      <c r="G1442" t="str">
        <f t="shared" si="426"/>
        <v>03/01</v>
      </c>
      <c r="H1442" s="47">
        <f aca="true" t="shared" si="433" ref="H1442:H1451">H1441</f>
        <v>0</v>
      </c>
      <c r="I1442" s="28">
        <f t="shared" si="427"/>
        <v>0.0027500000000000003</v>
      </c>
      <c r="J1442" s="47">
        <f aca="true" t="shared" si="434" ref="J1442:J1451">ROUND((H1441*I1442)+(0*I1442/2),0)</f>
        <v>0</v>
      </c>
      <c r="K1442">
        <f aca="true" t="shared" si="435" ref="K1442:K1451">ROUND(+K1441+J1442,0)</f>
        <v>0</v>
      </c>
      <c r="M1442" t="str">
        <f t="shared" si="428"/>
        <v>03/01</v>
      </c>
      <c r="N1442" s="47">
        <f aca="true" t="shared" si="436" ref="N1442:N1451">N1441</f>
        <v>0</v>
      </c>
      <c r="O1442" s="28">
        <f t="shared" si="406"/>
        <v>0.002416666666666667</v>
      </c>
      <c r="P1442" s="47">
        <f aca="true" t="shared" si="437" ref="P1442:P1451">ROUND((N1441*O1442)+(0*O1442/2),0)</f>
        <v>0</v>
      </c>
      <c r="Q1442">
        <f aca="true" t="shared" si="438" ref="Q1442:Q1451">ROUND(+Q1441+P1442,0)</f>
        <v>0</v>
      </c>
      <c r="S1442" t="str">
        <f t="shared" si="429"/>
        <v>03/01</v>
      </c>
      <c r="T1442" s="47">
        <f aca="true" t="shared" si="439" ref="T1442:T1451">T1441</f>
        <v>0</v>
      </c>
      <c r="U1442" s="28">
        <f t="shared" si="407"/>
        <v>0.00225</v>
      </c>
      <c r="V1442" s="47">
        <f aca="true" t="shared" si="440" ref="V1442:V1451">ROUND((T1441*U1442)+(0*U1442/2),0)</f>
        <v>0</v>
      </c>
      <c r="W1442">
        <f aca="true" t="shared" si="441" ref="W1442:W1451">ROUND(+W1441+V1442,0)</f>
        <v>0</v>
      </c>
      <c r="Y1442" t="str">
        <f t="shared" si="430"/>
        <v>03/01</v>
      </c>
      <c r="Z1442" s="47">
        <f t="shared" si="431"/>
        <v>104731</v>
      </c>
      <c r="AA1442" s="70" t="s">
        <v>384</v>
      </c>
      <c r="AB1442" s="47">
        <f t="shared" si="432"/>
        <v>300</v>
      </c>
      <c r="AC1442">
        <f aca="true" t="shared" si="442" ref="AC1442:AC1451">ROUND(+AC1441+AB1442,0)</f>
        <v>1658</v>
      </c>
    </row>
    <row r="1443" spans="1:29" ht="15">
      <c r="A1443" s="43" t="s">
        <v>387</v>
      </c>
      <c r="B1443" s="47">
        <f>B1442+5900</f>
        <v>110631</v>
      </c>
      <c r="C1443" s="28">
        <f t="shared" si="425"/>
        <v>0.002916666666666667</v>
      </c>
      <c r="D1443" s="47">
        <f>ROUND((B1442*C1443)+(5900*C1443/2),0)</f>
        <v>314</v>
      </c>
      <c r="E1443">
        <f>ROUND(+E1442+D1443,0)</f>
        <v>1972</v>
      </c>
      <c r="G1443" t="str">
        <f t="shared" si="426"/>
        <v>04/01</v>
      </c>
      <c r="H1443" s="47">
        <f t="shared" si="433"/>
        <v>0</v>
      </c>
      <c r="I1443" s="28">
        <f t="shared" si="427"/>
        <v>0.0027500000000000003</v>
      </c>
      <c r="J1443" s="47">
        <f t="shared" si="434"/>
        <v>0</v>
      </c>
      <c r="K1443">
        <f t="shared" si="435"/>
        <v>0</v>
      </c>
      <c r="M1443" t="str">
        <f t="shared" si="428"/>
        <v>04/01</v>
      </c>
      <c r="N1443" s="47">
        <f t="shared" si="436"/>
        <v>0</v>
      </c>
      <c r="O1443" s="28">
        <f t="shared" si="406"/>
        <v>0.002416666666666667</v>
      </c>
      <c r="P1443" s="47">
        <f t="shared" si="437"/>
        <v>0</v>
      </c>
      <c r="Q1443">
        <f t="shared" si="438"/>
        <v>0</v>
      </c>
      <c r="S1443" t="str">
        <f t="shared" si="429"/>
        <v>04/01</v>
      </c>
      <c r="T1443" s="47">
        <f t="shared" si="439"/>
        <v>0</v>
      </c>
      <c r="U1443" s="28">
        <f t="shared" si="407"/>
        <v>0.00225</v>
      </c>
      <c r="V1443" s="47">
        <f t="shared" si="440"/>
        <v>0</v>
      </c>
      <c r="W1443">
        <f t="shared" si="441"/>
        <v>0</v>
      </c>
      <c r="Y1443" t="str">
        <f t="shared" si="430"/>
        <v>04/01</v>
      </c>
      <c r="Z1443" s="47">
        <f t="shared" si="431"/>
        <v>110631</v>
      </c>
      <c r="AA1443" s="70" t="s">
        <v>384</v>
      </c>
      <c r="AB1443" s="47">
        <f t="shared" si="432"/>
        <v>314</v>
      </c>
      <c r="AC1443">
        <f t="shared" si="442"/>
        <v>1972</v>
      </c>
    </row>
    <row r="1444" spans="1:29" ht="15">
      <c r="A1444" s="43" t="s">
        <v>388</v>
      </c>
      <c r="B1444" s="47">
        <f>B1443+2885</f>
        <v>113516</v>
      </c>
      <c r="C1444" s="28">
        <f t="shared" si="425"/>
        <v>0.002916666666666667</v>
      </c>
      <c r="D1444" s="47">
        <f>ROUND((B1443*C1444)+(2885*C1444/2),0)</f>
        <v>327</v>
      </c>
      <c r="E1444">
        <f>ROUND(+E1443+D1444,0)</f>
        <v>2299</v>
      </c>
      <c r="G1444" t="str">
        <f t="shared" si="426"/>
        <v>05/01</v>
      </c>
      <c r="H1444" s="47">
        <f t="shared" si="433"/>
        <v>0</v>
      </c>
      <c r="I1444" s="28">
        <f t="shared" si="427"/>
        <v>0.0027500000000000003</v>
      </c>
      <c r="J1444" s="47">
        <f t="shared" si="434"/>
        <v>0</v>
      </c>
      <c r="K1444">
        <f t="shared" si="435"/>
        <v>0</v>
      </c>
      <c r="M1444" t="str">
        <f t="shared" si="428"/>
        <v>05/01</v>
      </c>
      <c r="N1444" s="47">
        <f t="shared" si="436"/>
        <v>0</v>
      </c>
      <c r="O1444" s="28">
        <f t="shared" si="406"/>
        <v>0.002416666666666667</v>
      </c>
      <c r="P1444" s="47">
        <f t="shared" si="437"/>
        <v>0</v>
      </c>
      <c r="Q1444">
        <f t="shared" si="438"/>
        <v>0</v>
      </c>
      <c r="S1444" t="str">
        <f t="shared" si="429"/>
        <v>05/01</v>
      </c>
      <c r="T1444" s="47">
        <f t="shared" si="439"/>
        <v>0</v>
      </c>
      <c r="U1444" s="28">
        <f t="shared" si="407"/>
        <v>0.00225</v>
      </c>
      <c r="V1444" s="47">
        <f t="shared" si="440"/>
        <v>0</v>
      </c>
      <c r="W1444">
        <f t="shared" si="441"/>
        <v>0</v>
      </c>
      <c r="Y1444" t="str">
        <f t="shared" si="430"/>
        <v>05/01</v>
      </c>
      <c r="Z1444" s="47">
        <f t="shared" si="431"/>
        <v>113516</v>
      </c>
      <c r="AA1444" s="70" t="s">
        <v>384</v>
      </c>
      <c r="AB1444" s="47">
        <f t="shared" si="432"/>
        <v>327</v>
      </c>
      <c r="AC1444">
        <f t="shared" si="442"/>
        <v>2299</v>
      </c>
    </row>
    <row r="1445" spans="1:29" ht="15">
      <c r="A1445" s="43" t="s">
        <v>389</v>
      </c>
      <c r="B1445" s="47">
        <f>B1444+981</f>
        <v>114497</v>
      </c>
      <c r="C1445" s="28">
        <f t="shared" si="425"/>
        <v>0.002916666666666667</v>
      </c>
      <c r="D1445" s="47">
        <f>ROUND((B1444*C1445)+(981*C1445/2),0)</f>
        <v>333</v>
      </c>
      <c r="E1445">
        <f>ROUND(+E1444+D1445,0)</f>
        <v>2632</v>
      </c>
      <c r="G1445" t="str">
        <f t="shared" si="426"/>
        <v>06/01</v>
      </c>
      <c r="H1445" s="47">
        <f t="shared" si="433"/>
        <v>0</v>
      </c>
      <c r="I1445" s="28">
        <f t="shared" si="427"/>
        <v>0.0027500000000000003</v>
      </c>
      <c r="J1445" s="47">
        <f t="shared" si="434"/>
        <v>0</v>
      </c>
      <c r="K1445">
        <f t="shared" si="435"/>
        <v>0</v>
      </c>
      <c r="M1445" t="str">
        <f t="shared" si="428"/>
        <v>06/01</v>
      </c>
      <c r="N1445" s="47">
        <f t="shared" si="436"/>
        <v>0</v>
      </c>
      <c r="O1445" s="28">
        <f t="shared" si="406"/>
        <v>0.002416666666666667</v>
      </c>
      <c r="P1445" s="47">
        <f t="shared" si="437"/>
        <v>0</v>
      </c>
      <c r="Q1445">
        <f t="shared" si="438"/>
        <v>0</v>
      </c>
      <c r="S1445" t="str">
        <f t="shared" si="429"/>
        <v>06/01</v>
      </c>
      <c r="T1445" s="47">
        <f t="shared" si="439"/>
        <v>0</v>
      </c>
      <c r="U1445" s="28">
        <f t="shared" si="407"/>
        <v>0.00225</v>
      </c>
      <c r="V1445" s="47">
        <f t="shared" si="440"/>
        <v>0</v>
      </c>
      <c r="W1445">
        <f t="shared" si="441"/>
        <v>0</v>
      </c>
      <c r="Y1445" t="str">
        <f t="shared" si="430"/>
        <v>06/01</v>
      </c>
      <c r="Z1445" s="47">
        <f t="shared" si="431"/>
        <v>114497</v>
      </c>
      <c r="AA1445" s="70" t="s">
        <v>384</v>
      </c>
      <c r="AB1445" s="47">
        <f t="shared" si="432"/>
        <v>333</v>
      </c>
      <c r="AC1445">
        <f t="shared" si="442"/>
        <v>2632</v>
      </c>
    </row>
    <row r="1446" spans="1:29" ht="15">
      <c r="A1446" s="43" t="s">
        <v>390</v>
      </c>
      <c r="B1446" s="47">
        <f>B1445+1710</f>
        <v>116207</v>
      </c>
      <c r="C1446" s="28">
        <f t="shared" si="425"/>
        <v>0.002916666666666667</v>
      </c>
      <c r="D1446" s="47">
        <f>ROUND((B1445*C1446)+(1710*C1446/2),0)</f>
        <v>336</v>
      </c>
      <c r="E1446">
        <f aca="true" t="shared" si="443" ref="E1446:E1451">ROUND(+E1445+D1446,0)</f>
        <v>2968</v>
      </c>
      <c r="G1446" t="str">
        <f t="shared" si="426"/>
        <v>07/01</v>
      </c>
      <c r="H1446" s="47">
        <f t="shared" si="433"/>
        <v>0</v>
      </c>
      <c r="I1446" s="28">
        <f t="shared" si="427"/>
        <v>0.0027500000000000003</v>
      </c>
      <c r="J1446" s="47">
        <f t="shared" si="434"/>
        <v>0</v>
      </c>
      <c r="K1446">
        <f t="shared" si="435"/>
        <v>0</v>
      </c>
      <c r="M1446" t="str">
        <f t="shared" si="428"/>
        <v>07/01</v>
      </c>
      <c r="N1446" s="47">
        <f t="shared" si="436"/>
        <v>0</v>
      </c>
      <c r="O1446" s="28">
        <f t="shared" si="406"/>
        <v>0.002416666666666667</v>
      </c>
      <c r="P1446" s="47">
        <f t="shared" si="437"/>
        <v>0</v>
      </c>
      <c r="Q1446">
        <f t="shared" si="438"/>
        <v>0</v>
      </c>
      <c r="S1446" t="str">
        <f t="shared" si="429"/>
        <v>07/01</v>
      </c>
      <c r="T1446" s="47">
        <f t="shared" si="439"/>
        <v>0</v>
      </c>
      <c r="U1446" s="28">
        <f t="shared" si="407"/>
        <v>0.00225</v>
      </c>
      <c r="V1446" s="47">
        <f t="shared" si="440"/>
        <v>0</v>
      </c>
      <c r="W1446">
        <f t="shared" si="441"/>
        <v>0</v>
      </c>
      <c r="Y1446" t="str">
        <f t="shared" si="430"/>
        <v>07/01</v>
      </c>
      <c r="Z1446" s="47">
        <f t="shared" si="431"/>
        <v>116207</v>
      </c>
      <c r="AA1446" s="70" t="s">
        <v>384</v>
      </c>
      <c r="AB1446" s="47">
        <f t="shared" si="432"/>
        <v>336</v>
      </c>
      <c r="AC1446">
        <f t="shared" si="442"/>
        <v>2968</v>
      </c>
    </row>
    <row r="1447" spans="1:29" ht="15">
      <c r="A1447" s="43" t="s">
        <v>391</v>
      </c>
      <c r="B1447" s="47">
        <f>B1446+13361</f>
        <v>129568</v>
      </c>
      <c r="C1447" s="28">
        <f t="shared" si="425"/>
        <v>0.002916666666666667</v>
      </c>
      <c r="D1447" s="47">
        <f>ROUND((B1446*C1447)+(13361*C1447/2),0)</f>
        <v>358</v>
      </c>
      <c r="E1447">
        <f t="shared" si="443"/>
        <v>3326</v>
      </c>
      <c r="G1447" t="str">
        <f t="shared" si="426"/>
        <v>08/01</v>
      </c>
      <c r="H1447" s="47">
        <f t="shared" si="433"/>
        <v>0</v>
      </c>
      <c r="I1447" s="28">
        <f t="shared" si="427"/>
        <v>0.0027500000000000003</v>
      </c>
      <c r="J1447" s="47">
        <f t="shared" si="434"/>
        <v>0</v>
      </c>
      <c r="K1447">
        <f t="shared" si="435"/>
        <v>0</v>
      </c>
      <c r="M1447" t="str">
        <f t="shared" si="428"/>
        <v>08/01</v>
      </c>
      <c r="N1447" s="47">
        <f t="shared" si="436"/>
        <v>0</v>
      </c>
      <c r="O1447" s="28">
        <f t="shared" si="406"/>
        <v>0.002416666666666667</v>
      </c>
      <c r="P1447" s="47">
        <f t="shared" si="437"/>
        <v>0</v>
      </c>
      <c r="Q1447">
        <f t="shared" si="438"/>
        <v>0</v>
      </c>
      <c r="S1447" t="str">
        <f t="shared" si="429"/>
        <v>08/01</v>
      </c>
      <c r="T1447" s="47">
        <f t="shared" si="439"/>
        <v>0</v>
      </c>
      <c r="U1447" s="28">
        <f t="shared" si="407"/>
        <v>0.00225</v>
      </c>
      <c r="V1447" s="47">
        <f t="shared" si="440"/>
        <v>0</v>
      </c>
      <c r="W1447">
        <f t="shared" si="441"/>
        <v>0</v>
      </c>
      <c r="Y1447" t="str">
        <f t="shared" si="430"/>
        <v>08/01</v>
      </c>
      <c r="Z1447" s="47">
        <f t="shared" si="431"/>
        <v>129568</v>
      </c>
      <c r="AA1447" s="70" t="s">
        <v>384</v>
      </c>
      <c r="AB1447" s="47">
        <f t="shared" si="432"/>
        <v>358</v>
      </c>
      <c r="AC1447">
        <f t="shared" si="442"/>
        <v>3326</v>
      </c>
    </row>
    <row r="1448" spans="1:29" ht="15">
      <c r="A1448" s="43" t="s">
        <v>392</v>
      </c>
      <c r="B1448" s="47">
        <f>B1447+96</f>
        <v>129664</v>
      </c>
      <c r="C1448" s="28">
        <f t="shared" si="425"/>
        <v>0.002916666666666667</v>
      </c>
      <c r="D1448" s="47">
        <f>ROUND((B1447*C1448)+(96*C1448/2),0)</f>
        <v>378</v>
      </c>
      <c r="E1448">
        <f t="shared" si="443"/>
        <v>3704</v>
      </c>
      <c r="G1448" t="str">
        <f t="shared" si="426"/>
        <v>09/01</v>
      </c>
      <c r="H1448" s="47">
        <f t="shared" si="433"/>
        <v>0</v>
      </c>
      <c r="I1448" s="28">
        <f t="shared" si="427"/>
        <v>0.0027500000000000003</v>
      </c>
      <c r="J1448" s="47">
        <f t="shared" si="434"/>
        <v>0</v>
      </c>
      <c r="K1448">
        <f t="shared" si="435"/>
        <v>0</v>
      </c>
      <c r="M1448" t="str">
        <f t="shared" si="428"/>
        <v>09/01</v>
      </c>
      <c r="N1448" s="47">
        <f t="shared" si="436"/>
        <v>0</v>
      </c>
      <c r="O1448" s="28">
        <f t="shared" si="406"/>
        <v>0.002416666666666667</v>
      </c>
      <c r="P1448" s="47">
        <f t="shared" si="437"/>
        <v>0</v>
      </c>
      <c r="Q1448">
        <f t="shared" si="438"/>
        <v>0</v>
      </c>
      <c r="S1448" t="str">
        <f t="shared" si="429"/>
        <v>09/01</v>
      </c>
      <c r="T1448" s="47">
        <f t="shared" si="439"/>
        <v>0</v>
      </c>
      <c r="U1448" s="28">
        <f t="shared" si="407"/>
        <v>0.00225</v>
      </c>
      <c r="V1448" s="47">
        <f t="shared" si="440"/>
        <v>0</v>
      </c>
      <c r="W1448">
        <f t="shared" si="441"/>
        <v>0</v>
      </c>
      <c r="Y1448" t="str">
        <f t="shared" si="430"/>
        <v>09/01</v>
      </c>
      <c r="Z1448" s="47">
        <f t="shared" si="431"/>
        <v>129664</v>
      </c>
      <c r="AA1448" s="70" t="s">
        <v>384</v>
      </c>
      <c r="AB1448" s="47">
        <f t="shared" si="432"/>
        <v>378</v>
      </c>
      <c r="AC1448">
        <f t="shared" si="442"/>
        <v>3704</v>
      </c>
    </row>
    <row r="1449" spans="1:29" ht="15">
      <c r="A1449" s="43" t="s">
        <v>366</v>
      </c>
      <c r="B1449" s="47">
        <f>B1448+13</f>
        <v>129677</v>
      </c>
      <c r="C1449" s="28">
        <f t="shared" si="425"/>
        <v>0.002916666666666667</v>
      </c>
      <c r="D1449" s="47">
        <f>ROUND((B1448*C1449)+(13*C1449/2),0)</f>
        <v>378</v>
      </c>
      <c r="E1449">
        <f t="shared" si="443"/>
        <v>4082</v>
      </c>
      <c r="G1449" t="str">
        <f t="shared" si="426"/>
        <v>10/01</v>
      </c>
      <c r="H1449" s="47">
        <f t="shared" si="433"/>
        <v>0</v>
      </c>
      <c r="I1449" s="28">
        <f t="shared" si="427"/>
        <v>0.0027500000000000003</v>
      </c>
      <c r="J1449" s="47">
        <f t="shared" si="434"/>
        <v>0</v>
      </c>
      <c r="K1449">
        <f t="shared" si="435"/>
        <v>0</v>
      </c>
      <c r="M1449" t="str">
        <f t="shared" si="428"/>
        <v>10/01</v>
      </c>
      <c r="N1449" s="47">
        <f t="shared" si="436"/>
        <v>0</v>
      </c>
      <c r="O1449" s="28">
        <f t="shared" si="406"/>
        <v>0.002416666666666667</v>
      </c>
      <c r="P1449" s="47">
        <f t="shared" si="437"/>
        <v>0</v>
      </c>
      <c r="Q1449">
        <f t="shared" si="438"/>
        <v>0</v>
      </c>
      <c r="S1449" t="str">
        <f t="shared" si="429"/>
        <v>10/01</v>
      </c>
      <c r="T1449" s="47">
        <f t="shared" si="439"/>
        <v>0</v>
      </c>
      <c r="U1449" s="28">
        <f t="shared" si="407"/>
        <v>0.00225</v>
      </c>
      <c r="V1449" s="47">
        <f t="shared" si="440"/>
        <v>0</v>
      </c>
      <c r="W1449">
        <f t="shared" si="441"/>
        <v>0</v>
      </c>
      <c r="Y1449" t="str">
        <f t="shared" si="430"/>
        <v>10/01</v>
      </c>
      <c r="Z1449" s="47">
        <f t="shared" si="431"/>
        <v>129677</v>
      </c>
      <c r="AA1449" s="70" t="s">
        <v>384</v>
      </c>
      <c r="AB1449" s="47">
        <f t="shared" si="432"/>
        <v>378</v>
      </c>
      <c r="AC1449">
        <f t="shared" si="442"/>
        <v>4082</v>
      </c>
    </row>
    <row r="1450" spans="1:29" ht="15">
      <c r="A1450" s="43" t="s">
        <v>367</v>
      </c>
      <c r="B1450" s="47">
        <f>B1449+0</f>
        <v>129677</v>
      </c>
      <c r="C1450" s="28">
        <f t="shared" si="425"/>
        <v>0.002916666666666667</v>
      </c>
      <c r="D1450" s="47">
        <f>ROUND((B1449*C1450)+(0*C1450/2),0)</f>
        <v>378</v>
      </c>
      <c r="E1450">
        <f t="shared" si="443"/>
        <v>4460</v>
      </c>
      <c r="G1450" t="str">
        <f t="shared" si="426"/>
        <v>11/01</v>
      </c>
      <c r="H1450" s="47">
        <f t="shared" si="433"/>
        <v>0</v>
      </c>
      <c r="I1450" s="28">
        <f t="shared" si="427"/>
        <v>0.0027500000000000003</v>
      </c>
      <c r="J1450" s="47">
        <f t="shared" si="434"/>
        <v>0</v>
      </c>
      <c r="K1450">
        <f t="shared" si="435"/>
        <v>0</v>
      </c>
      <c r="M1450" t="str">
        <f t="shared" si="428"/>
        <v>11/01</v>
      </c>
      <c r="N1450" s="47">
        <f t="shared" si="436"/>
        <v>0</v>
      </c>
      <c r="O1450" s="28">
        <f t="shared" si="406"/>
        <v>0.002416666666666667</v>
      </c>
      <c r="P1450" s="47">
        <f t="shared" si="437"/>
        <v>0</v>
      </c>
      <c r="Q1450">
        <f t="shared" si="438"/>
        <v>0</v>
      </c>
      <c r="S1450" t="str">
        <f t="shared" si="429"/>
        <v>11/01</v>
      </c>
      <c r="T1450" s="47">
        <f t="shared" si="439"/>
        <v>0</v>
      </c>
      <c r="U1450" s="28">
        <f t="shared" si="407"/>
        <v>0.00225</v>
      </c>
      <c r="V1450" s="47">
        <f t="shared" si="440"/>
        <v>0</v>
      </c>
      <c r="W1450">
        <f t="shared" si="441"/>
        <v>0</v>
      </c>
      <c r="Y1450" t="str">
        <f t="shared" si="430"/>
        <v>11/01</v>
      </c>
      <c r="Z1450" s="47">
        <f t="shared" si="431"/>
        <v>129677</v>
      </c>
      <c r="AA1450" s="70" t="s">
        <v>384</v>
      </c>
      <c r="AB1450" s="47">
        <f t="shared" si="432"/>
        <v>378</v>
      </c>
      <c r="AC1450">
        <f t="shared" si="442"/>
        <v>4460</v>
      </c>
    </row>
    <row r="1451" spans="1:29" ht="15">
      <c r="A1451" s="43" t="s">
        <v>368</v>
      </c>
      <c r="B1451" s="47">
        <f>B1450+0</f>
        <v>129677</v>
      </c>
      <c r="C1451" s="28">
        <f t="shared" si="425"/>
        <v>0.002916666666666667</v>
      </c>
      <c r="D1451" s="47">
        <f>ROUND((B1450*C1451)+(0*C1451/2),0)</f>
        <v>378</v>
      </c>
      <c r="E1451">
        <f t="shared" si="443"/>
        <v>4838</v>
      </c>
      <c r="G1451" t="str">
        <f t="shared" si="426"/>
        <v>12/01</v>
      </c>
      <c r="H1451" s="47">
        <f t="shared" si="433"/>
        <v>0</v>
      </c>
      <c r="I1451" s="28">
        <f t="shared" si="427"/>
        <v>0.0027500000000000003</v>
      </c>
      <c r="J1451" s="47">
        <f t="shared" si="434"/>
        <v>0</v>
      </c>
      <c r="K1451">
        <f t="shared" si="435"/>
        <v>0</v>
      </c>
      <c r="M1451" t="str">
        <f t="shared" si="428"/>
        <v>12/01</v>
      </c>
      <c r="N1451" s="47">
        <f t="shared" si="436"/>
        <v>0</v>
      </c>
      <c r="O1451" s="28">
        <f t="shared" si="406"/>
        <v>0.002416666666666667</v>
      </c>
      <c r="P1451" s="47">
        <f t="shared" si="437"/>
        <v>0</v>
      </c>
      <c r="Q1451">
        <f t="shared" si="438"/>
        <v>0</v>
      </c>
      <c r="S1451" t="str">
        <f t="shared" si="429"/>
        <v>12/01</v>
      </c>
      <c r="T1451" s="47">
        <f t="shared" si="439"/>
        <v>0</v>
      </c>
      <c r="U1451" s="28">
        <f t="shared" si="407"/>
        <v>0.00225</v>
      </c>
      <c r="V1451" s="47">
        <f t="shared" si="440"/>
        <v>0</v>
      </c>
      <c r="W1451">
        <f t="shared" si="441"/>
        <v>0</v>
      </c>
      <c r="Y1451" t="str">
        <f t="shared" si="430"/>
        <v>12/01</v>
      </c>
      <c r="Z1451" s="47">
        <f t="shared" si="431"/>
        <v>129677</v>
      </c>
      <c r="AA1451" s="70" t="s">
        <v>384</v>
      </c>
      <c r="AB1451" s="47">
        <f t="shared" si="432"/>
        <v>378</v>
      </c>
      <c r="AC1451">
        <f t="shared" si="442"/>
        <v>4838</v>
      </c>
    </row>
    <row r="1452" ht="15">
      <c r="A1452" s="43"/>
    </row>
    <row r="1453" spans="1:29" ht="15">
      <c r="A1453" s="73" t="s">
        <v>423</v>
      </c>
      <c r="B1453" s="47">
        <f>B1451+4181+348</f>
        <v>134206</v>
      </c>
      <c r="C1453" s="28">
        <f>0.035/12</f>
        <v>0.002916666666666667</v>
      </c>
      <c r="D1453" s="47">
        <f>ROUND((B1451*C1453)+(4529*C1453/2),0)</f>
        <v>385</v>
      </c>
      <c r="E1453">
        <f>ROUND(+E1451+D1453,0)</f>
        <v>5223</v>
      </c>
      <c r="G1453" s="73" t="s">
        <v>423</v>
      </c>
      <c r="H1453" s="47">
        <f>H1451</f>
        <v>0</v>
      </c>
      <c r="I1453" s="28">
        <f>0.033/12</f>
        <v>0.0027500000000000003</v>
      </c>
      <c r="J1453" s="47">
        <f>ROUND((H1451*I1453)+(0*I1453/2),0)</f>
        <v>0</v>
      </c>
      <c r="K1453">
        <f>ROUND(+K1451+J1453,0)</f>
        <v>0</v>
      </c>
      <c r="M1453" s="73" t="s">
        <v>423</v>
      </c>
      <c r="N1453" s="47">
        <f>N1451</f>
        <v>0</v>
      </c>
      <c r="O1453" s="28">
        <f t="shared" si="406"/>
        <v>0.002416666666666667</v>
      </c>
      <c r="P1453" s="47">
        <f>ROUND((N1451*O1453)+(0*O1453/2),0)</f>
        <v>0</v>
      </c>
      <c r="Q1453">
        <f>ROUND(+Q1451+P1453,0)</f>
        <v>0</v>
      </c>
      <c r="S1453" s="73" t="s">
        <v>423</v>
      </c>
      <c r="T1453" s="47">
        <f>T1451</f>
        <v>0</v>
      </c>
      <c r="U1453" s="28">
        <f t="shared" si="407"/>
        <v>0.00225</v>
      </c>
      <c r="V1453" s="47">
        <f>ROUND((T1451*U1453)+(0*U1453/2),0)</f>
        <v>0</v>
      </c>
      <c r="W1453">
        <f>ROUND(+W1451+V1453,0)</f>
        <v>0</v>
      </c>
      <c r="Y1453" s="73" t="s">
        <v>423</v>
      </c>
      <c r="Z1453" s="47">
        <f>N1453+T1453+B1453+H1453</f>
        <v>134206</v>
      </c>
      <c r="AA1453" s="70" t="s">
        <v>384</v>
      </c>
      <c r="AB1453" s="47">
        <f>P1453+V1453+J1453+D1453</f>
        <v>385</v>
      </c>
      <c r="AC1453">
        <f>ROUND(+AC1451+AB1453,0)</f>
        <v>5223</v>
      </c>
    </row>
    <row r="1454" spans="1:29" ht="15">
      <c r="A1454" s="72" t="s">
        <v>424</v>
      </c>
      <c r="B1454" s="47">
        <f>B1453+73267+187</f>
        <v>207660</v>
      </c>
      <c r="C1454" s="28">
        <f aca="true" t="shared" si="444" ref="C1454:C1464">0.035/12</f>
        <v>0.002916666666666667</v>
      </c>
      <c r="D1454" s="47">
        <f>ROUND((B1453*C1454)+(73454*C1454/2),0)</f>
        <v>499</v>
      </c>
      <c r="E1454">
        <f>ROUND(+E1453+D1454,0)</f>
        <v>5722</v>
      </c>
      <c r="G1454" s="72" t="s">
        <v>424</v>
      </c>
      <c r="H1454" s="47">
        <f>H1453</f>
        <v>0</v>
      </c>
      <c r="I1454" s="28">
        <f aca="true" t="shared" si="445" ref="I1454:I1464">0.033/12</f>
        <v>0.0027500000000000003</v>
      </c>
      <c r="J1454" s="47">
        <f>ROUND((H1453*I1454)+(0*I1454/2),0)</f>
        <v>0</v>
      </c>
      <c r="K1454">
        <f>ROUND(+K1453+J1454,0)</f>
        <v>0</v>
      </c>
      <c r="M1454" s="72" t="s">
        <v>424</v>
      </c>
      <c r="N1454" s="47">
        <f>N1453+2359</f>
        <v>2359</v>
      </c>
      <c r="O1454" s="28">
        <f t="shared" si="406"/>
        <v>0.002416666666666667</v>
      </c>
      <c r="P1454" s="47">
        <f>ROUND((N1453*O1454)+(2359*O1454/2),0)</f>
        <v>3</v>
      </c>
      <c r="Q1454">
        <f>ROUND(+Q1453+P1454,0)</f>
        <v>3</v>
      </c>
      <c r="S1454" s="72" t="s">
        <v>424</v>
      </c>
      <c r="T1454" s="47">
        <f>T1453+0</f>
        <v>0</v>
      </c>
      <c r="U1454" s="28">
        <f t="shared" si="407"/>
        <v>0.00225</v>
      </c>
      <c r="V1454" s="47">
        <f>ROUND((T1453*U1454)+(0*U1454/2),0)</f>
        <v>0</v>
      </c>
      <c r="W1454">
        <f>ROUND(+W1453+V1454,0)</f>
        <v>0</v>
      </c>
      <c r="Y1454" s="72" t="s">
        <v>424</v>
      </c>
      <c r="Z1454" s="47">
        <f aca="true" t="shared" si="446" ref="Z1454:Z1464">N1454+T1454+B1454+H1454</f>
        <v>210019</v>
      </c>
      <c r="AA1454" s="70" t="s">
        <v>384</v>
      </c>
      <c r="AB1454" s="47">
        <f aca="true" t="shared" si="447" ref="AB1454:AB1464">P1454+V1454+J1454+D1454</f>
        <v>502</v>
      </c>
      <c r="AC1454">
        <f>ROUND(+AC1453+AB1454,0)</f>
        <v>5725</v>
      </c>
    </row>
    <row r="1455" spans="1:29" ht="15">
      <c r="A1455" s="72" t="s">
        <v>425</v>
      </c>
      <c r="B1455" s="47">
        <f>B1454-24150-43</f>
        <v>183467</v>
      </c>
      <c r="C1455" s="28">
        <f t="shared" si="444"/>
        <v>0.002916666666666667</v>
      </c>
      <c r="D1455" s="47">
        <f>ROUND((B1454*C1455)+(-24193*C1455/2),0)</f>
        <v>570</v>
      </c>
      <c r="E1455">
        <f aca="true" t="shared" si="448" ref="E1455:E1464">ROUND(+E1454+D1455,0)</f>
        <v>6292</v>
      </c>
      <c r="G1455" s="72" t="s">
        <v>425</v>
      </c>
      <c r="H1455" s="47">
        <f aca="true" t="shared" si="449" ref="H1455:H1464">H1454</f>
        <v>0</v>
      </c>
      <c r="I1455" s="28">
        <f t="shared" si="445"/>
        <v>0.0027500000000000003</v>
      </c>
      <c r="J1455" s="47">
        <f aca="true" t="shared" si="450" ref="J1455:J1464">ROUND((H1454*I1455)+(0*I1455/2),0)</f>
        <v>0</v>
      </c>
      <c r="K1455">
        <f aca="true" t="shared" si="451" ref="K1455:K1464">ROUND(+K1454+J1455,0)</f>
        <v>0</v>
      </c>
      <c r="M1455" s="72" t="s">
        <v>425</v>
      </c>
      <c r="N1455" s="47">
        <f>N1454+594</f>
        <v>2953</v>
      </c>
      <c r="O1455" s="28">
        <f t="shared" si="406"/>
        <v>0.002416666666666667</v>
      </c>
      <c r="P1455" s="47">
        <f>ROUND((N1454*O1455)+(594*O1455/2),0)</f>
        <v>6</v>
      </c>
      <c r="Q1455">
        <f aca="true" t="shared" si="452" ref="Q1455:Q1464">ROUND(+Q1454+P1455,0)</f>
        <v>9</v>
      </c>
      <c r="S1455" s="72" t="s">
        <v>425</v>
      </c>
      <c r="T1455" s="47">
        <f>T1454+0</f>
        <v>0</v>
      </c>
      <c r="U1455" s="28">
        <f t="shared" si="407"/>
        <v>0.00225</v>
      </c>
      <c r="V1455" s="47">
        <f>ROUND((T1454*U1455)+(0*U1455/2),0)</f>
        <v>0</v>
      </c>
      <c r="W1455">
        <f aca="true" t="shared" si="453" ref="W1455:W1464">ROUND(+W1454+V1455,0)</f>
        <v>0</v>
      </c>
      <c r="Y1455" s="72" t="s">
        <v>425</v>
      </c>
      <c r="Z1455" s="47">
        <f>N1455+T1455+B1455+H1455</f>
        <v>186420</v>
      </c>
      <c r="AA1455" s="70" t="s">
        <v>384</v>
      </c>
      <c r="AB1455" s="47">
        <f t="shared" si="447"/>
        <v>576</v>
      </c>
      <c r="AC1455">
        <f aca="true" t="shared" si="454" ref="AC1455:AC1464">ROUND(+AC1454+AB1455,0)</f>
        <v>6301</v>
      </c>
    </row>
    <row r="1456" spans="1:29" ht="15">
      <c r="A1456" s="72" t="s">
        <v>426</v>
      </c>
      <c r="B1456" s="47">
        <f>B1455+11817</f>
        <v>195284</v>
      </c>
      <c r="C1456" s="28">
        <f t="shared" si="444"/>
        <v>0.002916666666666667</v>
      </c>
      <c r="D1456" s="47">
        <f>ROUND((B1455*C1456)+(11817*C1456/2),0)</f>
        <v>552</v>
      </c>
      <c r="E1456">
        <f t="shared" si="448"/>
        <v>6844</v>
      </c>
      <c r="G1456" s="72" t="s">
        <v>426</v>
      </c>
      <c r="H1456" s="47">
        <f t="shared" si="449"/>
        <v>0</v>
      </c>
      <c r="I1456" s="28">
        <f t="shared" si="445"/>
        <v>0.0027500000000000003</v>
      </c>
      <c r="J1456" s="47">
        <f t="shared" si="450"/>
        <v>0</v>
      </c>
      <c r="K1456">
        <f t="shared" si="451"/>
        <v>0</v>
      </c>
      <c r="M1456" s="72" t="s">
        <v>426</v>
      </c>
      <c r="N1456" s="47">
        <f>N1455+27864</f>
        <v>30817</v>
      </c>
      <c r="O1456" s="28">
        <f t="shared" si="406"/>
        <v>0.002416666666666667</v>
      </c>
      <c r="P1456" s="47">
        <f>ROUND((N1455*O1456)+(27864*O1456/2),0)</f>
        <v>41</v>
      </c>
      <c r="Q1456">
        <f t="shared" si="452"/>
        <v>50</v>
      </c>
      <c r="S1456" s="72" t="s">
        <v>426</v>
      </c>
      <c r="T1456" s="47">
        <f aca="true" t="shared" si="455" ref="T1456:T1464">T1455</f>
        <v>0</v>
      </c>
      <c r="U1456" s="28">
        <f t="shared" si="407"/>
        <v>0.00225</v>
      </c>
      <c r="V1456" s="47">
        <f aca="true" t="shared" si="456" ref="V1456:V1464">ROUND((T1455*U1456)+(0*U1456/2),0)</f>
        <v>0</v>
      </c>
      <c r="W1456">
        <f t="shared" si="453"/>
        <v>0</v>
      </c>
      <c r="Y1456" s="72" t="s">
        <v>426</v>
      </c>
      <c r="Z1456" s="47">
        <f t="shared" si="446"/>
        <v>226101</v>
      </c>
      <c r="AA1456" s="70" t="s">
        <v>384</v>
      </c>
      <c r="AB1456" s="47">
        <f t="shared" si="447"/>
        <v>593</v>
      </c>
      <c r="AC1456">
        <f t="shared" si="454"/>
        <v>6894</v>
      </c>
    </row>
    <row r="1457" spans="1:29" ht="15">
      <c r="A1457" s="72" t="s">
        <v>410</v>
      </c>
      <c r="B1457" s="47">
        <f>B1456+10635</f>
        <v>205919</v>
      </c>
      <c r="C1457" s="28">
        <f t="shared" si="444"/>
        <v>0.002916666666666667</v>
      </c>
      <c r="D1457" s="47">
        <f>ROUND((B1456*C1457)+(10635*C1457/2),0)</f>
        <v>585</v>
      </c>
      <c r="E1457">
        <f t="shared" si="448"/>
        <v>7429</v>
      </c>
      <c r="G1457" s="72" t="s">
        <v>410</v>
      </c>
      <c r="H1457" s="47">
        <f t="shared" si="449"/>
        <v>0</v>
      </c>
      <c r="I1457" s="28">
        <f t="shared" si="445"/>
        <v>0.0027500000000000003</v>
      </c>
      <c r="J1457" s="47">
        <f t="shared" si="450"/>
        <v>0</v>
      </c>
      <c r="K1457">
        <f t="shared" si="451"/>
        <v>0</v>
      </c>
      <c r="M1457" s="72" t="s">
        <v>410</v>
      </c>
      <c r="N1457" s="47">
        <f>N1456+3987</f>
        <v>34804</v>
      </c>
      <c r="O1457" s="28">
        <f t="shared" si="406"/>
        <v>0.002416666666666667</v>
      </c>
      <c r="P1457" s="47">
        <f>ROUND((N1456*O1457)+(3987*O1457/2),0)</f>
        <v>79</v>
      </c>
      <c r="Q1457">
        <f t="shared" si="452"/>
        <v>129</v>
      </c>
      <c r="S1457" s="72" t="s">
        <v>410</v>
      </c>
      <c r="T1457" s="47">
        <f t="shared" si="455"/>
        <v>0</v>
      </c>
      <c r="U1457" s="28">
        <f t="shared" si="407"/>
        <v>0.00225</v>
      </c>
      <c r="V1457" s="47">
        <f t="shared" si="456"/>
        <v>0</v>
      </c>
      <c r="W1457">
        <f t="shared" si="453"/>
        <v>0</v>
      </c>
      <c r="Y1457" s="72" t="s">
        <v>410</v>
      </c>
      <c r="Z1457" s="47">
        <f t="shared" si="446"/>
        <v>240723</v>
      </c>
      <c r="AA1457" s="70" t="s">
        <v>384</v>
      </c>
      <c r="AB1457" s="47">
        <f t="shared" si="447"/>
        <v>664</v>
      </c>
      <c r="AC1457">
        <f t="shared" si="454"/>
        <v>7558</v>
      </c>
    </row>
    <row r="1458" spans="1:29" ht="15">
      <c r="A1458" s="72" t="s">
        <v>427</v>
      </c>
      <c r="B1458" s="47">
        <f aca="true" t="shared" si="457" ref="B1458:B1464">B1457+0</f>
        <v>205919</v>
      </c>
      <c r="C1458" s="28">
        <f t="shared" si="444"/>
        <v>0.002916666666666667</v>
      </c>
      <c r="D1458" s="47">
        <f aca="true" t="shared" si="458" ref="D1458:D1464">ROUND((B1457*C1458)+(0*C1458/2),0)</f>
        <v>601</v>
      </c>
      <c r="E1458">
        <f t="shared" si="448"/>
        <v>8030</v>
      </c>
      <c r="G1458" s="72" t="s">
        <v>427</v>
      </c>
      <c r="H1458" s="47">
        <f t="shared" si="449"/>
        <v>0</v>
      </c>
      <c r="I1458" s="28">
        <f t="shared" si="445"/>
        <v>0.0027500000000000003</v>
      </c>
      <c r="J1458" s="47">
        <f t="shared" si="450"/>
        <v>0</v>
      </c>
      <c r="K1458">
        <f t="shared" si="451"/>
        <v>0</v>
      </c>
      <c r="M1458" s="72" t="s">
        <v>427</v>
      </c>
      <c r="N1458" s="47">
        <f>N1457+138</f>
        <v>34942</v>
      </c>
      <c r="O1458" s="28">
        <f t="shared" si="406"/>
        <v>0.002416666666666667</v>
      </c>
      <c r="P1458" s="47">
        <f>ROUND((N1457*O1458)+(138*O1458/2),0)</f>
        <v>84</v>
      </c>
      <c r="Q1458">
        <f t="shared" si="452"/>
        <v>213</v>
      </c>
      <c r="S1458" s="72" t="s">
        <v>427</v>
      </c>
      <c r="T1458" s="47">
        <f t="shared" si="455"/>
        <v>0</v>
      </c>
      <c r="U1458" s="28">
        <f t="shared" si="407"/>
        <v>0.00225</v>
      </c>
      <c r="V1458" s="47">
        <f t="shared" si="456"/>
        <v>0</v>
      </c>
      <c r="W1458">
        <f t="shared" si="453"/>
        <v>0</v>
      </c>
      <c r="Y1458" s="72" t="s">
        <v>427</v>
      </c>
      <c r="Z1458" s="47">
        <f t="shared" si="446"/>
        <v>240861</v>
      </c>
      <c r="AA1458" s="70" t="s">
        <v>384</v>
      </c>
      <c r="AB1458" s="47">
        <f t="shared" si="447"/>
        <v>685</v>
      </c>
      <c r="AC1458">
        <f t="shared" si="454"/>
        <v>8243</v>
      </c>
    </row>
    <row r="1459" spans="1:29" ht="15">
      <c r="A1459" s="72" t="s">
        <v>428</v>
      </c>
      <c r="B1459" s="47">
        <f t="shared" si="457"/>
        <v>205919</v>
      </c>
      <c r="C1459" s="28">
        <f t="shared" si="444"/>
        <v>0.002916666666666667</v>
      </c>
      <c r="D1459" s="47">
        <f t="shared" si="458"/>
        <v>601</v>
      </c>
      <c r="E1459">
        <f t="shared" si="448"/>
        <v>8631</v>
      </c>
      <c r="G1459" s="72" t="s">
        <v>428</v>
      </c>
      <c r="H1459" s="47">
        <f t="shared" si="449"/>
        <v>0</v>
      </c>
      <c r="I1459" s="28">
        <f t="shared" si="445"/>
        <v>0.0027500000000000003</v>
      </c>
      <c r="J1459" s="47">
        <f t="shared" si="450"/>
        <v>0</v>
      </c>
      <c r="K1459">
        <f t="shared" si="451"/>
        <v>0</v>
      </c>
      <c r="M1459" s="72" t="s">
        <v>428</v>
      </c>
      <c r="N1459" s="47">
        <f aca="true" t="shared" si="459" ref="N1459:N1464">N1458+0</f>
        <v>34942</v>
      </c>
      <c r="O1459" s="28">
        <f t="shared" si="406"/>
        <v>0.002416666666666667</v>
      </c>
      <c r="P1459" s="47">
        <f aca="true" t="shared" si="460" ref="P1459:P1464">ROUND((N1458*O1459)+(0*O1459/2),0)</f>
        <v>84</v>
      </c>
      <c r="Q1459">
        <f t="shared" si="452"/>
        <v>297</v>
      </c>
      <c r="S1459" s="72" t="s">
        <v>428</v>
      </c>
      <c r="T1459" s="47">
        <f t="shared" si="455"/>
        <v>0</v>
      </c>
      <c r="U1459" s="28">
        <f t="shared" si="407"/>
        <v>0.00225</v>
      </c>
      <c r="V1459" s="47">
        <f t="shared" si="456"/>
        <v>0</v>
      </c>
      <c r="W1459">
        <f t="shared" si="453"/>
        <v>0</v>
      </c>
      <c r="Y1459" s="72" t="s">
        <v>428</v>
      </c>
      <c r="Z1459" s="47">
        <f t="shared" si="446"/>
        <v>240861</v>
      </c>
      <c r="AA1459" s="70" t="s">
        <v>384</v>
      </c>
      <c r="AB1459" s="47">
        <f t="shared" si="447"/>
        <v>685</v>
      </c>
      <c r="AC1459">
        <f t="shared" si="454"/>
        <v>8928</v>
      </c>
    </row>
    <row r="1460" spans="1:29" ht="15">
      <c r="A1460" s="72" t="s">
        <v>429</v>
      </c>
      <c r="B1460" s="47">
        <f t="shared" si="457"/>
        <v>205919</v>
      </c>
      <c r="C1460" s="28">
        <f t="shared" si="444"/>
        <v>0.002916666666666667</v>
      </c>
      <c r="D1460" s="47">
        <f t="shared" si="458"/>
        <v>601</v>
      </c>
      <c r="E1460">
        <f t="shared" si="448"/>
        <v>9232</v>
      </c>
      <c r="G1460" s="72" t="s">
        <v>429</v>
      </c>
      <c r="H1460" s="47">
        <f t="shared" si="449"/>
        <v>0</v>
      </c>
      <c r="I1460" s="28">
        <f t="shared" si="445"/>
        <v>0.0027500000000000003</v>
      </c>
      <c r="J1460" s="47">
        <f t="shared" si="450"/>
        <v>0</v>
      </c>
      <c r="K1460">
        <f t="shared" si="451"/>
        <v>0</v>
      </c>
      <c r="M1460" s="72" t="s">
        <v>429</v>
      </c>
      <c r="N1460" s="47">
        <f t="shared" si="459"/>
        <v>34942</v>
      </c>
      <c r="O1460" s="28">
        <f t="shared" si="406"/>
        <v>0.002416666666666667</v>
      </c>
      <c r="P1460" s="47">
        <f t="shared" si="460"/>
        <v>84</v>
      </c>
      <c r="Q1460">
        <f t="shared" si="452"/>
        <v>381</v>
      </c>
      <c r="S1460" s="72" t="s">
        <v>429</v>
      </c>
      <c r="T1460" s="47">
        <f t="shared" si="455"/>
        <v>0</v>
      </c>
      <c r="U1460" s="28">
        <f t="shared" si="407"/>
        <v>0.00225</v>
      </c>
      <c r="V1460" s="47">
        <f t="shared" si="456"/>
        <v>0</v>
      </c>
      <c r="W1460">
        <f t="shared" si="453"/>
        <v>0</v>
      </c>
      <c r="Y1460" s="72" t="s">
        <v>429</v>
      </c>
      <c r="Z1460" s="47">
        <f t="shared" si="446"/>
        <v>240861</v>
      </c>
      <c r="AA1460" s="70" t="s">
        <v>384</v>
      </c>
      <c r="AB1460" s="47">
        <f t="shared" si="447"/>
        <v>685</v>
      </c>
      <c r="AC1460">
        <f t="shared" si="454"/>
        <v>9613</v>
      </c>
    </row>
    <row r="1461" spans="1:29" ht="15">
      <c r="A1461" s="72" t="s">
        <v>430</v>
      </c>
      <c r="B1461" s="47">
        <f t="shared" si="457"/>
        <v>205919</v>
      </c>
      <c r="C1461" s="28">
        <f t="shared" si="444"/>
        <v>0.002916666666666667</v>
      </c>
      <c r="D1461" s="47">
        <f t="shared" si="458"/>
        <v>601</v>
      </c>
      <c r="E1461">
        <f t="shared" si="448"/>
        <v>9833</v>
      </c>
      <c r="G1461" s="72" t="s">
        <v>430</v>
      </c>
      <c r="H1461" s="47">
        <f t="shared" si="449"/>
        <v>0</v>
      </c>
      <c r="I1461" s="28">
        <f t="shared" si="445"/>
        <v>0.0027500000000000003</v>
      </c>
      <c r="J1461" s="47">
        <f t="shared" si="450"/>
        <v>0</v>
      </c>
      <c r="K1461">
        <f t="shared" si="451"/>
        <v>0</v>
      </c>
      <c r="M1461" s="72" t="s">
        <v>430</v>
      </c>
      <c r="N1461" s="47">
        <f t="shared" si="459"/>
        <v>34942</v>
      </c>
      <c r="O1461" s="28">
        <f t="shared" si="406"/>
        <v>0.002416666666666667</v>
      </c>
      <c r="P1461" s="47">
        <f t="shared" si="460"/>
        <v>84</v>
      </c>
      <c r="Q1461">
        <f t="shared" si="452"/>
        <v>465</v>
      </c>
      <c r="S1461" s="72" t="s">
        <v>430</v>
      </c>
      <c r="T1461" s="47">
        <f t="shared" si="455"/>
        <v>0</v>
      </c>
      <c r="U1461" s="28">
        <f t="shared" si="407"/>
        <v>0.00225</v>
      </c>
      <c r="V1461" s="47">
        <f t="shared" si="456"/>
        <v>0</v>
      </c>
      <c r="W1461">
        <f t="shared" si="453"/>
        <v>0</v>
      </c>
      <c r="Y1461" s="72" t="s">
        <v>430</v>
      </c>
      <c r="Z1461" s="47">
        <f t="shared" si="446"/>
        <v>240861</v>
      </c>
      <c r="AA1461" s="70" t="s">
        <v>384</v>
      </c>
      <c r="AB1461" s="47">
        <f t="shared" si="447"/>
        <v>685</v>
      </c>
      <c r="AC1461">
        <f t="shared" si="454"/>
        <v>10298</v>
      </c>
    </row>
    <row r="1462" spans="1:29" ht="15">
      <c r="A1462" s="72" t="s">
        <v>431</v>
      </c>
      <c r="B1462" s="47">
        <f t="shared" si="457"/>
        <v>205919</v>
      </c>
      <c r="C1462" s="28">
        <f t="shared" si="444"/>
        <v>0.002916666666666667</v>
      </c>
      <c r="D1462" s="47">
        <f t="shared" si="458"/>
        <v>601</v>
      </c>
      <c r="E1462">
        <f t="shared" si="448"/>
        <v>10434</v>
      </c>
      <c r="G1462" s="72" t="s">
        <v>431</v>
      </c>
      <c r="H1462" s="47">
        <f t="shared" si="449"/>
        <v>0</v>
      </c>
      <c r="I1462" s="28">
        <f t="shared" si="445"/>
        <v>0.0027500000000000003</v>
      </c>
      <c r="J1462" s="47">
        <f t="shared" si="450"/>
        <v>0</v>
      </c>
      <c r="K1462">
        <f t="shared" si="451"/>
        <v>0</v>
      </c>
      <c r="M1462" s="72" t="s">
        <v>431</v>
      </c>
      <c r="N1462" s="47">
        <f t="shared" si="459"/>
        <v>34942</v>
      </c>
      <c r="O1462" s="28">
        <f t="shared" si="406"/>
        <v>0.002416666666666667</v>
      </c>
      <c r="P1462" s="47">
        <f t="shared" si="460"/>
        <v>84</v>
      </c>
      <c r="Q1462">
        <f t="shared" si="452"/>
        <v>549</v>
      </c>
      <c r="S1462" s="72" t="s">
        <v>431</v>
      </c>
      <c r="T1462" s="47">
        <f t="shared" si="455"/>
        <v>0</v>
      </c>
      <c r="U1462" s="28">
        <f t="shared" si="407"/>
        <v>0.00225</v>
      </c>
      <c r="V1462" s="47">
        <f t="shared" si="456"/>
        <v>0</v>
      </c>
      <c r="W1462">
        <f t="shared" si="453"/>
        <v>0</v>
      </c>
      <c r="Y1462" s="72" t="s">
        <v>431</v>
      </c>
      <c r="Z1462" s="47">
        <f t="shared" si="446"/>
        <v>240861</v>
      </c>
      <c r="AA1462" s="70" t="s">
        <v>384</v>
      </c>
      <c r="AB1462" s="47">
        <f t="shared" si="447"/>
        <v>685</v>
      </c>
      <c r="AC1462">
        <f t="shared" si="454"/>
        <v>10983</v>
      </c>
    </row>
    <row r="1463" spans="1:29" ht="15">
      <c r="A1463" s="72" t="s">
        <v>432</v>
      </c>
      <c r="B1463" s="47">
        <f t="shared" si="457"/>
        <v>205919</v>
      </c>
      <c r="C1463" s="28">
        <f t="shared" si="444"/>
        <v>0.002916666666666667</v>
      </c>
      <c r="D1463" s="47">
        <f t="shared" si="458"/>
        <v>601</v>
      </c>
      <c r="E1463">
        <f t="shared" si="448"/>
        <v>11035</v>
      </c>
      <c r="G1463" s="72" t="s">
        <v>432</v>
      </c>
      <c r="H1463" s="47">
        <f t="shared" si="449"/>
        <v>0</v>
      </c>
      <c r="I1463" s="28">
        <f t="shared" si="445"/>
        <v>0.0027500000000000003</v>
      </c>
      <c r="J1463" s="47">
        <f t="shared" si="450"/>
        <v>0</v>
      </c>
      <c r="K1463">
        <f t="shared" si="451"/>
        <v>0</v>
      </c>
      <c r="M1463" s="72" t="s">
        <v>432</v>
      </c>
      <c r="N1463" s="47">
        <f t="shared" si="459"/>
        <v>34942</v>
      </c>
      <c r="O1463" s="28">
        <f t="shared" si="406"/>
        <v>0.002416666666666667</v>
      </c>
      <c r="P1463" s="47">
        <f t="shared" si="460"/>
        <v>84</v>
      </c>
      <c r="Q1463">
        <f t="shared" si="452"/>
        <v>633</v>
      </c>
      <c r="S1463" s="72" t="s">
        <v>432</v>
      </c>
      <c r="T1463" s="47">
        <f t="shared" si="455"/>
        <v>0</v>
      </c>
      <c r="U1463" s="28">
        <f t="shared" si="407"/>
        <v>0.00225</v>
      </c>
      <c r="V1463" s="47">
        <f t="shared" si="456"/>
        <v>0</v>
      </c>
      <c r="W1463">
        <f t="shared" si="453"/>
        <v>0</v>
      </c>
      <c r="Y1463" s="72" t="s">
        <v>432</v>
      </c>
      <c r="Z1463" s="47">
        <f t="shared" si="446"/>
        <v>240861</v>
      </c>
      <c r="AA1463" s="70" t="s">
        <v>384</v>
      </c>
      <c r="AB1463" s="47">
        <f t="shared" si="447"/>
        <v>685</v>
      </c>
      <c r="AC1463">
        <f t="shared" si="454"/>
        <v>11668</v>
      </c>
    </row>
    <row r="1464" spans="1:29" ht="15">
      <c r="A1464" s="72" t="s">
        <v>433</v>
      </c>
      <c r="B1464" s="47">
        <f t="shared" si="457"/>
        <v>205919</v>
      </c>
      <c r="C1464" s="28">
        <f t="shared" si="444"/>
        <v>0.002916666666666667</v>
      </c>
      <c r="D1464" s="47">
        <f t="shared" si="458"/>
        <v>601</v>
      </c>
      <c r="E1464">
        <f t="shared" si="448"/>
        <v>11636</v>
      </c>
      <c r="G1464" s="72" t="s">
        <v>433</v>
      </c>
      <c r="H1464" s="47">
        <f t="shared" si="449"/>
        <v>0</v>
      </c>
      <c r="I1464" s="28">
        <f t="shared" si="445"/>
        <v>0.0027500000000000003</v>
      </c>
      <c r="J1464" s="47">
        <f t="shared" si="450"/>
        <v>0</v>
      </c>
      <c r="K1464">
        <f t="shared" si="451"/>
        <v>0</v>
      </c>
      <c r="M1464" s="72" t="s">
        <v>433</v>
      </c>
      <c r="N1464" s="47">
        <f t="shared" si="459"/>
        <v>34942</v>
      </c>
      <c r="O1464" s="28">
        <f t="shared" si="406"/>
        <v>0.002416666666666667</v>
      </c>
      <c r="P1464" s="47">
        <f t="shared" si="460"/>
        <v>84</v>
      </c>
      <c r="Q1464">
        <f t="shared" si="452"/>
        <v>717</v>
      </c>
      <c r="S1464" s="72" t="s">
        <v>433</v>
      </c>
      <c r="T1464" s="47">
        <f t="shared" si="455"/>
        <v>0</v>
      </c>
      <c r="U1464" s="28">
        <f t="shared" si="407"/>
        <v>0.00225</v>
      </c>
      <c r="V1464" s="47">
        <f t="shared" si="456"/>
        <v>0</v>
      </c>
      <c r="W1464">
        <f t="shared" si="453"/>
        <v>0</v>
      </c>
      <c r="Y1464" s="72" t="s">
        <v>433</v>
      </c>
      <c r="Z1464" s="47">
        <f t="shared" si="446"/>
        <v>240861</v>
      </c>
      <c r="AA1464" s="70" t="s">
        <v>384</v>
      </c>
      <c r="AB1464" s="47">
        <f t="shared" si="447"/>
        <v>685</v>
      </c>
      <c r="AC1464">
        <f t="shared" si="454"/>
        <v>12353</v>
      </c>
    </row>
  </sheetData>
  <printOptions/>
  <pageMargins left="0.25" right="0.25" top="0.75" bottom="0.25" header="0.5" footer="0.5"/>
  <pageSetup horizontalDpi="600" verticalDpi="600" orientation="portrait" scale="90" r:id="rId1"/>
  <headerFooter alignWithMargins="0">
    <oddFooter>&amp;C&amp;R</oddFooter>
  </headerFooter>
</worksheet>
</file>

<file path=xl/worksheets/sheet3.xml><?xml version="1.0" encoding="utf-8"?>
<worksheet xmlns="http://schemas.openxmlformats.org/spreadsheetml/2006/main" xmlns:r="http://schemas.openxmlformats.org/officeDocument/2006/relationships">
  <sheetPr codeName="Sheet2" transitionEvaluation="1">
    <pageSetUpPr fitToPage="1"/>
  </sheetPr>
  <dimension ref="A1:U37"/>
  <sheetViews>
    <sheetView defaultGridColor="0" zoomScale="75" zoomScaleNormal="75" colorId="22" workbookViewId="0" topLeftCell="A4">
      <selection activeCell="A1" sqref="A1"/>
    </sheetView>
  </sheetViews>
  <sheetFormatPr defaultColWidth="9.77734375" defaultRowHeight="15"/>
  <cols>
    <col min="1" max="1" width="6.4453125" style="0" customWidth="1"/>
    <col min="5" max="5" width="9.77734375" style="0" customWidth="1"/>
    <col min="6" max="6" width="3.4453125" style="0" customWidth="1"/>
    <col min="7" max="7" width="11.3359375" style="0" bestFit="1" customWidth="1"/>
    <col min="8" max="8" width="12.77734375" style="0" customWidth="1"/>
    <col min="9" max="9" width="13.5546875" style="0" customWidth="1"/>
    <col min="10" max="10" width="13.4453125" style="0" customWidth="1"/>
    <col min="11" max="11" width="12.77734375" style="0" customWidth="1"/>
    <col min="12" max="12" width="13.77734375" style="0" customWidth="1"/>
    <col min="13" max="13" width="13.6640625" style="0" customWidth="1"/>
    <col min="14" max="14" width="12.77734375" style="0" customWidth="1"/>
    <col min="15" max="15" width="13.10546875" style="0" customWidth="1"/>
    <col min="16" max="16" width="12.77734375" style="0" customWidth="1"/>
    <col min="17" max="19" width="13.99609375" style="0" bestFit="1" customWidth="1"/>
    <col min="20" max="20" width="13.4453125" style="0" bestFit="1" customWidth="1"/>
    <col min="21" max="33" width="12.77734375" style="0" customWidth="1"/>
  </cols>
  <sheetData>
    <row r="1" spans="1:21" ht="15.75">
      <c r="A1" s="8" t="str">
        <f>Appendix!A11</f>
        <v>PROGRESS ENERGY FLORIDA, INC.</v>
      </c>
      <c r="B1" s="18"/>
      <c r="C1" s="18"/>
      <c r="D1" s="18"/>
      <c r="E1" s="18"/>
      <c r="F1" s="18"/>
      <c r="G1" s="18"/>
      <c r="H1" s="18"/>
      <c r="I1" s="18"/>
      <c r="J1" s="18"/>
      <c r="K1" s="18"/>
      <c r="L1" s="18"/>
      <c r="M1" s="18"/>
      <c r="N1" s="18"/>
      <c r="O1" s="18"/>
      <c r="P1" s="18"/>
      <c r="Q1" s="18"/>
      <c r="R1" s="18"/>
      <c r="S1" s="18"/>
      <c r="T1" s="31" t="s">
        <v>569</v>
      </c>
      <c r="U1" s="2"/>
    </row>
    <row r="2" spans="1:20" ht="15">
      <c r="A2" s="2" t="s">
        <v>0</v>
      </c>
      <c r="B2" s="2"/>
      <c r="C2" s="2"/>
      <c r="D2" s="2"/>
      <c r="E2" s="2"/>
      <c r="F2" s="2"/>
      <c r="G2" s="2"/>
      <c r="H2" s="2"/>
      <c r="I2" s="2"/>
      <c r="J2" s="2"/>
      <c r="K2" s="2"/>
      <c r="L2" s="2"/>
      <c r="M2" s="2"/>
      <c r="N2" s="2"/>
      <c r="O2" s="2"/>
      <c r="P2" s="2"/>
      <c r="Q2" s="2"/>
      <c r="R2" s="2"/>
      <c r="S2" s="2"/>
      <c r="T2" s="30"/>
    </row>
    <row r="3" spans="1:19" ht="15">
      <c r="A3" s="2" t="str">
        <f>'Form 42 -1A'!A3:I3</f>
        <v>Calculation of the Final True-up Amount</v>
      </c>
      <c r="B3" s="9"/>
      <c r="C3" s="9"/>
      <c r="D3" s="9"/>
      <c r="E3" s="9"/>
      <c r="F3" s="9"/>
      <c r="G3" s="9"/>
      <c r="H3" s="9"/>
      <c r="I3" s="18"/>
      <c r="J3" s="18"/>
      <c r="K3" s="18"/>
      <c r="L3" s="18"/>
      <c r="M3" s="18"/>
      <c r="N3" s="18"/>
      <c r="O3" s="18"/>
      <c r="P3" s="18"/>
      <c r="Q3" s="18"/>
      <c r="R3" s="18"/>
      <c r="S3" s="18"/>
    </row>
    <row r="4" spans="1:19" ht="15.75">
      <c r="A4" s="11" t="str">
        <f>'Form 42 -1A'!A4</f>
        <v>January 2003 through December 2003</v>
      </c>
      <c r="B4" s="18"/>
      <c r="C4" s="18"/>
      <c r="D4" s="18"/>
      <c r="E4" s="18"/>
      <c r="F4" s="18"/>
      <c r="G4" s="18"/>
      <c r="H4" s="18"/>
      <c r="I4" s="18"/>
      <c r="J4" s="18"/>
      <c r="K4" s="18"/>
      <c r="L4" s="18"/>
      <c r="M4" s="18"/>
      <c r="N4" s="18"/>
      <c r="O4" s="18"/>
      <c r="P4" s="18"/>
      <c r="Q4" s="18"/>
      <c r="R4" s="18"/>
      <c r="S4" s="18"/>
    </row>
    <row r="5" spans="1:20" ht="15.75">
      <c r="A5" s="3" t="s">
        <v>1</v>
      </c>
      <c r="B5" s="18"/>
      <c r="C5" s="18"/>
      <c r="D5" s="18"/>
      <c r="E5" s="18"/>
      <c r="F5" s="18"/>
      <c r="G5" s="18"/>
      <c r="H5" s="18"/>
      <c r="I5" s="18"/>
      <c r="J5" s="18"/>
      <c r="K5" s="18"/>
      <c r="L5" s="18"/>
      <c r="M5" s="18"/>
      <c r="N5" s="18"/>
      <c r="O5" s="18"/>
      <c r="P5" s="18"/>
      <c r="Q5" s="18"/>
      <c r="R5" s="18"/>
      <c r="S5" s="18"/>
      <c r="T5" s="2"/>
    </row>
    <row r="6" spans="1:19" ht="15">
      <c r="A6" s="57" t="s">
        <v>4</v>
      </c>
      <c r="B6" s="18"/>
      <c r="C6" s="18"/>
      <c r="D6" s="18"/>
      <c r="E6" s="18"/>
      <c r="F6" s="18"/>
      <c r="G6" s="18"/>
      <c r="H6" s="18"/>
      <c r="I6" s="18"/>
      <c r="J6" s="18"/>
      <c r="K6" s="18"/>
      <c r="L6" s="18"/>
      <c r="M6" s="18"/>
      <c r="N6" s="18"/>
      <c r="O6" s="18"/>
      <c r="P6" s="18"/>
      <c r="Q6" s="18"/>
      <c r="R6" s="18"/>
      <c r="S6" s="18"/>
    </row>
    <row r="7" spans="1:19" ht="15">
      <c r="A7" s="18" t="s">
        <v>5</v>
      </c>
      <c r="B7" s="18"/>
      <c r="C7" s="18"/>
      <c r="D7" s="18"/>
      <c r="E7" s="18"/>
      <c r="F7" s="18"/>
      <c r="G7" s="18"/>
      <c r="H7" s="18"/>
      <c r="I7" s="18"/>
      <c r="J7" s="18"/>
      <c r="K7" s="18"/>
      <c r="L7" s="18"/>
      <c r="M7" s="18"/>
      <c r="N7" s="18"/>
      <c r="O7" s="18"/>
      <c r="P7" s="18"/>
      <c r="Q7" s="18"/>
      <c r="R7" s="18"/>
      <c r="S7" s="18"/>
    </row>
    <row r="8" spans="1:20" ht="15">
      <c r="A8" s="9"/>
      <c r="B8" s="9"/>
      <c r="C8" s="9"/>
      <c r="D8" s="9"/>
      <c r="E8" s="9"/>
      <c r="F8" s="9"/>
      <c r="G8" s="9"/>
      <c r="H8" s="9"/>
      <c r="I8" s="9"/>
      <c r="J8" s="9"/>
      <c r="K8" s="9"/>
      <c r="N8" s="29"/>
      <c r="S8" s="29"/>
      <c r="T8" s="29" t="s">
        <v>6</v>
      </c>
    </row>
    <row r="9" spans="8:20" ht="15">
      <c r="H9" s="29" t="s">
        <v>561</v>
      </c>
      <c r="I9" s="29" t="s">
        <v>561</v>
      </c>
      <c r="J9" s="29" t="s">
        <v>561</v>
      </c>
      <c r="K9" s="29" t="s">
        <v>561</v>
      </c>
      <c r="L9" s="29" t="s">
        <v>561</v>
      </c>
      <c r="M9" s="29" t="s">
        <v>561</v>
      </c>
      <c r="N9" s="29" t="s">
        <v>561</v>
      </c>
      <c r="O9" s="29" t="s">
        <v>561</v>
      </c>
      <c r="P9" s="29" t="s">
        <v>561</v>
      </c>
      <c r="Q9" s="29" t="s">
        <v>561</v>
      </c>
      <c r="R9" s="29" t="s">
        <v>561</v>
      </c>
      <c r="S9" s="29" t="s">
        <v>561</v>
      </c>
      <c r="T9" s="29" t="s">
        <v>2</v>
      </c>
    </row>
    <row r="10" spans="1:20" ht="15.75" thickBot="1">
      <c r="A10" s="14" t="s">
        <v>3</v>
      </c>
      <c r="C10" s="25" t="s">
        <v>62</v>
      </c>
      <c r="H10" s="68" t="s">
        <v>454</v>
      </c>
      <c r="I10" s="68" t="s">
        <v>443</v>
      </c>
      <c r="J10" s="68" t="s">
        <v>444</v>
      </c>
      <c r="K10" s="68" t="s">
        <v>445</v>
      </c>
      <c r="L10" s="68" t="s">
        <v>446</v>
      </c>
      <c r="M10" s="68" t="s">
        <v>447</v>
      </c>
      <c r="N10" s="68" t="s">
        <v>448</v>
      </c>
      <c r="O10" s="68" t="s">
        <v>449</v>
      </c>
      <c r="P10" s="68" t="s">
        <v>450</v>
      </c>
      <c r="Q10" s="68" t="s">
        <v>451</v>
      </c>
      <c r="R10" s="68" t="s">
        <v>452</v>
      </c>
      <c r="S10" s="68" t="s">
        <v>453</v>
      </c>
      <c r="T10" s="45" t="s">
        <v>8</v>
      </c>
    </row>
    <row r="13" spans="1:20" ht="15">
      <c r="A13">
        <v>1</v>
      </c>
      <c r="B13" t="s">
        <v>9</v>
      </c>
      <c r="H13" s="49">
        <v>378105</v>
      </c>
      <c r="I13" s="49">
        <v>356537</v>
      </c>
      <c r="J13" s="49">
        <v>302100</v>
      </c>
      <c r="K13" s="49">
        <v>325794</v>
      </c>
      <c r="L13" s="49">
        <v>373149</v>
      </c>
      <c r="M13" s="49">
        <v>428997</v>
      </c>
      <c r="N13" s="49">
        <v>436788</v>
      </c>
      <c r="O13" s="49">
        <f>426908.61-(426908.61*0.00072)</f>
        <v>426601.2358008</v>
      </c>
      <c r="P13" s="49">
        <f>457339.38-(457339.38*0.00072)</f>
        <v>457010.0956464</v>
      </c>
      <c r="Q13" s="49">
        <f>389429.48-(389429.48*0.00072)</f>
        <v>389149.0907744</v>
      </c>
      <c r="R13" s="49">
        <f>355135.79-(355135.79*0.00072)</f>
        <v>354880.09223119996</v>
      </c>
      <c r="S13" s="49">
        <f>341041.57-(341041.57*0.00072)</f>
        <v>340796.0200696</v>
      </c>
      <c r="T13" s="5">
        <f>SUM(H13:S13)</f>
        <v>4569906.5345224</v>
      </c>
    </row>
    <row r="14" spans="1:20" ht="15">
      <c r="A14">
        <v>2</v>
      </c>
      <c r="B14" s="72" t="s">
        <v>512</v>
      </c>
      <c r="H14" s="55">
        <v>0</v>
      </c>
      <c r="I14" s="15">
        <v>0</v>
      </c>
      <c r="J14" s="15">
        <v>0</v>
      </c>
      <c r="K14" s="15">
        <v>0</v>
      </c>
      <c r="L14" s="15">
        <v>0</v>
      </c>
      <c r="M14" s="15">
        <v>0</v>
      </c>
      <c r="N14" s="15">
        <v>0</v>
      </c>
      <c r="O14" s="15">
        <v>0</v>
      </c>
      <c r="P14" s="15">
        <v>0</v>
      </c>
      <c r="Q14" s="15">
        <v>0</v>
      </c>
      <c r="R14" s="15">
        <v>0</v>
      </c>
      <c r="S14" s="15">
        <v>0</v>
      </c>
      <c r="T14" s="15">
        <f>SUM(H14:S14)</f>
        <v>0</v>
      </c>
    </row>
    <row r="15" spans="1:20" ht="15">
      <c r="A15">
        <v>3</v>
      </c>
      <c r="B15" t="s">
        <v>10</v>
      </c>
      <c r="H15" s="15">
        <f aca="true" t="shared" si="0" ref="H15:Q15">SUM(H13:H14)</f>
        <v>378105</v>
      </c>
      <c r="I15" s="15">
        <f t="shared" si="0"/>
        <v>356537</v>
      </c>
      <c r="J15" s="15">
        <f t="shared" si="0"/>
        <v>302100</v>
      </c>
      <c r="K15" s="15">
        <f t="shared" si="0"/>
        <v>325794</v>
      </c>
      <c r="L15" s="15">
        <f t="shared" si="0"/>
        <v>373149</v>
      </c>
      <c r="M15" s="15">
        <f t="shared" si="0"/>
        <v>428997</v>
      </c>
      <c r="N15" s="15">
        <f t="shared" si="0"/>
        <v>436788</v>
      </c>
      <c r="O15" s="15">
        <f t="shared" si="0"/>
        <v>426601.2358008</v>
      </c>
      <c r="P15" s="15">
        <f t="shared" si="0"/>
        <v>457010.0956464</v>
      </c>
      <c r="Q15" s="15">
        <f t="shared" si="0"/>
        <v>389149.0907744</v>
      </c>
      <c r="R15" s="15">
        <f>SUM(R13:R14)</f>
        <v>354880.09223119996</v>
      </c>
      <c r="S15" s="15">
        <f>SUM(S13:S14)</f>
        <v>340796.0200696</v>
      </c>
      <c r="T15" s="15">
        <f>SUM(H15:S15)</f>
        <v>4569906.5345224</v>
      </c>
    </row>
    <row r="17" spans="1:2" ht="15">
      <c r="A17">
        <v>4</v>
      </c>
      <c r="B17" t="s">
        <v>11</v>
      </c>
    </row>
    <row r="18" spans="2:20" ht="15">
      <c r="B18" t="s">
        <v>582</v>
      </c>
      <c r="H18">
        <f>'Form 42 5A'!H42</f>
        <v>7100</v>
      </c>
      <c r="I18">
        <f>'Form 42 5A'!I42</f>
        <v>93932</v>
      </c>
      <c r="J18">
        <f>'Form 42 5A'!J42</f>
        <v>89177</v>
      </c>
      <c r="K18">
        <f>'Form 42 5A'!K42</f>
        <v>400755</v>
      </c>
      <c r="L18">
        <f>'Form 42 5A'!L42</f>
        <v>520349</v>
      </c>
      <c r="M18">
        <f>'Form 42 5A'!M42</f>
        <v>1830170</v>
      </c>
      <c r="N18">
        <f>'Form 42 5A'!N42</f>
        <v>1254431</v>
      </c>
      <c r="O18">
        <f>'Form 42 5A'!O42</f>
        <v>1524721</v>
      </c>
      <c r="P18">
        <f>'Form 42 5A'!P42</f>
        <v>2009561</v>
      </c>
      <c r="Q18">
        <f>'Form 42 5A'!Q42</f>
        <v>3571613</v>
      </c>
      <c r="R18">
        <f>'Form 42 5A'!R42</f>
        <v>2106638</v>
      </c>
      <c r="S18">
        <f>'Form 42 5A'!S42</f>
        <v>997621</v>
      </c>
      <c r="T18">
        <f>SUM(H18:S18)</f>
        <v>14406068</v>
      </c>
    </row>
    <row r="19" spans="2:20" ht="15">
      <c r="B19" t="s">
        <v>583</v>
      </c>
      <c r="H19" s="15">
        <f>'Form 42 7A'!H41</f>
        <v>0</v>
      </c>
      <c r="I19" s="15">
        <f>'Form 42 7A'!I41</f>
        <v>0</v>
      </c>
      <c r="J19" s="15">
        <f>'Form 42 7A'!J41</f>
        <v>0</v>
      </c>
      <c r="K19" s="15">
        <f>'Form 42 7A'!K41</f>
        <v>0</v>
      </c>
      <c r="L19" s="15">
        <f>'Form 42 7A'!L41</f>
        <v>0</v>
      </c>
      <c r="M19" s="15">
        <f>'Form 42 7A'!M41</f>
        <v>0</v>
      </c>
      <c r="N19" s="15">
        <f>'Form 42 7A'!N41</f>
        <v>0</v>
      </c>
      <c r="O19" s="15">
        <f>'Form 42 7A'!O41</f>
        <v>386.98578</v>
      </c>
      <c r="P19" s="15">
        <f>'Form 42 7A'!P41</f>
        <v>1066.59168</v>
      </c>
      <c r="Q19" s="15">
        <f>'Form 42 7A'!Q41</f>
        <v>1861.1458</v>
      </c>
      <c r="R19" s="15">
        <f>'Form 42 7A'!R41</f>
        <v>2731.79121</v>
      </c>
      <c r="S19" s="15">
        <f>'Form 42 7A'!S41</f>
        <v>5419.64445</v>
      </c>
      <c r="T19" s="15">
        <f>SUM(H19:S19)</f>
        <v>11466.15892</v>
      </c>
    </row>
    <row r="20" spans="2:20" ht="15">
      <c r="B20" t="s">
        <v>12</v>
      </c>
      <c r="H20" s="17">
        <f aca="true" t="shared" si="1" ref="H20:T20">H18+H19</f>
        <v>7100</v>
      </c>
      <c r="I20" s="17">
        <f t="shared" si="1"/>
        <v>93932</v>
      </c>
      <c r="J20" s="17">
        <f t="shared" si="1"/>
        <v>89177</v>
      </c>
      <c r="K20" s="17">
        <f t="shared" si="1"/>
        <v>400755</v>
      </c>
      <c r="L20" s="17">
        <f t="shared" si="1"/>
        <v>520349</v>
      </c>
      <c r="M20" s="17">
        <f t="shared" si="1"/>
        <v>1830170</v>
      </c>
      <c r="N20" s="17">
        <f t="shared" si="1"/>
        <v>1254431</v>
      </c>
      <c r="O20" s="17">
        <f t="shared" si="1"/>
        <v>1525107.98578</v>
      </c>
      <c r="P20" s="17">
        <f t="shared" si="1"/>
        <v>2010627.59168</v>
      </c>
      <c r="Q20" s="17">
        <f t="shared" si="1"/>
        <v>3573474.1458</v>
      </c>
      <c r="R20" s="17">
        <f t="shared" si="1"/>
        <v>2109369.79121</v>
      </c>
      <c r="S20" s="17">
        <f t="shared" si="1"/>
        <v>1003040.64445</v>
      </c>
      <c r="T20" s="17">
        <f t="shared" si="1"/>
        <v>14417534.15892</v>
      </c>
    </row>
    <row r="21" spans="8:19" ht="15">
      <c r="H21" s="16"/>
      <c r="I21" s="16"/>
      <c r="J21" s="16"/>
      <c r="K21" s="16"/>
      <c r="L21" s="16"/>
      <c r="M21" s="16"/>
      <c r="N21" s="16"/>
      <c r="O21" s="16"/>
      <c r="P21" s="16"/>
      <c r="Q21" s="16"/>
      <c r="R21" s="16"/>
      <c r="S21" s="16"/>
    </row>
    <row r="22" spans="1:20" ht="15">
      <c r="A22">
        <v>5</v>
      </c>
      <c r="B22" t="s">
        <v>456</v>
      </c>
      <c r="H22" s="16">
        <f aca="true" t="shared" si="2" ref="H22:S22">H15-H20</f>
        <v>371005</v>
      </c>
      <c r="I22" s="16">
        <f t="shared" si="2"/>
        <v>262605</v>
      </c>
      <c r="J22" s="16">
        <f t="shared" si="2"/>
        <v>212923</v>
      </c>
      <c r="K22" s="16">
        <f t="shared" si="2"/>
        <v>-74961</v>
      </c>
      <c r="L22" s="16">
        <f t="shared" si="2"/>
        <v>-147200</v>
      </c>
      <c r="M22" s="16">
        <f t="shared" si="2"/>
        <v>-1401173</v>
      </c>
      <c r="N22" s="16">
        <f t="shared" si="2"/>
        <v>-817643</v>
      </c>
      <c r="O22" s="16">
        <f t="shared" si="2"/>
        <v>-1098506.7499792</v>
      </c>
      <c r="P22" s="16">
        <f t="shared" si="2"/>
        <v>-1553617.4960336</v>
      </c>
      <c r="Q22" s="16">
        <f t="shared" si="2"/>
        <v>-3184325.0550256</v>
      </c>
      <c r="R22" s="16">
        <f t="shared" si="2"/>
        <v>-1754489.6989787999</v>
      </c>
      <c r="S22" s="16">
        <f t="shared" si="2"/>
        <v>-662244.6243803999</v>
      </c>
      <c r="T22">
        <f>SUM(H22:S22)</f>
        <v>-9847627.6243976</v>
      </c>
    </row>
    <row r="23" spans="8:19" ht="15">
      <c r="H23" s="16"/>
      <c r="I23" s="16"/>
      <c r="J23" s="16"/>
      <c r="K23" s="16"/>
      <c r="L23" s="16"/>
      <c r="M23" s="16"/>
      <c r="N23" s="16"/>
      <c r="O23" s="16"/>
      <c r="P23" s="16"/>
      <c r="Q23" s="16"/>
      <c r="R23" s="16"/>
      <c r="S23" s="16"/>
    </row>
    <row r="24" spans="1:20" ht="15">
      <c r="A24">
        <v>6</v>
      </c>
      <c r="B24" t="s">
        <v>584</v>
      </c>
      <c r="H24" s="16">
        <f>'Form 42 3A'!H31</f>
        <v>157</v>
      </c>
      <c r="I24" s="16">
        <f>'Form 42 3A'!I31</f>
        <v>487</v>
      </c>
      <c r="J24" s="16">
        <f>'Form 42 3A'!J31</f>
        <v>709</v>
      </c>
      <c r="K24" s="16">
        <f>'Form 42 3A'!K31</f>
        <v>764</v>
      </c>
      <c r="L24" s="16">
        <f>'Form 42 3A'!L31</f>
        <v>661</v>
      </c>
      <c r="M24" s="16">
        <f>'Form 42 3A'!M31</f>
        <v>-103</v>
      </c>
      <c r="N24" s="16">
        <f>'Form 42 3A'!N31</f>
        <v>-1039</v>
      </c>
      <c r="O24" s="16">
        <f>'Form 42 3A'!O31</f>
        <v>-1919</v>
      </c>
      <c r="P24" s="16">
        <f>'Form 42 3A'!P31</f>
        <v>-3088</v>
      </c>
      <c r="Q24" s="16">
        <f>'Form 42 3A'!Q31</f>
        <v>-5175</v>
      </c>
      <c r="R24" s="16">
        <f>'Form 42 3A'!R31</f>
        <v>-7102</v>
      </c>
      <c r="S24" s="16">
        <f>'Form 42 3A'!S31</f>
        <v>-8231</v>
      </c>
      <c r="T24">
        <f>SUM(H24:S24)</f>
        <v>-23879</v>
      </c>
    </row>
    <row r="25" spans="8:19" ht="15">
      <c r="H25" s="16"/>
      <c r="I25" s="16"/>
      <c r="J25" s="16"/>
      <c r="K25" s="16"/>
      <c r="L25" s="16"/>
      <c r="M25" s="16"/>
      <c r="N25" s="16"/>
      <c r="O25" s="16"/>
      <c r="P25" s="16"/>
      <c r="Q25" s="16"/>
      <c r="R25" s="16"/>
      <c r="S25" s="16"/>
    </row>
    <row r="26" spans="1:20" ht="15">
      <c r="A26">
        <v>7</v>
      </c>
      <c r="B26" t="s">
        <v>13</v>
      </c>
      <c r="H26">
        <f>T14</f>
        <v>0</v>
      </c>
      <c r="I26">
        <f aca="true" t="shared" si="3" ref="I26:S26">H26+H22+H24+H30+H34</f>
        <v>371162</v>
      </c>
      <c r="J26">
        <f t="shared" si="3"/>
        <v>634254</v>
      </c>
      <c r="K26">
        <f t="shared" si="3"/>
        <v>847886</v>
      </c>
      <c r="L26">
        <f t="shared" si="3"/>
        <v>773689</v>
      </c>
      <c r="M26">
        <f t="shared" si="3"/>
        <v>627150</v>
      </c>
      <c r="N26">
        <f t="shared" si="3"/>
        <v>-774126</v>
      </c>
      <c r="O26">
        <f t="shared" si="3"/>
        <v>-1592808</v>
      </c>
      <c r="P26">
        <f t="shared" si="3"/>
        <v>-2693233.7499792</v>
      </c>
      <c r="Q26">
        <f t="shared" si="3"/>
        <v>-4249939.246012799</v>
      </c>
      <c r="R26">
        <f t="shared" si="3"/>
        <v>-7439439.301038399</v>
      </c>
      <c r="S26">
        <f t="shared" si="3"/>
        <v>-9201031.0000172</v>
      </c>
      <c r="T26">
        <f>H26</f>
        <v>0</v>
      </c>
    </row>
    <row r="27" spans="2:19" ht="15">
      <c r="B27" s="72" t="s">
        <v>500</v>
      </c>
      <c r="H27" s="16"/>
      <c r="I27" s="16"/>
      <c r="J27" s="16"/>
      <c r="K27" s="16"/>
      <c r="L27" s="16"/>
      <c r="M27" s="16"/>
      <c r="N27" s="16"/>
      <c r="O27" s="16"/>
      <c r="P27" s="16"/>
      <c r="Q27" s="16"/>
      <c r="R27" s="16"/>
      <c r="S27" s="16"/>
    </row>
    <row r="28" spans="2:20" ht="15">
      <c r="B28" t="s">
        <v>499</v>
      </c>
      <c r="H28" s="47">
        <f>-38833-H26</f>
        <v>-38833</v>
      </c>
      <c r="I28">
        <f aca="true" t="shared" si="4" ref="I28:T28">H28</f>
        <v>-38833</v>
      </c>
      <c r="J28">
        <f t="shared" si="4"/>
        <v>-38833</v>
      </c>
      <c r="K28">
        <f t="shared" si="4"/>
        <v>-38833</v>
      </c>
      <c r="L28">
        <f t="shared" si="4"/>
        <v>-38833</v>
      </c>
      <c r="M28">
        <f t="shared" si="4"/>
        <v>-38833</v>
      </c>
      <c r="N28">
        <f t="shared" si="4"/>
        <v>-38833</v>
      </c>
      <c r="O28">
        <f t="shared" si="4"/>
        <v>-38833</v>
      </c>
      <c r="P28">
        <f t="shared" si="4"/>
        <v>-38833</v>
      </c>
      <c r="Q28">
        <f t="shared" si="4"/>
        <v>-38833</v>
      </c>
      <c r="R28">
        <f t="shared" si="4"/>
        <v>-38833</v>
      </c>
      <c r="S28">
        <f t="shared" si="4"/>
        <v>-38833</v>
      </c>
      <c r="T28">
        <f t="shared" si="4"/>
        <v>-38833</v>
      </c>
    </row>
    <row r="30" spans="1:20" ht="15">
      <c r="A30">
        <v>8</v>
      </c>
      <c r="B30" t="s">
        <v>14</v>
      </c>
      <c r="H30" s="17">
        <f aca="true" t="shared" si="5" ref="H30:S30">-H14</f>
        <v>0</v>
      </c>
      <c r="I30" s="17">
        <f t="shared" si="5"/>
        <v>0</v>
      </c>
      <c r="J30" s="17">
        <f t="shared" si="5"/>
        <v>0</v>
      </c>
      <c r="K30" s="17">
        <f t="shared" si="5"/>
        <v>0</v>
      </c>
      <c r="L30" s="17">
        <f t="shared" si="5"/>
        <v>0</v>
      </c>
      <c r="M30" s="17">
        <f t="shared" si="5"/>
        <v>0</v>
      </c>
      <c r="N30" s="17">
        <f t="shared" si="5"/>
        <v>0</v>
      </c>
      <c r="O30" s="17">
        <f t="shared" si="5"/>
        <v>0</v>
      </c>
      <c r="P30" s="17">
        <f t="shared" si="5"/>
        <v>0</v>
      </c>
      <c r="Q30" s="17">
        <f t="shared" si="5"/>
        <v>0</v>
      </c>
      <c r="R30" s="17">
        <f t="shared" si="5"/>
        <v>0</v>
      </c>
      <c r="S30" s="17">
        <f t="shared" si="5"/>
        <v>0</v>
      </c>
      <c r="T30" s="17">
        <f>SUM(H30:S30)</f>
        <v>0</v>
      </c>
    </row>
    <row r="31" spans="8:19" ht="15">
      <c r="H31" s="16"/>
      <c r="I31" s="16"/>
      <c r="J31" s="16"/>
      <c r="K31" s="16"/>
      <c r="L31" s="16"/>
      <c r="M31" s="16"/>
      <c r="N31" s="16"/>
      <c r="O31" s="16"/>
      <c r="P31" s="16"/>
      <c r="Q31" s="16"/>
      <c r="R31" s="16"/>
      <c r="S31" s="16"/>
    </row>
    <row r="32" spans="1:20" ht="15">
      <c r="A32">
        <v>9</v>
      </c>
      <c r="B32" t="s">
        <v>15</v>
      </c>
      <c r="H32" s="17">
        <f>H22+H24+H26+H28+H30</f>
        <v>332329</v>
      </c>
      <c r="I32" s="17">
        <f aca="true" t="shared" si="6" ref="I32:S32">I22+I24+I26+I28+I30</f>
        <v>595421</v>
      </c>
      <c r="J32" s="17">
        <f t="shared" si="6"/>
        <v>809053</v>
      </c>
      <c r="K32" s="17">
        <f t="shared" si="6"/>
        <v>734856</v>
      </c>
      <c r="L32" s="17">
        <f t="shared" si="6"/>
        <v>588317</v>
      </c>
      <c r="M32" s="17">
        <f t="shared" si="6"/>
        <v>-812959</v>
      </c>
      <c r="N32" s="17">
        <f>N22+N24+N26+N28+N30</f>
        <v>-1631641</v>
      </c>
      <c r="O32" s="17">
        <f t="shared" si="6"/>
        <v>-2732066.7499792</v>
      </c>
      <c r="P32" s="17">
        <f t="shared" si="6"/>
        <v>-4288772.246012799</v>
      </c>
      <c r="Q32" s="17">
        <f t="shared" si="6"/>
        <v>-7478272.301038399</v>
      </c>
      <c r="R32" s="17">
        <f t="shared" si="6"/>
        <v>-9239864.0000172</v>
      </c>
      <c r="S32" s="17">
        <f t="shared" si="6"/>
        <v>-9910339.6243976</v>
      </c>
      <c r="T32" s="17">
        <f>T22+T24+T26+T28+T30</f>
        <v>-9910339.6243976</v>
      </c>
    </row>
    <row r="33" spans="8:19" ht="15">
      <c r="H33" s="16"/>
      <c r="I33" s="16"/>
      <c r="J33" s="16"/>
      <c r="K33" s="16"/>
      <c r="L33" s="16"/>
      <c r="M33" s="16"/>
      <c r="N33" s="16"/>
      <c r="O33" s="16"/>
      <c r="P33" s="16"/>
      <c r="Q33" s="16"/>
      <c r="R33" s="16"/>
      <c r="S33" s="16"/>
    </row>
    <row r="34" spans="1:20" ht="15">
      <c r="A34">
        <v>10</v>
      </c>
      <c r="B34" t="s">
        <v>16</v>
      </c>
      <c r="H34" s="56">
        <v>0</v>
      </c>
      <c r="I34" s="17">
        <v>0</v>
      </c>
      <c r="J34" s="17">
        <v>0</v>
      </c>
      <c r="K34" s="17">
        <v>0</v>
      </c>
      <c r="L34" s="17">
        <v>0</v>
      </c>
      <c r="M34" s="17">
        <v>0</v>
      </c>
      <c r="N34" s="17">
        <v>0</v>
      </c>
      <c r="O34" s="17">
        <v>0</v>
      </c>
      <c r="P34" s="17">
        <v>0</v>
      </c>
      <c r="Q34" s="17">
        <v>0</v>
      </c>
      <c r="R34" s="17">
        <v>0</v>
      </c>
      <c r="S34" s="17">
        <v>0</v>
      </c>
      <c r="T34" s="17">
        <v>0</v>
      </c>
    </row>
    <row r="35" spans="8:20" ht="15">
      <c r="H35" s="16"/>
      <c r="I35" s="16"/>
      <c r="J35" s="16"/>
      <c r="K35" s="16"/>
      <c r="L35" s="16"/>
      <c r="M35" s="16"/>
      <c r="N35" s="16"/>
      <c r="O35" s="16"/>
      <c r="P35" s="16"/>
      <c r="Q35" s="16"/>
      <c r="R35" s="16"/>
      <c r="S35" s="16"/>
      <c r="T35" s="16"/>
    </row>
    <row r="36" spans="1:20" ht="15.75" thickBot="1">
      <c r="A36">
        <v>11</v>
      </c>
      <c r="B36" t="s">
        <v>17</v>
      </c>
      <c r="H36" s="7">
        <f>H32+H34</f>
        <v>332329</v>
      </c>
      <c r="I36" s="7">
        <f aca="true" t="shared" si="7" ref="I36:T36">I32+I34</f>
        <v>595421</v>
      </c>
      <c r="J36" s="7">
        <f t="shared" si="7"/>
        <v>809053</v>
      </c>
      <c r="K36" s="7">
        <f t="shared" si="7"/>
        <v>734856</v>
      </c>
      <c r="L36" s="7">
        <f t="shared" si="7"/>
        <v>588317</v>
      </c>
      <c r="M36" s="7">
        <f t="shared" si="7"/>
        <v>-812959</v>
      </c>
      <c r="N36" s="7">
        <f t="shared" si="7"/>
        <v>-1631641</v>
      </c>
      <c r="O36" s="7">
        <f t="shared" si="7"/>
        <v>-2732066.7499792</v>
      </c>
      <c r="P36" s="7">
        <f t="shared" si="7"/>
        <v>-4288772.246012799</v>
      </c>
      <c r="Q36" s="7">
        <f t="shared" si="7"/>
        <v>-7478272.301038399</v>
      </c>
      <c r="R36" s="7">
        <f t="shared" si="7"/>
        <v>-9239864.0000172</v>
      </c>
      <c r="S36" s="7">
        <f t="shared" si="7"/>
        <v>-9910339.6243976</v>
      </c>
      <c r="T36" s="7">
        <f t="shared" si="7"/>
        <v>-9910339.6243976</v>
      </c>
    </row>
    <row r="37" spans="8:19" ht="15">
      <c r="H37" s="16"/>
      <c r="I37" s="16"/>
      <c r="J37" s="16"/>
      <c r="K37" s="16"/>
      <c r="L37" s="16"/>
      <c r="M37" s="16"/>
      <c r="N37" s="16"/>
      <c r="O37" s="16"/>
      <c r="P37" s="16"/>
      <c r="Q37" s="16"/>
      <c r="R37" s="16"/>
      <c r="S37" s="16"/>
    </row>
  </sheetData>
  <printOptions/>
  <pageMargins left="0.5" right="0.5" top="0.75" bottom="0.25" header="0.5" footer="0.5"/>
  <pageSetup fitToHeight="1" fitToWidth="1" horizontalDpi="300" verticalDpi="300" orientation="landscape" scale="44" r:id="rId3"/>
  <headerFooter alignWithMargins="0">
    <oddFooter>&amp;C&amp;R</oddFooter>
  </headerFooter>
  <legacyDrawing r:id="rId2"/>
</worksheet>
</file>

<file path=xl/worksheets/sheet30.xml><?xml version="1.0" encoding="utf-8"?>
<worksheet xmlns="http://schemas.openxmlformats.org/spreadsheetml/2006/main" xmlns:r="http://schemas.openxmlformats.org/officeDocument/2006/relationships">
  <sheetPr codeName="Sheet29">
    <pageSetUpPr fitToPage="1"/>
  </sheetPr>
  <dimension ref="A1:AT40"/>
  <sheetViews>
    <sheetView zoomScale="75" zoomScaleNormal="75" workbookViewId="0" topLeftCell="A1">
      <selection activeCell="A7" sqref="A7"/>
    </sheetView>
  </sheetViews>
  <sheetFormatPr defaultColWidth="8.88671875" defaultRowHeight="15"/>
  <cols>
    <col min="1" max="1" width="26.10546875" style="0" customWidth="1"/>
    <col min="2" max="2" width="11.21484375" style="0" hidden="1" customWidth="1"/>
    <col min="3" max="16" width="0" style="0" hidden="1" customWidth="1"/>
    <col min="17" max="19" width="10.77734375" style="0" hidden="1" customWidth="1"/>
    <col min="20" max="25" width="0" style="0" hidden="1" customWidth="1"/>
    <col min="26" max="26" width="9.77734375" style="0" hidden="1" customWidth="1"/>
    <col min="27" max="34" width="0" style="0" hidden="1" customWidth="1"/>
    <col min="35" max="35" width="9.88671875" style="0" bestFit="1" customWidth="1"/>
    <col min="36" max="36" width="10.6640625" style="0" bestFit="1" customWidth="1"/>
    <col min="37" max="37" width="8.4453125" style="0" bestFit="1" customWidth="1"/>
    <col min="38" max="38" width="7.21484375" style="0" bestFit="1" customWidth="1"/>
    <col min="39" max="41" width="7.77734375" style="0" bestFit="1" customWidth="1"/>
    <col min="42" max="42" width="9.10546875" style="0" bestFit="1" customWidth="1"/>
    <col min="43" max="43" width="12.5546875" style="0" bestFit="1" customWidth="1"/>
    <col min="44" max="44" width="9.88671875" style="0" bestFit="1" customWidth="1"/>
    <col min="45" max="45" width="11.99609375" style="0" bestFit="1" customWidth="1"/>
    <col min="46" max="46" width="12.10546875" style="0" bestFit="1" customWidth="1"/>
  </cols>
  <sheetData>
    <row r="1" ht="19.5" customHeight="1">
      <c r="A1" t="s">
        <v>254</v>
      </c>
    </row>
    <row r="2" ht="19.5" customHeight="1"/>
    <row r="3" spans="1:46" ht="19.5" customHeight="1">
      <c r="A3" s="33"/>
      <c r="B3" s="33">
        <v>35886</v>
      </c>
      <c r="C3" s="33">
        <v>35916</v>
      </c>
      <c r="D3" s="33">
        <v>35947</v>
      </c>
      <c r="E3" s="33">
        <v>35977</v>
      </c>
      <c r="F3" s="33">
        <v>36008</v>
      </c>
      <c r="G3" s="33">
        <v>36039</v>
      </c>
      <c r="H3" s="33">
        <v>36069</v>
      </c>
      <c r="I3" s="33">
        <v>36100</v>
      </c>
      <c r="J3" s="33">
        <v>36130</v>
      </c>
      <c r="K3" s="33">
        <v>36161</v>
      </c>
      <c r="L3" s="33">
        <v>36192</v>
      </c>
      <c r="M3" s="33">
        <v>36220</v>
      </c>
      <c r="N3" s="33">
        <v>36251</v>
      </c>
      <c r="O3" s="33">
        <v>36281</v>
      </c>
      <c r="P3" s="33">
        <v>36312</v>
      </c>
      <c r="Q3" s="33">
        <v>36342</v>
      </c>
      <c r="R3" s="33">
        <v>36373</v>
      </c>
      <c r="S3" s="33">
        <v>36404</v>
      </c>
      <c r="T3" s="33">
        <v>36434</v>
      </c>
      <c r="U3" s="33">
        <v>36465</v>
      </c>
      <c r="V3" s="33">
        <v>36495</v>
      </c>
      <c r="W3" s="33">
        <v>36526</v>
      </c>
      <c r="X3" s="33">
        <v>36557</v>
      </c>
      <c r="Y3" s="33">
        <v>36586</v>
      </c>
      <c r="Z3" s="33">
        <v>36617</v>
      </c>
      <c r="AA3" s="33">
        <v>36647</v>
      </c>
      <c r="AB3" s="33">
        <v>36678</v>
      </c>
      <c r="AC3" s="33">
        <v>36708</v>
      </c>
      <c r="AD3" s="33">
        <v>36739</v>
      </c>
      <c r="AE3" s="33">
        <v>36770</v>
      </c>
      <c r="AF3" s="33">
        <v>36800</v>
      </c>
      <c r="AG3" s="33">
        <v>36831</v>
      </c>
      <c r="AH3" s="33">
        <v>36861</v>
      </c>
      <c r="AI3" s="33" t="str">
        <f>'Form 42 2A'!H10</f>
        <v>January 03</v>
      </c>
      <c r="AJ3" s="33" t="str">
        <f>'Form 42 2A'!I10</f>
        <v>February 03</v>
      </c>
      <c r="AK3" s="33" t="str">
        <f>'Form 42 2A'!J10</f>
        <v>March 03</v>
      </c>
      <c r="AL3" s="33" t="str">
        <f>'Form 42 2A'!K10</f>
        <v>April 03</v>
      </c>
      <c r="AM3" s="33" t="str">
        <f>'Form 42 2A'!L10</f>
        <v>May 03</v>
      </c>
      <c r="AN3" s="33" t="str">
        <f>'Form 42 2A'!M10</f>
        <v>June 03</v>
      </c>
      <c r="AO3" s="33" t="str">
        <f>'Form 42 2A'!N10</f>
        <v>July 03</v>
      </c>
      <c r="AP3" s="33" t="str">
        <f>'Form 42 2A'!O10</f>
        <v>August 03</v>
      </c>
      <c r="AQ3" s="33" t="str">
        <f>'Form 42 2A'!P10</f>
        <v>September 03</v>
      </c>
      <c r="AR3" s="33" t="str">
        <f>'Form 42 2A'!Q10</f>
        <v>October 03</v>
      </c>
      <c r="AS3" s="33" t="str">
        <f>'Form 42 2A'!R10</f>
        <v>November 03</v>
      </c>
      <c r="AT3" s="33" t="str">
        <f>'Form 42 2A'!S10</f>
        <v>December 03</v>
      </c>
    </row>
    <row r="4" ht="19.5" customHeight="1"/>
    <row r="5" spans="1:46" ht="19.5" customHeight="1">
      <c r="A5" t="s">
        <v>255</v>
      </c>
      <c r="B5">
        <v>137654</v>
      </c>
      <c r="C5">
        <v>206042</v>
      </c>
      <c r="D5">
        <v>282745</v>
      </c>
      <c r="E5">
        <v>208316</v>
      </c>
      <c r="F5">
        <v>219103.69</v>
      </c>
      <c r="G5">
        <v>215703</v>
      </c>
      <c r="H5">
        <v>201233</v>
      </c>
      <c r="I5">
        <v>202706</v>
      </c>
      <c r="J5">
        <v>140387</v>
      </c>
      <c r="K5">
        <v>107959</v>
      </c>
      <c r="L5">
        <f>ROUND(103837.33-620.8+620.8-0.08-0.54,0)</f>
        <v>103837</v>
      </c>
      <c r="M5">
        <v>103203</v>
      </c>
      <c r="N5">
        <v>153158</v>
      </c>
      <c r="O5">
        <f>ROUND(1566879.81-1400553.79,0)</f>
        <v>166326</v>
      </c>
      <c r="P5">
        <f>ROUND(1400553.79-1263987.31,0)</f>
        <v>136566</v>
      </c>
      <c r="Q5">
        <f>ROUND(1263987.31-2770615+307500+512500+1026250,0)</f>
        <v>339622</v>
      </c>
      <c r="R5">
        <f>ROUND(2770615-2346068+750,0)</f>
        <v>425297</v>
      </c>
      <c r="S5" s="35">
        <f>ROUND(342566.51-160755.15,0)</f>
        <v>181811</v>
      </c>
      <c r="T5">
        <f>ROUND(1712711.31-1500743.74,0)+160755</f>
        <v>372723</v>
      </c>
      <c r="U5">
        <f>ROUND(1500743.74+1040000-2092577.78,0)-321510</f>
        <v>126656</v>
      </c>
      <c r="V5">
        <f>ROUND((2092577.78-1833276.67),0)</f>
        <v>259301</v>
      </c>
      <c r="W5">
        <f>ROUND((1833276.67-1520007.44-244955.7),0)</f>
        <v>68314</v>
      </c>
      <c r="X5">
        <f>ROUND((1520007.44-1446915.24),0)</f>
        <v>73092</v>
      </c>
      <c r="Y5">
        <f>ROUND((1446915.24-1350752.53),0)</f>
        <v>96163</v>
      </c>
      <c r="Z5">
        <f>ROUND((1350752.53-1233035.74),0)</f>
        <v>117717</v>
      </c>
      <c r="AA5">
        <f>ROUND((1233035.74-242651.93-883893.53),0)</f>
        <v>106490</v>
      </c>
      <c r="AB5">
        <f>ROUND((883893.53-803541.45),0)</f>
        <v>80352</v>
      </c>
      <c r="AC5">
        <f>ROUND((803541.45-681952.81),0)</f>
        <v>121589</v>
      </c>
      <c r="AD5">
        <f>ROUND((681952.81-537796.34),0)</f>
        <v>144156</v>
      </c>
      <c r="AE5">
        <f>ROUND((537796.34-409577.1),0)</f>
        <v>128219</v>
      </c>
      <c r="AF5">
        <f>ROUND((409577.1-390143.54),0)</f>
        <v>19434</v>
      </c>
      <c r="AG5">
        <f>ROUND((390143.54-348649.26),0)</f>
        <v>41494</v>
      </c>
      <c r="AH5">
        <f>ROUND((348649.26-256156.68),0)</f>
        <v>92493</v>
      </c>
      <c r="AI5" s="47">
        <v>-3646</v>
      </c>
      <c r="AJ5" s="47">
        <v>-3319.24</v>
      </c>
      <c r="AK5" s="47">
        <v>-3323.99</v>
      </c>
      <c r="AL5" s="47">
        <v>-3807.65</v>
      </c>
      <c r="AM5" s="47">
        <v>-60234.34</v>
      </c>
      <c r="AN5" s="47">
        <v>-28418.36</v>
      </c>
      <c r="AO5" s="47">
        <v>0</v>
      </c>
      <c r="AP5" s="47">
        <v>0</v>
      </c>
      <c r="AQ5" s="47">
        <v>0</v>
      </c>
      <c r="AR5" s="47">
        <v>0</v>
      </c>
      <c r="AS5" s="47">
        <v>0</v>
      </c>
      <c r="AT5" s="47">
        <v>0</v>
      </c>
    </row>
    <row r="6" spans="1:46" ht="19.5" customHeight="1">
      <c r="A6" t="s">
        <v>256</v>
      </c>
      <c r="B6">
        <v>15702</v>
      </c>
      <c r="C6">
        <v>15808</v>
      </c>
      <c r="D6">
        <v>21036.13</v>
      </c>
      <c r="E6">
        <v>41647.49</v>
      </c>
      <c r="F6">
        <v>56975</v>
      </c>
      <c r="G6">
        <v>36925</v>
      </c>
      <c r="H6">
        <v>36061</v>
      </c>
      <c r="I6">
        <v>31610</v>
      </c>
      <c r="J6">
        <v>40605</v>
      </c>
      <c r="K6">
        <v>49475</v>
      </c>
      <c r="L6">
        <v>28451</v>
      </c>
      <c r="M6">
        <v>33686</v>
      </c>
      <c r="N6">
        <v>30813</v>
      </c>
      <c r="O6">
        <v>31323</v>
      </c>
      <c r="P6">
        <v>38478</v>
      </c>
      <c r="Q6">
        <v>31038</v>
      </c>
      <c r="R6">
        <v>31214.25</v>
      </c>
      <c r="S6">
        <v>36160</v>
      </c>
      <c r="T6">
        <v>20454</v>
      </c>
      <c r="U6">
        <v>35323</v>
      </c>
      <c r="V6">
        <v>44531</v>
      </c>
      <c r="W6">
        <v>957</v>
      </c>
      <c r="X6">
        <v>3386</v>
      </c>
      <c r="Y6">
        <v>23406</v>
      </c>
      <c r="Z6">
        <v>25505</v>
      </c>
      <c r="AA6" s="47">
        <v>16205</v>
      </c>
      <c r="AB6" s="47">
        <v>25485</v>
      </c>
      <c r="AC6">
        <v>16160</v>
      </c>
      <c r="AD6">
        <v>12512</v>
      </c>
      <c r="AE6">
        <v>11131</v>
      </c>
      <c r="AF6">
        <v>37888</v>
      </c>
      <c r="AG6">
        <v>27406</v>
      </c>
      <c r="AH6">
        <v>29843</v>
      </c>
      <c r="AI6" s="47">
        <v>39544</v>
      </c>
      <c r="AJ6" s="47">
        <v>23194.69</v>
      </c>
      <c r="AK6" s="47">
        <v>12690.01</v>
      </c>
      <c r="AL6" s="47">
        <v>21802.09</v>
      </c>
      <c r="AM6" s="47">
        <v>28180.65</v>
      </c>
      <c r="AN6" s="47">
        <v>19255.86</v>
      </c>
      <c r="AO6" s="47">
        <v>0</v>
      </c>
      <c r="AP6" s="47">
        <v>0</v>
      </c>
      <c r="AQ6" s="47">
        <v>0</v>
      </c>
      <c r="AR6" s="47">
        <v>0</v>
      </c>
      <c r="AS6" s="47">
        <v>0</v>
      </c>
      <c r="AT6" s="47">
        <v>0</v>
      </c>
    </row>
    <row r="7" spans="1:46" ht="19.5" customHeight="1">
      <c r="A7" t="s">
        <v>257</v>
      </c>
      <c r="B7">
        <v>-15759</v>
      </c>
      <c r="C7">
        <v>0</v>
      </c>
      <c r="D7">
        <v>-26528.04</v>
      </c>
      <c r="E7">
        <v>-49072.83</v>
      </c>
      <c r="F7">
        <v>-59051</v>
      </c>
      <c r="G7">
        <v>-32062</v>
      </c>
      <c r="H7">
        <v>-29341</v>
      </c>
      <c r="I7">
        <v>-8969</v>
      </c>
      <c r="J7">
        <v>-11668</v>
      </c>
      <c r="K7">
        <v>-8838</v>
      </c>
      <c r="L7">
        <v>-1330</v>
      </c>
      <c r="M7">
        <v>-2474</v>
      </c>
      <c r="N7">
        <v>-3869</v>
      </c>
      <c r="O7">
        <v>-4326</v>
      </c>
      <c r="P7">
        <v>-407</v>
      </c>
      <c r="Q7">
        <v>-754</v>
      </c>
      <c r="R7">
        <v>-1804</v>
      </c>
      <c r="S7">
        <v>-4485</v>
      </c>
      <c r="T7">
        <v>-5</v>
      </c>
      <c r="U7">
        <v>0</v>
      </c>
      <c r="V7">
        <v>0</v>
      </c>
      <c r="W7" s="47">
        <f>(2740+18755)*-1</f>
        <v>-21495</v>
      </c>
      <c r="X7" s="47">
        <f>(4051+20789)*-1</f>
        <v>-24840</v>
      </c>
      <c r="Y7" s="47">
        <v>-58164</v>
      </c>
      <c r="Z7" s="47">
        <v>-44787</v>
      </c>
      <c r="AA7" s="47">
        <v>-14502</v>
      </c>
      <c r="AB7" s="47">
        <v>-47753</v>
      </c>
      <c r="AC7" s="47">
        <v>-67658</v>
      </c>
      <c r="AD7" s="47">
        <v>-30909</v>
      </c>
      <c r="AE7" s="47">
        <v>-51262</v>
      </c>
      <c r="AF7">
        <v>-71358.4</v>
      </c>
      <c r="AG7">
        <v>-99818</v>
      </c>
      <c r="AH7">
        <v>-27952</v>
      </c>
      <c r="AI7" s="13">
        <v>0</v>
      </c>
      <c r="AJ7" s="13">
        <v>0</v>
      </c>
      <c r="AK7" s="13">
        <v>0</v>
      </c>
      <c r="AL7" s="13">
        <v>0</v>
      </c>
      <c r="AM7" s="13">
        <v>0</v>
      </c>
      <c r="AN7" s="13">
        <v>0</v>
      </c>
      <c r="AO7" s="13">
        <v>0</v>
      </c>
      <c r="AP7" s="13">
        <v>0</v>
      </c>
      <c r="AQ7" s="13">
        <v>0</v>
      </c>
      <c r="AR7" s="13">
        <v>0</v>
      </c>
      <c r="AS7" s="13">
        <v>0</v>
      </c>
      <c r="AT7" s="13">
        <v>0</v>
      </c>
    </row>
    <row r="8" spans="1:46" ht="19.5" customHeight="1">
      <c r="A8" t="s">
        <v>409</v>
      </c>
      <c r="W8" s="47"/>
      <c r="X8" s="47"/>
      <c r="Y8" s="47"/>
      <c r="Z8" s="47"/>
      <c r="AA8" s="47"/>
      <c r="AB8" s="47"/>
      <c r="AC8" s="47"/>
      <c r="AD8" s="47"/>
      <c r="AE8" s="47"/>
      <c r="AI8" s="47">
        <v>-14299</v>
      </c>
      <c r="AJ8" s="47">
        <v>-7827.64</v>
      </c>
      <c r="AK8" s="47">
        <v>-1179.88</v>
      </c>
      <c r="AL8" s="47">
        <v>-34.44</v>
      </c>
      <c r="AM8" s="47">
        <v>-7058.96</v>
      </c>
      <c r="AN8" s="47">
        <v>-1085.49</v>
      </c>
      <c r="AO8" s="47">
        <v>0</v>
      </c>
      <c r="AP8" s="47">
        <v>0</v>
      </c>
      <c r="AQ8" s="47">
        <v>0</v>
      </c>
      <c r="AR8" s="47">
        <v>0</v>
      </c>
      <c r="AS8" s="47">
        <v>0</v>
      </c>
      <c r="AT8" s="47">
        <v>0</v>
      </c>
    </row>
    <row r="9" ht="19.5" customHeight="1"/>
    <row r="10" spans="1:46" ht="19.5" customHeight="1">
      <c r="A10" t="s">
        <v>258</v>
      </c>
      <c r="B10">
        <f aca="true" t="shared" si="0" ref="B10:N10">SUM(B5:B7)</f>
        <v>137597</v>
      </c>
      <c r="C10">
        <f t="shared" si="0"/>
        <v>221850</v>
      </c>
      <c r="D10">
        <f t="shared" si="0"/>
        <v>277253.09</v>
      </c>
      <c r="E10">
        <f t="shared" si="0"/>
        <v>200890.65999999997</v>
      </c>
      <c r="F10">
        <f t="shared" si="0"/>
        <v>217027.69</v>
      </c>
      <c r="G10">
        <f t="shared" si="0"/>
        <v>220566</v>
      </c>
      <c r="H10">
        <f t="shared" si="0"/>
        <v>207953</v>
      </c>
      <c r="I10">
        <f t="shared" si="0"/>
        <v>225347</v>
      </c>
      <c r="J10">
        <f t="shared" si="0"/>
        <v>169324</v>
      </c>
      <c r="K10">
        <f t="shared" si="0"/>
        <v>148596</v>
      </c>
      <c r="L10">
        <f t="shared" si="0"/>
        <v>130958</v>
      </c>
      <c r="M10">
        <f t="shared" si="0"/>
        <v>134415</v>
      </c>
      <c r="N10">
        <f t="shared" si="0"/>
        <v>180102</v>
      </c>
      <c r="O10">
        <f aca="true" t="shared" si="1" ref="O10:T10">SUM(O5:O7)</f>
        <v>193323</v>
      </c>
      <c r="P10">
        <f t="shared" si="1"/>
        <v>174637</v>
      </c>
      <c r="Q10">
        <f t="shared" si="1"/>
        <v>369906</v>
      </c>
      <c r="R10">
        <f t="shared" si="1"/>
        <v>454707.25</v>
      </c>
      <c r="S10">
        <f t="shared" si="1"/>
        <v>213486</v>
      </c>
      <c r="T10">
        <f t="shared" si="1"/>
        <v>393172</v>
      </c>
      <c r="U10">
        <f aca="true" t="shared" si="2" ref="U10:AA10">SUM(U5:U7)</f>
        <v>161979</v>
      </c>
      <c r="V10">
        <f t="shared" si="2"/>
        <v>303832</v>
      </c>
      <c r="W10">
        <f t="shared" si="2"/>
        <v>47776</v>
      </c>
      <c r="X10">
        <f t="shared" si="2"/>
        <v>51638</v>
      </c>
      <c r="Y10">
        <f t="shared" si="2"/>
        <v>61405</v>
      </c>
      <c r="Z10">
        <f t="shared" si="2"/>
        <v>98435</v>
      </c>
      <c r="AA10">
        <f t="shared" si="2"/>
        <v>108193</v>
      </c>
      <c r="AB10">
        <f aca="true" t="shared" si="3" ref="AB10:AH10">SUM(AB5:AB7)</f>
        <v>58084</v>
      </c>
      <c r="AC10">
        <f t="shared" si="3"/>
        <v>70091</v>
      </c>
      <c r="AD10">
        <f t="shared" si="3"/>
        <v>125759</v>
      </c>
      <c r="AE10">
        <f t="shared" si="3"/>
        <v>88088</v>
      </c>
      <c r="AF10">
        <f t="shared" si="3"/>
        <v>-14036.399999999994</v>
      </c>
      <c r="AG10">
        <f t="shared" si="3"/>
        <v>-30918</v>
      </c>
      <c r="AH10">
        <f t="shared" si="3"/>
        <v>94384</v>
      </c>
      <c r="AI10">
        <f aca="true" t="shared" si="4" ref="AI10:AT10">SUM(AI5:AI8)</f>
        <v>21599</v>
      </c>
      <c r="AJ10">
        <f t="shared" si="4"/>
        <v>12047.809999999998</v>
      </c>
      <c r="AK10">
        <f t="shared" si="4"/>
        <v>8186.14</v>
      </c>
      <c r="AL10">
        <f t="shared" si="4"/>
        <v>17960</v>
      </c>
      <c r="AM10">
        <f t="shared" si="4"/>
        <v>-39112.649999999994</v>
      </c>
      <c r="AN10">
        <f t="shared" si="4"/>
        <v>-10247.99</v>
      </c>
      <c r="AO10">
        <f t="shared" si="4"/>
        <v>0</v>
      </c>
      <c r="AP10">
        <f t="shared" si="4"/>
        <v>0</v>
      </c>
      <c r="AQ10">
        <f t="shared" si="4"/>
        <v>0</v>
      </c>
      <c r="AR10">
        <f t="shared" si="4"/>
        <v>0</v>
      </c>
      <c r="AS10">
        <f t="shared" si="4"/>
        <v>0</v>
      </c>
      <c r="AT10">
        <f t="shared" si="4"/>
        <v>0</v>
      </c>
    </row>
    <row r="11" ht="19.5" customHeight="1"/>
    <row r="12" spans="2:46" ht="19.5" customHeight="1">
      <c r="B12">
        <f>+B10+-B7</f>
        <v>153356</v>
      </c>
      <c r="C12">
        <f aca="true" t="shared" si="5" ref="C12:N12">+C10+-C7</f>
        <v>221850</v>
      </c>
      <c r="D12">
        <f t="shared" si="5"/>
        <v>303781.13</v>
      </c>
      <c r="E12">
        <f t="shared" si="5"/>
        <v>249963.49</v>
      </c>
      <c r="F12">
        <f t="shared" si="5"/>
        <v>276078.69</v>
      </c>
      <c r="G12">
        <f t="shared" si="5"/>
        <v>252628</v>
      </c>
      <c r="H12">
        <f t="shared" si="5"/>
        <v>237294</v>
      </c>
      <c r="I12">
        <f t="shared" si="5"/>
        <v>234316</v>
      </c>
      <c r="J12">
        <f t="shared" si="5"/>
        <v>180992</v>
      </c>
      <c r="K12">
        <f t="shared" si="5"/>
        <v>157434</v>
      </c>
      <c r="L12">
        <f t="shared" si="5"/>
        <v>132288</v>
      </c>
      <c r="M12">
        <f t="shared" si="5"/>
        <v>136889</v>
      </c>
      <c r="N12">
        <f t="shared" si="5"/>
        <v>183971</v>
      </c>
      <c r="O12">
        <f aca="true" t="shared" si="6" ref="O12:T12">+O10+-O7</f>
        <v>197649</v>
      </c>
      <c r="P12">
        <f t="shared" si="6"/>
        <v>175044</v>
      </c>
      <c r="Q12">
        <f t="shared" si="6"/>
        <v>370660</v>
      </c>
      <c r="R12">
        <f t="shared" si="6"/>
        <v>456511.25</v>
      </c>
      <c r="S12">
        <f t="shared" si="6"/>
        <v>217971</v>
      </c>
      <c r="T12">
        <f t="shared" si="6"/>
        <v>393177</v>
      </c>
      <c r="U12">
        <f aca="true" t="shared" si="7" ref="U12:AA12">+U10+-U7</f>
        <v>161979</v>
      </c>
      <c r="V12">
        <f t="shared" si="7"/>
        <v>303832</v>
      </c>
      <c r="W12">
        <f t="shared" si="7"/>
        <v>69271</v>
      </c>
      <c r="X12">
        <f t="shared" si="7"/>
        <v>76478</v>
      </c>
      <c r="Y12">
        <f t="shared" si="7"/>
        <v>119569</v>
      </c>
      <c r="Z12">
        <f t="shared" si="7"/>
        <v>143222</v>
      </c>
      <c r="AA12">
        <f t="shared" si="7"/>
        <v>122695</v>
      </c>
      <c r="AB12">
        <f aca="true" t="shared" si="8" ref="AB12:AH12">+AB10+-AB7</f>
        <v>105837</v>
      </c>
      <c r="AC12">
        <f t="shared" si="8"/>
        <v>137749</v>
      </c>
      <c r="AD12">
        <f t="shared" si="8"/>
        <v>156668</v>
      </c>
      <c r="AE12">
        <f t="shared" si="8"/>
        <v>139350</v>
      </c>
      <c r="AF12">
        <f t="shared" si="8"/>
        <v>57322</v>
      </c>
      <c r="AG12">
        <f t="shared" si="8"/>
        <v>68900</v>
      </c>
      <c r="AH12">
        <f t="shared" si="8"/>
        <v>122336</v>
      </c>
      <c r="AI12">
        <f>+AI10+-AI7</f>
        <v>21599</v>
      </c>
      <c r="AJ12">
        <f aca="true" t="shared" si="9" ref="AJ12:AT12">+AJ10+-AJ7</f>
        <v>12047.809999999998</v>
      </c>
      <c r="AK12">
        <f t="shared" si="9"/>
        <v>8186.14</v>
      </c>
      <c r="AL12">
        <f t="shared" si="9"/>
        <v>17960</v>
      </c>
      <c r="AM12">
        <f t="shared" si="9"/>
        <v>-39112.649999999994</v>
      </c>
      <c r="AN12">
        <f t="shared" si="9"/>
        <v>-10247.99</v>
      </c>
      <c r="AO12">
        <f t="shared" si="9"/>
        <v>0</v>
      </c>
      <c r="AP12">
        <f t="shared" si="9"/>
        <v>0</v>
      </c>
      <c r="AQ12">
        <f t="shared" si="9"/>
        <v>0</v>
      </c>
      <c r="AR12">
        <f t="shared" si="9"/>
        <v>0</v>
      </c>
      <c r="AS12">
        <f t="shared" si="9"/>
        <v>0</v>
      </c>
      <c r="AT12">
        <f t="shared" si="9"/>
        <v>0</v>
      </c>
    </row>
    <row r="14" spans="24:46" ht="15">
      <c r="X14" s="47"/>
      <c r="AI14">
        <f>0.9718219*AI5</f>
        <v>-3543.2626474</v>
      </c>
      <c r="AJ14">
        <f>0.9906009*AJ5</f>
        <v>-3288.042131316</v>
      </c>
      <c r="AK14">
        <f>0.9760274*AK5</f>
        <v>-3244.3053173259996</v>
      </c>
      <c r="AL14">
        <f>0.9718219*AL5</f>
        <v>-3700.3576575350003</v>
      </c>
      <c r="AM14">
        <f>0.9689987*AM5</f>
        <v>-58366.997155357996</v>
      </c>
      <c r="AN14">
        <f aca="true" t="shared" si="10" ref="AN14:AT14">0.9718219*AN5</f>
        <v>-27617.584610084003</v>
      </c>
      <c r="AO14">
        <f t="shared" si="10"/>
        <v>0</v>
      </c>
      <c r="AP14">
        <f t="shared" si="10"/>
        <v>0</v>
      </c>
      <c r="AQ14">
        <f t="shared" si="10"/>
        <v>0</v>
      </c>
      <c r="AR14">
        <f t="shared" si="10"/>
        <v>0</v>
      </c>
      <c r="AS14">
        <f t="shared" si="10"/>
        <v>0</v>
      </c>
      <c r="AT14">
        <f t="shared" si="10"/>
        <v>0</v>
      </c>
    </row>
    <row r="16" spans="35:46" ht="15">
      <c r="AI16">
        <f>AI5-AI14</f>
        <v>-102.73735260000012</v>
      </c>
      <c r="AJ16">
        <f aca="true" t="shared" si="11" ref="AJ16:AT16">AJ5-AJ14</f>
        <v>-31.197868683999786</v>
      </c>
      <c r="AK16">
        <f t="shared" si="11"/>
        <v>-79.68468267400021</v>
      </c>
      <c r="AL16">
        <f t="shared" si="11"/>
        <v>-107.29234246499982</v>
      </c>
      <c r="AM16">
        <f t="shared" si="11"/>
        <v>-1867.3428446420003</v>
      </c>
      <c r="AN16">
        <f t="shared" si="11"/>
        <v>-800.775389915998</v>
      </c>
      <c r="AO16">
        <f t="shared" si="11"/>
        <v>0</v>
      </c>
      <c r="AP16">
        <f t="shared" si="11"/>
        <v>0</v>
      </c>
      <c r="AQ16">
        <f t="shared" si="11"/>
        <v>0</v>
      </c>
      <c r="AR16">
        <f t="shared" si="11"/>
        <v>0</v>
      </c>
      <c r="AS16">
        <f t="shared" si="11"/>
        <v>0</v>
      </c>
      <c r="AT16">
        <f t="shared" si="11"/>
        <v>0</v>
      </c>
    </row>
    <row r="17" spans="35:46" ht="15">
      <c r="AI17">
        <f>0.9718219*AI6</f>
        <v>38429.7252136</v>
      </c>
      <c r="AJ17">
        <f>0.9906009*AJ6</f>
        <v>22976.680789220998</v>
      </c>
      <c r="AK17">
        <f>0.9760274*AK6</f>
        <v>12385.797466274</v>
      </c>
      <c r="AL17">
        <f>0.9718219*AL6</f>
        <v>21187.748527771</v>
      </c>
      <c r="AM17">
        <f>0.9689987*AM6</f>
        <v>27307.013215155002</v>
      </c>
      <c r="AN17">
        <f aca="true" t="shared" si="12" ref="AN17:AT17">0.9718219*AN6</f>
        <v>18713.266451334002</v>
      </c>
      <c r="AO17">
        <f t="shared" si="12"/>
        <v>0</v>
      </c>
      <c r="AP17">
        <f t="shared" si="12"/>
        <v>0</v>
      </c>
      <c r="AQ17">
        <f t="shared" si="12"/>
        <v>0</v>
      </c>
      <c r="AR17">
        <f t="shared" si="12"/>
        <v>0</v>
      </c>
      <c r="AS17">
        <f t="shared" si="12"/>
        <v>0</v>
      </c>
      <c r="AT17">
        <f t="shared" si="12"/>
        <v>0</v>
      </c>
    </row>
    <row r="18" spans="35:46" ht="15">
      <c r="AI18">
        <f>AI6-AI17</f>
        <v>1114.2747863999975</v>
      </c>
      <c r="AJ18">
        <f aca="true" t="shared" si="13" ref="AJ18:AT18">AJ6-AJ17</f>
        <v>218.00921077900057</v>
      </c>
      <c r="AK18">
        <f t="shared" si="13"/>
        <v>304.2125337260004</v>
      </c>
      <c r="AL18">
        <f t="shared" si="13"/>
        <v>614.3414722289999</v>
      </c>
      <c r="AM18">
        <f t="shared" si="13"/>
        <v>873.636784844999</v>
      </c>
      <c r="AN18">
        <f t="shared" si="13"/>
        <v>542.5935486659982</v>
      </c>
      <c r="AO18">
        <f t="shared" si="13"/>
        <v>0</v>
      </c>
      <c r="AP18">
        <f t="shared" si="13"/>
        <v>0</v>
      </c>
      <c r="AQ18">
        <f t="shared" si="13"/>
        <v>0</v>
      </c>
      <c r="AR18">
        <f t="shared" si="13"/>
        <v>0</v>
      </c>
      <c r="AS18">
        <f t="shared" si="13"/>
        <v>0</v>
      </c>
      <c r="AT18">
        <f t="shared" si="13"/>
        <v>0</v>
      </c>
    </row>
    <row r="19" spans="35:46" ht="15">
      <c r="AI19">
        <f>0.9718219*AI8</f>
        <v>-13896.0813481</v>
      </c>
      <c r="AJ19">
        <f>0.9906009*AJ8</f>
        <v>-7754.067228876001</v>
      </c>
      <c r="AK19">
        <f>0.9760274*AK8</f>
        <v>-1151.5952087120002</v>
      </c>
      <c r="AL19">
        <f>0.9718219*AL8</f>
        <v>-33.469546236</v>
      </c>
      <c r="AM19">
        <f>0.9689987*AM8</f>
        <v>-6840.123063352</v>
      </c>
      <c r="AN19">
        <f aca="true" t="shared" si="14" ref="AN19:AT19">0.9718219*AN8</f>
        <v>-1054.902954231</v>
      </c>
      <c r="AO19">
        <f t="shared" si="14"/>
        <v>0</v>
      </c>
      <c r="AP19">
        <f t="shared" si="14"/>
        <v>0</v>
      </c>
      <c r="AQ19">
        <f t="shared" si="14"/>
        <v>0</v>
      </c>
      <c r="AR19">
        <f t="shared" si="14"/>
        <v>0</v>
      </c>
      <c r="AS19">
        <f t="shared" si="14"/>
        <v>0</v>
      </c>
      <c r="AT19">
        <f t="shared" si="14"/>
        <v>0</v>
      </c>
    </row>
    <row r="20" spans="35:46" ht="15">
      <c r="AI20">
        <f>AI8-AI19</f>
        <v>-402.91865189999953</v>
      </c>
      <c r="AJ20">
        <f aca="true" t="shared" si="15" ref="AJ20:AT20">AJ8-AJ19</f>
        <v>-73.5727711239997</v>
      </c>
      <c r="AK20">
        <f t="shared" si="15"/>
        <v>-28.28479128799995</v>
      </c>
      <c r="AL20">
        <f t="shared" si="15"/>
        <v>-0.9704537639999984</v>
      </c>
      <c r="AM20">
        <f t="shared" si="15"/>
        <v>-218.83693664800012</v>
      </c>
      <c r="AN20">
        <f t="shared" si="15"/>
        <v>-30.587045769000042</v>
      </c>
      <c r="AO20">
        <f t="shared" si="15"/>
        <v>0</v>
      </c>
      <c r="AP20">
        <f t="shared" si="15"/>
        <v>0</v>
      </c>
      <c r="AQ20">
        <f t="shared" si="15"/>
        <v>0</v>
      </c>
      <c r="AR20">
        <f t="shared" si="15"/>
        <v>0</v>
      </c>
      <c r="AS20">
        <f t="shared" si="15"/>
        <v>0</v>
      </c>
      <c r="AT20">
        <f t="shared" si="15"/>
        <v>0</v>
      </c>
    </row>
    <row r="24" spans="1:3" ht="15">
      <c r="A24" t="s">
        <v>259</v>
      </c>
      <c r="B24" s="38" t="s">
        <v>260</v>
      </c>
      <c r="C24" s="38" t="s">
        <v>261</v>
      </c>
    </row>
    <row r="26" spans="1:4" ht="15">
      <c r="A26" t="s">
        <v>262</v>
      </c>
      <c r="B26" s="38">
        <v>5883</v>
      </c>
      <c r="C26" s="38">
        <v>5883</v>
      </c>
      <c r="D26" s="38">
        <f aca="true" t="shared" si="16" ref="D26:D37">+C26-B26</f>
        <v>0</v>
      </c>
    </row>
    <row r="27" spans="1:4" ht="15">
      <c r="A27" t="s">
        <v>263</v>
      </c>
      <c r="B27" s="38">
        <v>18370</v>
      </c>
      <c r="C27" s="38">
        <v>19251</v>
      </c>
      <c r="D27" s="38">
        <f t="shared" si="16"/>
        <v>881</v>
      </c>
    </row>
    <row r="28" spans="1:4" ht="15">
      <c r="A28" t="s">
        <v>264</v>
      </c>
      <c r="B28" s="38">
        <v>20552</v>
      </c>
      <c r="C28" s="38">
        <v>22192</v>
      </c>
      <c r="D28" s="38">
        <f t="shared" si="16"/>
        <v>1640</v>
      </c>
    </row>
    <row r="29" spans="1:4" ht="15">
      <c r="A29" t="s">
        <v>265</v>
      </c>
      <c r="B29" s="38">
        <v>13276</v>
      </c>
      <c r="C29" s="38">
        <v>13922</v>
      </c>
      <c r="D29" s="38">
        <f t="shared" si="16"/>
        <v>646</v>
      </c>
    </row>
    <row r="30" spans="1:4" ht="15">
      <c r="A30" t="s">
        <v>266</v>
      </c>
      <c r="B30" s="38">
        <v>11803</v>
      </c>
      <c r="C30" s="38">
        <f>13852-1970</f>
        <v>11882</v>
      </c>
      <c r="D30" s="38">
        <f t="shared" si="16"/>
        <v>79</v>
      </c>
    </row>
    <row r="31" spans="1:4" ht="15">
      <c r="A31" t="s">
        <v>267</v>
      </c>
      <c r="B31" s="38">
        <v>11515</v>
      </c>
      <c r="C31" s="38">
        <f>16293-4141</f>
        <v>12152</v>
      </c>
      <c r="D31" s="38">
        <f t="shared" si="16"/>
        <v>637</v>
      </c>
    </row>
    <row r="32" spans="1:4" ht="15">
      <c r="A32" t="s">
        <v>268</v>
      </c>
      <c r="B32" s="38">
        <v>21554</v>
      </c>
      <c r="C32" s="38">
        <f>27020-4547</f>
        <v>22473</v>
      </c>
      <c r="D32" s="38">
        <f t="shared" si="16"/>
        <v>919</v>
      </c>
    </row>
    <row r="33" spans="1:4" ht="15">
      <c r="A33" t="s">
        <v>269</v>
      </c>
      <c r="B33" s="38">
        <v>20008</v>
      </c>
      <c r="C33" s="38">
        <f>25182-5225</f>
        <v>19957</v>
      </c>
      <c r="D33" s="38">
        <f t="shared" si="16"/>
        <v>-51</v>
      </c>
    </row>
    <row r="34" spans="1:4" ht="15">
      <c r="A34" t="s">
        <v>270</v>
      </c>
      <c r="B34" s="38">
        <v>20345</v>
      </c>
      <c r="C34" s="38">
        <f>27306-7062</f>
        <v>20244</v>
      </c>
      <c r="D34" s="38">
        <f t="shared" si="16"/>
        <v>-101</v>
      </c>
    </row>
    <row r="35" spans="1:4" ht="15">
      <c r="A35" t="s">
        <v>271</v>
      </c>
      <c r="B35" s="38">
        <v>17123</v>
      </c>
      <c r="C35" s="38">
        <f>23116-6068</f>
        <v>17048</v>
      </c>
      <c r="D35" s="38">
        <f t="shared" si="16"/>
        <v>-75</v>
      </c>
    </row>
    <row r="36" spans="1:4" ht="15">
      <c r="A36" t="s">
        <v>272</v>
      </c>
      <c r="B36" s="38">
        <v>11566</v>
      </c>
      <c r="C36" s="38">
        <v>13210</v>
      </c>
      <c r="D36" s="38">
        <f t="shared" si="16"/>
        <v>1644</v>
      </c>
    </row>
    <row r="37" spans="1:4" ht="15">
      <c r="A37" t="s">
        <v>273</v>
      </c>
      <c r="B37" s="38">
        <v>15624</v>
      </c>
      <c r="C37" s="38">
        <v>11963</v>
      </c>
      <c r="D37" s="38">
        <f t="shared" si="16"/>
        <v>-3661</v>
      </c>
    </row>
    <row r="38" spans="2:4" ht="15">
      <c r="B38" s="38">
        <f>SUM(B26:B37)</f>
        <v>187619</v>
      </c>
      <c r="C38" s="38">
        <f>SUM(C26:C37)</f>
        <v>190177</v>
      </c>
      <c r="D38" s="38">
        <f>SUM(D26:D37)</f>
        <v>2558</v>
      </c>
    </row>
    <row r="39" spans="2:3" ht="15">
      <c r="B39" s="38"/>
      <c r="C39" s="38"/>
    </row>
    <row r="40" spans="2:3" ht="15">
      <c r="B40" s="38"/>
      <c r="C40" s="38"/>
    </row>
  </sheetData>
  <printOptions headings="1"/>
  <pageMargins left="0" right="0" top="1" bottom="1" header="0.5" footer="0.5"/>
  <pageSetup fitToHeight="1" fitToWidth="1" horizontalDpi="300" verticalDpi="300" orientation="landscape" scale="66" r:id="rId3"/>
  <headerFooter alignWithMargins="0">
    <oddHeader>&amp;C&amp;A</oddHeader>
    <oddFooter>&amp;CPage &amp;P</oddFooter>
  </headerFooter>
  <legacyDrawing r:id="rId2"/>
</worksheet>
</file>

<file path=xl/worksheets/sheet4.xml><?xml version="1.0" encoding="utf-8"?>
<worksheet xmlns="http://schemas.openxmlformats.org/spreadsheetml/2006/main" xmlns:r="http://schemas.openxmlformats.org/officeDocument/2006/relationships">
  <sheetPr codeName="Sheet3" transitionEvaluation="1">
    <pageSetUpPr fitToPage="1"/>
  </sheetPr>
  <dimension ref="A1:U35"/>
  <sheetViews>
    <sheetView defaultGridColor="0" zoomScale="75" zoomScaleNormal="75" colorId="22" workbookViewId="0" topLeftCell="C1">
      <selection activeCell="A1" sqref="A1"/>
    </sheetView>
  </sheetViews>
  <sheetFormatPr defaultColWidth="9.77734375" defaultRowHeight="15"/>
  <cols>
    <col min="1" max="1" width="7.10546875" style="0" customWidth="1"/>
    <col min="2" max="2" width="9.99609375" style="0" customWidth="1"/>
    <col min="3" max="3" width="13.6640625" style="0" customWidth="1"/>
    <col min="8" max="11" width="12.77734375" style="0" customWidth="1"/>
    <col min="12" max="12" width="13.5546875" style="0" customWidth="1"/>
    <col min="13" max="13" width="13.99609375" style="0" customWidth="1"/>
    <col min="14" max="14" width="12.77734375" style="0" customWidth="1"/>
    <col min="15" max="15" width="12.5546875" style="0" customWidth="1"/>
    <col min="16" max="16" width="13.4453125" style="0" customWidth="1"/>
    <col min="17" max="18" width="13.77734375" style="0" customWidth="1"/>
    <col min="19" max="34" width="12.77734375" style="0" customWidth="1"/>
  </cols>
  <sheetData>
    <row r="1" spans="1:21" ht="15.75">
      <c r="A1" s="8" t="str">
        <f>Appendix!A11</f>
        <v>PROGRESS ENERGY FLORIDA, INC.</v>
      </c>
      <c r="B1" s="18"/>
      <c r="C1" s="18"/>
      <c r="D1" s="18"/>
      <c r="E1" s="18"/>
      <c r="F1" s="18"/>
      <c r="G1" s="18"/>
      <c r="H1" s="18"/>
      <c r="I1" s="18"/>
      <c r="J1" s="18"/>
      <c r="K1" s="18"/>
      <c r="L1" s="18"/>
      <c r="M1" s="18"/>
      <c r="N1" s="18"/>
      <c r="O1" s="18"/>
      <c r="P1" s="18"/>
      <c r="Q1" s="18"/>
      <c r="R1" s="18"/>
      <c r="S1" s="18"/>
      <c r="T1" s="31" t="s">
        <v>570</v>
      </c>
      <c r="U1" s="2"/>
    </row>
    <row r="2" spans="1:20" ht="15">
      <c r="A2" s="2" t="s">
        <v>0</v>
      </c>
      <c r="B2" s="2"/>
      <c r="C2" s="2"/>
      <c r="D2" s="2"/>
      <c r="E2" s="2"/>
      <c r="F2" s="2"/>
      <c r="G2" s="2"/>
      <c r="H2" s="2"/>
      <c r="I2" s="2"/>
      <c r="J2" s="2"/>
      <c r="K2" s="2"/>
      <c r="L2" s="2"/>
      <c r="M2" s="2"/>
      <c r="N2" s="2"/>
      <c r="O2" s="2"/>
      <c r="P2" s="2"/>
      <c r="Q2" s="2"/>
      <c r="R2" s="2"/>
      <c r="S2" s="2"/>
      <c r="T2" s="30"/>
    </row>
    <row r="3" spans="1:19" ht="15">
      <c r="A3" s="2" t="str">
        <f>'Form 42 -1A'!A3:I3</f>
        <v>Calculation of the Final True-up Amount</v>
      </c>
      <c r="B3" s="9"/>
      <c r="C3" s="9"/>
      <c r="D3" s="9"/>
      <c r="E3" s="9"/>
      <c r="F3" s="9"/>
      <c r="G3" s="9"/>
      <c r="H3" s="9"/>
      <c r="I3" s="18"/>
      <c r="J3" s="18"/>
      <c r="K3" s="18"/>
      <c r="L3" s="18"/>
      <c r="M3" s="18"/>
      <c r="N3" s="18"/>
      <c r="O3" s="18"/>
      <c r="P3" s="18"/>
      <c r="Q3" s="18"/>
      <c r="R3" s="18"/>
      <c r="S3" s="18"/>
    </row>
    <row r="4" spans="1:19" ht="15.75">
      <c r="A4" s="11" t="str">
        <f>'Form 42 -1A'!A4</f>
        <v>January 2003 through December 2003</v>
      </c>
      <c r="B4" s="18"/>
      <c r="C4" s="18"/>
      <c r="D4" s="18"/>
      <c r="E4" s="18"/>
      <c r="F4" s="18"/>
      <c r="G4" s="18"/>
      <c r="H4" s="18"/>
      <c r="I4" s="18"/>
      <c r="J4" s="18"/>
      <c r="K4" s="18"/>
      <c r="L4" s="18"/>
      <c r="M4" s="18"/>
      <c r="N4" s="18"/>
      <c r="O4" s="18"/>
      <c r="P4" s="18"/>
      <c r="Q4" s="18"/>
      <c r="R4" s="18"/>
      <c r="S4" s="18"/>
    </row>
    <row r="5" spans="1:20" ht="15.75">
      <c r="A5" s="3" t="s">
        <v>1</v>
      </c>
      <c r="B5" s="18"/>
      <c r="C5" s="18"/>
      <c r="D5" s="18"/>
      <c r="E5" s="18"/>
      <c r="F5" s="18"/>
      <c r="G5" s="18"/>
      <c r="H5" s="18"/>
      <c r="I5" s="18"/>
      <c r="J5" s="18"/>
      <c r="K5" s="18"/>
      <c r="L5" s="18"/>
      <c r="M5" s="18"/>
      <c r="N5" s="18"/>
      <c r="O5" s="18"/>
      <c r="P5" s="18"/>
      <c r="Q5" s="18"/>
      <c r="R5" s="18"/>
      <c r="S5" s="18"/>
      <c r="T5" s="2"/>
    </row>
    <row r="6" spans="1:19" ht="15">
      <c r="A6" s="57" t="s">
        <v>18</v>
      </c>
      <c r="B6" s="18"/>
      <c r="C6" s="18"/>
      <c r="D6" s="18"/>
      <c r="E6" s="18"/>
      <c r="F6" s="18"/>
      <c r="G6" s="18"/>
      <c r="H6" s="18"/>
      <c r="I6" s="18"/>
      <c r="J6" s="18"/>
      <c r="K6" s="18"/>
      <c r="L6" s="18"/>
      <c r="M6" s="18"/>
      <c r="N6" s="18"/>
      <c r="O6" s="18"/>
      <c r="P6" s="18"/>
      <c r="Q6" s="18"/>
      <c r="R6" s="18"/>
      <c r="S6" s="18"/>
    </row>
    <row r="7" spans="1:19" ht="15">
      <c r="A7" s="18" t="s">
        <v>5</v>
      </c>
      <c r="B7" s="18"/>
      <c r="C7" s="18"/>
      <c r="D7" s="18"/>
      <c r="E7" s="18"/>
      <c r="F7" s="18"/>
      <c r="G7" s="18"/>
      <c r="H7" s="18"/>
      <c r="I7" s="18"/>
      <c r="J7" s="18"/>
      <c r="K7" s="18"/>
      <c r="L7" s="18"/>
      <c r="M7" s="18"/>
      <c r="N7" s="18"/>
      <c r="O7" s="18"/>
      <c r="P7" s="18"/>
      <c r="Q7" s="18"/>
      <c r="R7" s="18"/>
      <c r="S7" s="18"/>
    </row>
    <row r="8" spans="1:20" ht="15">
      <c r="A8" s="1"/>
      <c r="B8" s="1"/>
      <c r="C8" s="1"/>
      <c r="D8" s="1"/>
      <c r="E8" s="1"/>
      <c r="F8" s="1"/>
      <c r="G8" s="1"/>
      <c r="H8" s="1"/>
      <c r="I8" s="1"/>
      <c r="J8" s="18"/>
      <c r="K8" s="18"/>
      <c r="L8" s="1"/>
      <c r="M8" s="18"/>
      <c r="N8" s="27"/>
      <c r="O8" s="18"/>
      <c r="P8" s="18"/>
      <c r="Q8" s="18"/>
      <c r="R8" s="1"/>
      <c r="S8" s="27"/>
      <c r="T8" s="27" t="s">
        <v>6</v>
      </c>
    </row>
    <row r="9" spans="1:20" ht="15">
      <c r="A9" s="18"/>
      <c r="B9" s="18"/>
      <c r="C9" s="18"/>
      <c r="D9" s="18"/>
      <c r="E9" s="18"/>
      <c r="F9" s="18"/>
      <c r="G9" s="18"/>
      <c r="H9" s="29" t="s">
        <v>561</v>
      </c>
      <c r="I9" s="29" t="s">
        <v>561</v>
      </c>
      <c r="J9" s="29" t="s">
        <v>561</v>
      </c>
      <c r="K9" s="29" t="s">
        <v>561</v>
      </c>
      <c r="L9" s="29" t="s">
        <v>561</v>
      </c>
      <c r="M9" s="29" t="s">
        <v>561</v>
      </c>
      <c r="N9" s="29" t="s">
        <v>561</v>
      </c>
      <c r="O9" s="29" t="s">
        <v>561</v>
      </c>
      <c r="P9" s="29" t="s">
        <v>561</v>
      </c>
      <c r="Q9" s="29" t="s">
        <v>561</v>
      </c>
      <c r="R9" s="29" t="s">
        <v>561</v>
      </c>
      <c r="S9" s="29" t="s">
        <v>561</v>
      </c>
      <c r="T9" s="29" t="s">
        <v>2</v>
      </c>
    </row>
    <row r="10" spans="1:20" ht="15.75" thickBot="1">
      <c r="A10" s="4" t="s">
        <v>3</v>
      </c>
      <c r="B10" s="1"/>
      <c r="C10" s="25" t="s">
        <v>62</v>
      </c>
      <c r="D10" s="1"/>
      <c r="E10" s="1"/>
      <c r="F10" s="1"/>
      <c r="G10" s="1"/>
      <c r="H10" s="44" t="str">
        <f>'Form 42 2A'!H10</f>
        <v>January 03</v>
      </c>
      <c r="I10" s="44" t="str">
        <f>'Form 42 2A'!I10</f>
        <v>February 03</v>
      </c>
      <c r="J10" s="44" t="str">
        <f>'Form 42 2A'!J10</f>
        <v>March 03</v>
      </c>
      <c r="K10" s="44" t="str">
        <f>'Form 42 2A'!K10</f>
        <v>April 03</v>
      </c>
      <c r="L10" s="44" t="str">
        <f>'Form 42 2A'!L10</f>
        <v>May 03</v>
      </c>
      <c r="M10" s="44" t="str">
        <f>'Form 42 2A'!M10</f>
        <v>June 03</v>
      </c>
      <c r="N10" s="44" t="str">
        <f>'Form 42 2A'!N10</f>
        <v>July 03</v>
      </c>
      <c r="O10" s="44" t="str">
        <f>'Form 42 2A'!O10</f>
        <v>August 03</v>
      </c>
      <c r="P10" s="44" t="str">
        <f>'Form 42 2A'!P10</f>
        <v>September 03</v>
      </c>
      <c r="Q10" s="44" t="str">
        <f>'Form 42 2A'!Q10</f>
        <v>October 03</v>
      </c>
      <c r="R10" s="44" t="str">
        <f>'Form 42 2A'!R10</f>
        <v>November 03</v>
      </c>
      <c r="S10" s="44" t="str">
        <f>'Form 42 2A'!S10</f>
        <v>December 03</v>
      </c>
      <c r="T10" s="19" t="s">
        <v>8</v>
      </c>
    </row>
    <row r="13" spans="1:19" ht="16.5" customHeight="1">
      <c r="A13" s="1">
        <v>1</v>
      </c>
      <c r="B13" s="1" t="s">
        <v>585</v>
      </c>
      <c r="C13" s="1"/>
      <c r="D13" s="1"/>
      <c r="E13" s="1"/>
      <c r="F13" s="1"/>
      <c r="G13" s="1"/>
      <c r="H13" s="5">
        <f>'Form 42 2A'!H26+'Form 42 2A'!H28+'Form 42 2A'!H34</f>
        <v>-38833</v>
      </c>
      <c r="I13" s="5">
        <f>'Form 42 2A'!I26+'Form 42 2A'!I28+'Form 42 2A'!I34</f>
        <v>332329</v>
      </c>
      <c r="J13" s="5">
        <f>'Form 42 2A'!J26+'Form 42 2A'!J28+'Form 42 2A'!J34</f>
        <v>595421</v>
      </c>
      <c r="K13" s="5">
        <f>'Form 42 2A'!K26+'Form 42 2A'!K28+'Form 42 2A'!K34</f>
        <v>809053</v>
      </c>
      <c r="L13" s="5">
        <f>'Form 42 2A'!L26+'Form 42 2A'!L28+'Form 42 2A'!L34</f>
        <v>734856</v>
      </c>
      <c r="M13" s="5">
        <f>'Form 42 2A'!M26+'Form 42 2A'!M28+'Form 42 2A'!M34</f>
        <v>588317</v>
      </c>
      <c r="N13" s="5">
        <f>'Form 42 2A'!N26+'Form 42 2A'!N28+'Form 42 2A'!N34</f>
        <v>-812959</v>
      </c>
      <c r="O13" s="5">
        <f>'Form 42 2A'!O26+'Form 42 2A'!O28+'Form 42 2A'!O34</f>
        <v>-1631641</v>
      </c>
      <c r="P13" s="5">
        <f>'Form 42 2A'!P26+'Form 42 2A'!P28+'Form 42 2A'!P34</f>
        <v>-2732066.7499792</v>
      </c>
      <c r="Q13" s="5">
        <f>'Form 42 2A'!Q26+'Form 42 2A'!Q28+'Form 42 2A'!Q34</f>
        <v>-4288772.246012799</v>
      </c>
      <c r="R13" s="5">
        <f>'Form 42 2A'!R26+'Form 42 2A'!R28+'Form 42 2A'!R34</f>
        <v>-7478272.301038399</v>
      </c>
      <c r="S13" s="5">
        <f>'Form 42 2A'!S26+'Form 42 2A'!S28+'Form 42 2A'!S34</f>
        <v>-9239864.0000172</v>
      </c>
    </row>
    <row r="15" spans="1:19" ht="15">
      <c r="A15" s="1">
        <v>2</v>
      </c>
      <c r="B15" s="1" t="s">
        <v>586</v>
      </c>
      <c r="C15" s="1"/>
      <c r="D15" s="1"/>
      <c r="E15" s="1"/>
      <c r="F15" s="1"/>
      <c r="G15" s="1"/>
      <c r="H15" s="6">
        <f>H13+'Form 42 2A'!H30+'Form 42 2A'!H22</f>
        <v>332172</v>
      </c>
      <c r="I15" s="6">
        <f>I13+'Form 42 2A'!I30+'Form 42 2A'!I22</f>
        <v>594934</v>
      </c>
      <c r="J15" s="6">
        <f>J13+'Form 42 2A'!J30+'Form 42 2A'!J22</f>
        <v>808344</v>
      </c>
      <c r="K15" s="6">
        <f>K13+'Form 42 2A'!K30+'Form 42 2A'!K22</f>
        <v>734092</v>
      </c>
      <c r="L15" s="6">
        <f>L13+'Form 42 2A'!L30+'Form 42 2A'!L22</f>
        <v>587656</v>
      </c>
      <c r="M15" s="6">
        <f>M13+'Form 42 2A'!M30+'Form 42 2A'!M22</f>
        <v>-812856</v>
      </c>
      <c r="N15" s="6">
        <f>N13+'Form 42 2A'!N30+'Form 42 2A'!N22</f>
        <v>-1630602</v>
      </c>
      <c r="O15" s="6">
        <f>O13+'Form 42 2A'!O30+'Form 42 2A'!O22</f>
        <v>-2730147.7499792</v>
      </c>
      <c r="P15" s="6">
        <f>P13+'Form 42 2A'!P30+'Form 42 2A'!P22</f>
        <v>-4285684.246012799</v>
      </c>
      <c r="Q15" s="6">
        <f>Q13+'Form 42 2A'!Q30+'Form 42 2A'!Q22</f>
        <v>-7473097.301038399</v>
      </c>
      <c r="R15" s="6">
        <f>R13+'Form 42 2A'!R30+'Form 42 2A'!R22</f>
        <v>-9232762.0000172</v>
      </c>
      <c r="S15" s="6">
        <f>S13+'Form 42 2A'!S30+'Form 42 2A'!S22</f>
        <v>-9902108.6243976</v>
      </c>
    </row>
    <row r="17" spans="1:19" ht="15">
      <c r="A17" s="1">
        <v>3</v>
      </c>
      <c r="B17" s="1" t="s">
        <v>19</v>
      </c>
      <c r="C17" s="1"/>
      <c r="D17" s="1"/>
      <c r="E17" s="1"/>
      <c r="F17" s="1"/>
      <c r="G17" s="1"/>
      <c r="H17" s="6">
        <f aca="true" t="shared" si="0" ref="H17:S17">ROUND(SUM(H13:H15),0)</f>
        <v>293339</v>
      </c>
      <c r="I17" s="6">
        <f t="shared" si="0"/>
        <v>927263</v>
      </c>
      <c r="J17" s="6">
        <f t="shared" si="0"/>
        <v>1403765</v>
      </c>
      <c r="K17" s="6">
        <f t="shared" si="0"/>
        <v>1543145</v>
      </c>
      <c r="L17" s="6">
        <f t="shared" si="0"/>
        <v>1322512</v>
      </c>
      <c r="M17" s="6">
        <f t="shared" si="0"/>
        <v>-224539</v>
      </c>
      <c r="N17" s="6">
        <f t="shared" si="0"/>
        <v>-2443561</v>
      </c>
      <c r="O17" s="6">
        <f t="shared" si="0"/>
        <v>-4361789</v>
      </c>
      <c r="P17" s="6">
        <f t="shared" si="0"/>
        <v>-7017751</v>
      </c>
      <c r="Q17" s="6">
        <f t="shared" si="0"/>
        <v>-11761870</v>
      </c>
      <c r="R17" s="6">
        <f t="shared" si="0"/>
        <v>-16711034</v>
      </c>
      <c r="S17" s="6">
        <f t="shared" si="0"/>
        <v>-19141973</v>
      </c>
    </row>
    <row r="19" spans="1:19" ht="15">
      <c r="A19">
        <v>4</v>
      </c>
      <c r="B19" t="s">
        <v>20</v>
      </c>
      <c r="H19">
        <f aca="true" t="shared" si="1" ref="H19:S19">ROUND(+H17/2,0)</f>
        <v>146670</v>
      </c>
      <c r="I19">
        <f t="shared" si="1"/>
        <v>463632</v>
      </c>
      <c r="J19">
        <f t="shared" si="1"/>
        <v>701883</v>
      </c>
      <c r="K19">
        <f>ROUND(+K17/2,0)</f>
        <v>771573</v>
      </c>
      <c r="L19">
        <f t="shared" si="1"/>
        <v>661256</v>
      </c>
      <c r="M19">
        <f t="shared" si="1"/>
        <v>-112270</v>
      </c>
      <c r="N19">
        <f t="shared" si="1"/>
        <v>-1221781</v>
      </c>
      <c r="O19">
        <f t="shared" si="1"/>
        <v>-2180895</v>
      </c>
      <c r="P19">
        <f t="shared" si="1"/>
        <v>-3508876</v>
      </c>
      <c r="Q19">
        <f t="shared" si="1"/>
        <v>-5880935</v>
      </c>
      <c r="R19">
        <f t="shared" si="1"/>
        <v>-8355517</v>
      </c>
      <c r="S19">
        <f t="shared" si="1"/>
        <v>-9570987</v>
      </c>
    </row>
    <row r="21" spans="1:19" ht="15">
      <c r="A21" s="1">
        <v>5</v>
      </c>
      <c r="B21" s="1" t="s">
        <v>21</v>
      </c>
      <c r="C21" s="1"/>
      <c r="D21" s="1"/>
      <c r="E21" s="1"/>
      <c r="F21" s="1"/>
      <c r="G21" s="1"/>
      <c r="H21" s="48">
        <f>'[2]CCR'!$F$114</f>
        <v>0.0129</v>
      </c>
      <c r="I21" s="20">
        <f aca="true" t="shared" si="2" ref="I21:S21">H23</f>
        <v>0.0127</v>
      </c>
      <c r="J21" s="20">
        <f t="shared" si="2"/>
        <v>0.0125</v>
      </c>
      <c r="K21" s="20">
        <f>J23</f>
        <v>0.0118</v>
      </c>
      <c r="L21" s="20">
        <f t="shared" si="2"/>
        <v>0.0119</v>
      </c>
      <c r="M21" s="20">
        <f t="shared" si="2"/>
        <v>0.0121</v>
      </c>
      <c r="N21" s="20">
        <f t="shared" si="2"/>
        <v>0.01</v>
      </c>
      <c r="O21" s="20">
        <f t="shared" si="2"/>
        <v>0.0105</v>
      </c>
      <c r="P21" s="20">
        <f t="shared" si="2"/>
        <v>0.0106</v>
      </c>
      <c r="Q21" s="20">
        <f t="shared" si="2"/>
        <v>0.0106</v>
      </c>
      <c r="R21" s="20">
        <f t="shared" si="2"/>
        <v>0.0105</v>
      </c>
      <c r="S21" s="20">
        <f t="shared" si="2"/>
        <v>0.01</v>
      </c>
    </row>
    <row r="23" spans="1:19" ht="15">
      <c r="A23" s="1">
        <v>6</v>
      </c>
      <c r="B23" s="1" t="s">
        <v>22</v>
      </c>
      <c r="C23" s="1"/>
      <c r="D23" s="1"/>
      <c r="E23" s="1"/>
      <c r="F23" s="1"/>
      <c r="G23" s="1"/>
      <c r="H23" s="48">
        <f>'[2]CCR'!$F$116</f>
        <v>0.0127</v>
      </c>
      <c r="I23" s="48">
        <f>'[3]CCR'!$H$116</f>
        <v>0.0125</v>
      </c>
      <c r="J23" s="48">
        <f>'[4]CCR'!$J$116</f>
        <v>0.0118</v>
      </c>
      <c r="K23" s="48">
        <f>'[5]CCR'!$L$116</f>
        <v>0.0119</v>
      </c>
      <c r="L23" s="48">
        <f>'[6]CCR'!$N$116</f>
        <v>0.0121</v>
      </c>
      <c r="M23" s="48">
        <f>'[1]CCR'!$P$116</f>
        <v>0.01</v>
      </c>
      <c r="N23" s="48">
        <f>'[7]CCR'!$R$116</f>
        <v>0.0105</v>
      </c>
      <c r="O23" s="48">
        <f>'[8]CCR'!$T$116</f>
        <v>0.0106</v>
      </c>
      <c r="P23" s="48">
        <f>'[9]CCR'!$V$116</f>
        <v>0.0106</v>
      </c>
      <c r="Q23" s="48">
        <v>0.0105</v>
      </c>
      <c r="R23" s="48">
        <v>0.01</v>
      </c>
      <c r="S23" s="48">
        <v>0.0106</v>
      </c>
    </row>
    <row r="25" spans="1:19" ht="15">
      <c r="A25" s="1">
        <v>7</v>
      </c>
      <c r="B25" s="1" t="s">
        <v>23</v>
      </c>
      <c r="C25" s="1"/>
      <c r="D25" s="1"/>
      <c r="E25" s="1"/>
      <c r="F25" s="1"/>
      <c r="G25" s="1"/>
      <c r="H25" s="20">
        <f aca="true" t="shared" si="3" ref="H25:S25">H21+H23</f>
        <v>0.025599999999999998</v>
      </c>
      <c r="I25" s="20">
        <f t="shared" si="3"/>
        <v>0.0252</v>
      </c>
      <c r="J25" s="20">
        <f t="shared" si="3"/>
        <v>0.024300000000000002</v>
      </c>
      <c r="K25" s="20">
        <f>K21+K23</f>
        <v>0.0237</v>
      </c>
      <c r="L25" s="20">
        <f t="shared" si="3"/>
        <v>0.024</v>
      </c>
      <c r="M25" s="20">
        <f t="shared" si="3"/>
        <v>0.0221</v>
      </c>
      <c r="N25" s="20">
        <f t="shared" si="3"/>
        <v>0.0205</v>
      </c>
      <c r="O25" s="20">
        <f t="shared" si="3"/>
        <v>0.0211</v>
      </c>
      <c r="P25" s="20">
        <f t="shared" si="3"/>
        <v>0.0212</v>
      </c>
      <c r="Q25" s="20">
        <f t="shared" si="3"/>
        <v>0.0211</v>
      </c>
      <c r="R25" s="20">
        <f t="shared" si="3"/>
        <v>0.0205</v>
      </c>
      <c r="S25" s="20">
        <f t="shared" si="3"/>
        <v>0.0206</v>
      </c>
    </row>
    <row r="27" spans="1:19" ht="15">
      <c r="A27" s="1">
        <v>8</v>
      </c>
      <c r="B27" s="1" t="s">
        <v>24</v>
      </c>
      <c r="C27" s="1"/>
      <c r="D27" s="1"/>
      <c r="E27" s="1"/>
      <c r="F27" s="1"/>
      <c r="G27" s="1"/>
      <c r="H27" s="21">
        <f aca="true" t="shared" si="4" ref="H27:S27">ROUND(+H25/2,5)</f>
        <v>0.0128</v>
      </c>
      <c r="I27" s="21">
        <f t="shared" si="4"/>
        <v>0.0126</v>
      </c>
      <c r="J27" s="21">
        <f t="shared" si="4"/>
        <v>0.01215</v>
      </c>
      <c r="K27" s="21">
        <f>ROUND(+K25/2,5)</f>
        <v>0.01185</v>
      </c>
      <c r="L27" s="21">
        <f t="shared" si="4"/>
        <v>0.012</v>
      </c>
      <c r="M27" s="21">
        <f t="shared" si="4"/>
        <v>0.01105</v>
      </c>
      <c r="N27" s="21">
        <f t="shared" si="4"/>
        <v>0.01025</v>
      </c>
      <c r="O27" s="21">
        <f t="shared" si="4"/>
        <v>0.01055</v>
      </c>
      <c r="P27" s="21">
        <f t="shared" si="4"/>
        <v>0.0106</v>
      </c>
      <c r="Q27" s="21">
        <f t="shared" si="4"/>
        <v>0.01055</v>
      </c>
      <c r="R27" s="21">
        <f t="shared" si="4"/>
        <v>0.01025</v>
      </c>
      <c r="S27" s="21">
        <f t="shared" si="4"/>
        <v>0.0103</v>
      </c>
    </row>
    <row r="29" spans="1:20" ht="15">
      <c r="A29" s="1">
        <v>9</v>
      </c>
      <c r="B29" s="1" t="s">
        <v>25</v>
      </c>
      <c r="C29" s="1"/>
      <c r="D29" s="1"/>
      <c r="E29" s="1"/>
      <c r="F29" s="1"/>
      <c r="G29" s="1"/>
      <c r="H29" s="22">
        <f aca="true" t="shared" si="5" ref="H29:S29">ROUND(+H27/12,5)</f>
        <v>0.00107</v>
      </c>
      <c r="I29" s="22">
        <f t="shared" si="5"/>
        <v>0.00105</v>
      </c>
      <c r="J29" s="22">
        <f t="shared" si="5"/>
        <v>0.00101</v>
      </c>
      <c r="K29" s="22">
        <f>ROUND(+K27/12,5)</f>
        <v>0.00099</v>
      </c>
      <c r="L29" s="22">
        <f t="shared" si="5"/>
        <v>0.001</v>
      </c>
      <c r="M29" s="22">
        <f t="shared" si="5"/>
        <v>0.00092</v>
      </c>
      <c r="N29" s="22">
        <f t="shared" si="5"/>
        <v>0.00085</v>
      </c>
      <c r="O29" s="22">
        <f t="shared" si="5"/>
        <v>0.00088</v>
      </c>
      <c r="P29" s="22">
        <f t="shared" si="5"/>
        <v>0.00088</v>
      </c>
      <c r="Q29" s="22">
        <f t="shared" si="5"/>
        <v>0.00088</v>
      </c>
      <c r="R29" s="22">
        <f t="shared" si="5"/>
        <v>0.00085</v>
      </c>
      <c r="S29" s="22">
        <f t="shared" si="5"/>
        <v>0.00086</v>
      </c>
      <c r="T29" s="22"/>
    </row>
    <row r="31" spans="1:20" ht="15.75" thickBot="1">
      <c r="A31" s="1">
        <v>10</v>
      </c>
      <c r="B31" s="1" t="s">
        <v>26</v>
      </c>
      <c r="C31" s="1"/>
      <c r="D31" s="1"/>
      <c r="E31" s="1"/>
      <c r="F31" s="1"/>
      <c r="G31" s="1"/>
      <c r="H31" s="7">
        <f aca="true" t="shared" si="6" ref="H31:S31">ROUND(+H19*H29,0)</f>
        <v>157</v>
      </c>
      <c r="I31" s="7">
        <f t="shared" si="6"/>
        <v>487</v>
      </c>
      <c r="J31" s="7">
        <f t="shared" si="6"/>
        <v>709</v>
      </c>
      <c r="K31" s="7">
        <f>ROUND(+K19*K29,0)</f>
        <v>764</v>
      </c>
      <c r="L31" s="7">
        <f>ROUND(+L19*L29,0)</f>
        <v>661</v>
      </c>
      <c r="M31" s="7">
        <f t="shared" si="6"/>
        <v>-103</v>
      </c>
      <c r="N31" s="7">
        <f t="shared" si="6"/>
        <v>-1039</v>
      </c>
      <c r="O31" s="7">
        <f t="shared" si="6"/>
        <v>-1919</v>
      </c>
      <c r="P31" s="7">
        <f t="shared" si="6"/>
        <v>-3088</v>
      </c>
      <c r="Q31" s="7">
        <f t="shared" si="6"/>
        <v>-5175</v>
      </c>
      <c r="R31" s="7">
        <f t="shared" si="6"/>
        <v>-7102</v>
      </c>
      <c r="S31" s="7">
        <f t="shared" si="6"/>
        <v>-8231</v>
      </c>
      <c r="T31" s="7">
        <f>SUM(H31:S31)</f>
        <v>-23879</v>
      </c>
    </row>
    <row r="35" spans="1:9" ht="15">
      <c r="A35" s="1"/>
      <c r="B35" s="1"/>
      <c r="C35" s="1"/>
      <c r="D35" s="1"/>
      <c r="E35" s="1"/>
      <c r="F35" s="1"/>
      <c r="G35" s="1"/>
      <c r="H35" s="1"/>
      <c r="I35" s="23"/>
    </row>
  </sheetData>
  <printOptions/>
  <pageMargins left="0" right="0" top="0.75" bottom="0.25" header="0.5" footer="0.5"/>
  <pageSetup fitToHeight="1" fitToWidth="1" horizontalDpi="300" verticalDpi="300" orientation="landscape" scale="47" r:id="rId1"/>
  <headerFooter alignWithMargins="0">
    <oddFooter>&amp;C&amp;R</oddFooter>
  </headerFooter>
</worksheet>
</file>

<file path=xl/worksheets/sheet5.xml><?xml version="1.0" encoding="utf-8"?>
<worksheet xmlns="http://schemas.openxmlformats.org/spreadsheetml/2006/main" xmlns:r="http://schemas.openxmlformats.org/officeDocument/2006/relationships">
  <dimension ref="A1:L51"/>
  <sheetViews>
    <sheetView zoomScale="75" zoomScaleNormal="75" workbookViewId="0" topLeftCell="A1">
      <selection activeCell="A1" sqref="A1"/>
    </sheetView>
  </sheetViews>
  <sheetFormatPr defaultColWidth="9.77734375" defaultRowHeight="15"/>
  <cols>
    <col min="1" max="1" width="6.4453125" style="0" customWidth="1"/>
    <col min="2" max="2" width="2.77734375" style="0" customWidth="1"/>
    <col min="5" max="5" width="15.88671875" style="0" customWidth="1"/>
    <col min="6" max="6" width="4.88671875" style="0" customWidth="1"/>
    <col min="7" max="7" width="14.5546875" style="0" customWidth="1"/>
    <col min="8" max="8" width="14.77734375" style="0" bestFit="1" customWidth="1"/>
    <col min="9" max="9" width="13.4453125" style="0" customWidth="1"/>
    <col min="10" max="10" width="13.10546875" style="29" customWidth="1"/>
    <col min="11" max="11" width="6.88671875" style="0" customWidth="1"/>
  </cols>
  <sheetData>
    <row r="1" spans="1:11" ht="15.75">
      <c r="A1" s="8" t="str">
        <f>Appendix!A11</f>
        <v>PROGRESS ENERGY FLORIDA, INC.</v>
      </c>
      <c r="B1" s="9"/>
      <c r="C1" s="9"/>
      <c r="D1" s="9"/>
      <c r="E1" s="10"/>
      <c r="F1" s="9"/>
      <c r="G1" s="8"/>
      <c r="H1" s="9"/>
      <c r="I1" s="10"/>
      <c r="J1" s="9"/>
      <c r="K1" s="30" t="s">
        <v>587</v>
      </c>
    </row>
    <row r="2" spans="1:12" ht="15">
      <c r="A2" s="9" t="s">
        <v>0</v>
      </c>
      <c r="B2" s="9"/>
      <c r="C2" s="9"/>
      <c r="D2" s="9"/>
      <c r="E2" s="9"/>
      <c r="F2" s="9"/>
      <c r="G2" s="9"/>
      <c r="H2" s="9"/>
      <c r="I2" s="9"/>
      <c r="J2" s="9"/>
      <c r="K2" s="30"/>
      <c r="L2" s="31"/>
    </row>
    <row r="3" spans="1:11" ht="15">
      <c r="A3" s="2" t="str">
        <f>+'Form 42 -1A'!A3:I3</f>
        <v>Calculation of the Final True-up Amount</v>
      </c>
      <c r="B3" s="9"/>
      <c r="C3" s="9"/>
      <c r="D3" s="9"/>
      <c r="E3" s="9"/>
      <c r="F3" s="9"/>
      <c r="G3" s="9"/>
      <c r="H3" s="9"/>
      <c r="I3" s="9"/>
      <c r="J3" s="9"/>
      <c r="K3" s="30"/>
    </row>
    <row r="4" spans="1:11" ht="15.75">
      <c r="A4" s="11" t="str">
        <f>'Form 42 -1A'!A4</f>
        <v>January 2003 through December 2003</v>
      </c>
      <c r="B4" s="9"/>
      <c r="C4" s="9"/>
      <c r="D4" s="9"/>
      <c r="E4" s="9"/>
      <c r="F4" s="9"/>
      <c r="G4" s="9"/>
      <c r="H4" s="9"/>
      <c r="I4" s="9"/>
      <c r="J4" s="9"/>
      <c r="K4" s="30"/>
    </row>
    <row r="5" spans="1:11" ht="15.75">
      <c r="A5" s="12" t="s">
        <v>1</v>
      </c>
      <c r="B5" s="13"/>
      <c r="C5" s="13"/>
      <c r="D5" s="13"/>
      <c r="E5" s="13"/>
      <c r="F5" s="13"/>
      <c r="G5" s="13"/>
      <c r="H5" s="13"/>
      <c r="I5" s="13"/>
      <c r="J5" s="13"/>
      <c r="K5" s="30"/>
    </row>
    <row r="6" spans="1:11" ht="15">
      <c r="A6" s="145" t="s">
        <v>457</v>
      </c>
      <c r="B6" s="145"/>
      <c r="C6" s="145"/>
      <c r="D6" s="145"/>
      <c r="E6" s="145"/>
      <c r="F6" s="145"/>
      <c r="G6" s="145"/>
      <c r="H6" s="145"/>
      <c r="I6" s="145"/>
      <c r="J6" s="145"/>
      <c r="K6" s="145"/>
    </row>
    <row r="7" spans="1:11" ht="15">
      <c r="A7" s="9" t="s">
        <v>458</v>
      </c>
      <c r="B7" s="9"/>
      <c r="C7" s="9"/>
      <c r="D7" s="9"/>
      <c r="E7" s="9"/>
      <c r="F7" s="9"/>
      <c r="G7" s="9"/>
      <c r="H7" s="9"/>
      <c r="I7" s="9"/>
      <c r="J7" s="9"/>
      <c r="K7" s="30"/>
    </row>
    <row r="8" spans="1:11" ht="15">
      <c r="A8" s="9"/>
      <c r="B8" s="9"/>
      <c r="C8" s="9"/>
      <c r="D8" s="9"/>
      <c r="E8" s="9"/>
      <c r="F8" s="9"/>
      <c r="G8" s="9"/>
      <c r="H8" s="9"/>
      <c r="I8" s="9"/>
      <c r="J8" s="90"/>
      <c r="K8" s="9"/>
    </row>
    <row r="9" spans="1:10" ht="15">
      <c r="A9" s="9"/>
      <c r="B9" s="9"/>
      <c r="C9" s="9"/>
      <c r="D9" s="9"/>
      <c r="E9" s="9"/>
      <c r="F9" s="9"/>
      <c r="H9" s="9"/>
      <c r="I9" s="9"/>
      <c r="J9" s="90"/>
    </row>
    <row r="10" spans="7:10" ht="15.75">
      <c r="G10" s="80">
        <v>-1</v>
      </c>
      <c r="H10" s="80">
        <v>-2</v>
      </c>
      <c r="I10" s="80">
        <v>-3</v>
      </c>
      <c r="J10" s="80">
        <v>-4</v>
      </c>
    </row>
    <row r="11" spans="7:10" ht="15">
      <c r="G11" s="29"/>
      <c r="H11" s="29" t="s">
        <v>593</v>
      </c>
      <c r="I11" s="142" t="s">
        <v>27</v>
      </c>
      <c r="J11" s="142"/>
    </row>
    <row r="12" spans="1:10" ht="15.75" thickBot="1">
      <c r="A12" s="14" t="s">
        <v>3</v>
      </c>
      <c r="G12" s="81" t="s">
        <v>561</v>
      </c>
      <c r="H12" s="81" t="s">
        <v>513</v>
      </c>
      <c r="I12" s="81" t="s">
        <v>459</v>
      </c>
      <c r="J12" s="81" t="s">
        <v>460</v>
      </c>
    </row>
    <row r="15" spans="1:2" ht="15">
      <c r="A15" s="13">
        <v>1</v>
      </c>
      <c r="B15" t="s">
        <v>28</v>
      </c>
    </row>
    <row r="16" spans="1:10" ht="30.75" customHeight="1">
      <c r="A16" s="12"/>
      <c r="B16" s="82">
        <v>1</v>
      </c>
      <c r="C16" s="144" t="s">
        <v>461</v>
      </c>
      <c r="D16" s="144"/>
      <c r="E16" s="144"/>
      <c r="F16" s="144"/>
      <c r="G16">
        <f>'Form 42 5A'!T14</f>
        <v>581673.82</v>
      </c>
      <c r="H16" s="47">
        <v>473260</v>
      </c>
      <c r="I16">
        <f>+G16-H16</f>
        <v>108413.81999999995</v>
      </c>
      <c r="J16" s="138">
        <f>(+I16/H16)</f>
        <v>0.22907877276761177</v>
      </c>
    </row>
    <row r="17" spans="1:10" ht="30.75" customHeight="1">
      <c r="A17" s="12"/>
      <c r="B17" s="82" t="s">
        <v>462</v>
      </c>
      <c r="C17" s="144" t="s">
        <v>463</v>
      </c>
      <c r="D17" s="144"/>
      <c r="E17" s="144"/>
      <c r="F17" s="144"/>
      <c r="G17">
        <f>'Form 42 5A'!T15</f>
        <v>-25000</v>
      </c>
      <c r="H17" s="47">
        <v>-25000</v>
      </c>
      <c r="I17">
        <f>+G17-H17</f>
        <v>0</v>
      </c>
      <c r="J17" s="138">
        <f>(+I17/H17)/100</f>
        <v>0</v>
      </c>
    </row>
    <row r="18" spans="1:10" ht="30.75" customHeight="1">
      <c r="A18" s="12"/>
      <c r="B18" s="82">
        <v>2</v>
      </c>
      <c r="C18" s="146" t="s">
        <v>464</v>
      </c>
      <c r="D18" s="146"/>
      <c r="E18" s="146"/>
      <c r="F18" s="146"/>
      <c r="G18">
        <f>'Form 42 5A'!T16</f>
        <v>14070894.61</v>
      </c>
      <c r="H18" s="47">
        <v>14970455</v>
      </c>
      <c r="I18">
        <f>+G18-H18</f>
        <v>-899560.3900000006</v>
      </c>
      <c r="J18" s="138">
        <f>(+I18/H18)</f>
        <v>-0.0600890480616655</v>
      </c>
    </row>
    <row r="19" spans="1:10" ht="15.75">
      <c r="A19" s="12"/>
      <c r="B19" s="82" t="s">
        <v>486</v>
      </c>
      <c r="C19" s="144" t="s">
        <v>482</v>
      </c>
      <c r="D19" s="144"/>
      <c r="E19" s="144"/>
      <c r="F19" s="144"/>
      <c r="G19">
        <f>'Form 42 5A'!T17</f>
        <v>0</v>
      </c>
      <c r="H19" s="47">
        <v>10000</v>
      </c>
      <c r="I19">
        <f>+G19-H19</f>
        <v>-10000</v>
      </c>
      <c r="J19" s="138">
        <f>(+I19/H19)</f>
        <v>-1</v>
      </c>
    </row>
    <row r="20" spans="1:10" ht="15.75">
      <c r="A20" s="12"/>
      <c r="B20" s="82">
        <v>4</v>
      </c>
      <c r="C20" s="144" t="s">
        <v>514</v>
      </c>
      <c r="D20" s="144"/>
      <c r="E20" s="144"/>
      <c r="F20" s="144"/>
      <c r="G20" s="77">
        <v>0</v>
      </c>
      <c r="H20" s="83">
        <v>0</v>
      </c>
      <c r="I20" s="77">
        <v>0</v>
      </c>
      <c r="J20" s="139">
        <v>0</v>
      </c>
    </row>
    <row r="21" spans="1:10" ht="15.75">
      <c r="A21" s="12"/>
      <c r="J21" s="138"/>
    </row>
    <row r="22" spans="1:10" ht="15.75">
      <c r="A22" s="12"/>
      <c r="J22" s="138"/>
    </row>
    <row r="23" spans="1:10" ht="15">
      <c r="A23" s="13">
        <v>2</v>
      </c>
      <c r="B23" t="s">
        <v>465</v>
      </c>
      <c r="G23">
        <f>SUM(G16:G22)</f>
        <v>14627568.43</v>
      </c>
      <c r="H23">
        <f>SUM(H16:H22)</f>
        <v>15428715</v>
      </c>
      <c r="I23">
        <f>SUM(I16:I22)</f>
        <v>-801146.5700000006</v>
      </c>
      <c r="J23" s="138">
        <f>(+I23/H23)</f>
        <v>-0.05192568337674269</v>
      </c>
    </row>
    <row r="24" spans="1:10" ht="15.75">
      <c r="A24" s="12"/>
      <c r="J24" s="138"/>
    </row>
    <row r="25" spans="1:10" ht="15.75">
      <c r="A25" s="12"/>
      <c r="J25" s="138"/>
    </row>
    <row r="26" spans="1:10" ht="15">
      <c r="A26" s="13">
        <v>3</v>
      </c>
      <c r="B26" t="s">
        <v>29</v>
      </c>
      <c r="G26">
        <f>'Form 42 5A'!W21</f>
        <v>0</v>
      </c>
      <c r="H26" s="47">
        <v>0</v>
      </c>
      <c r="I26">
        <f>+G26-H26</f>
        <v>0</v>
      </c>
      <c r="J26" s="138">
        <v>0</v>
      </c>
    </row>
    <row r="27" spans="1:10" ht="15.75">
      <c r="A27" s="12"/>
      <c r="J27" s="138"/>
    </row>
    <row r="28" spans="1:10" ht="15.75">
      <c r="A28" s="12"/>
      <c r="J28" s="138"/>
    </row>
    <row r="29" spans="1:10" ht="15">
      <c r="A29" s="137">
        <v>4</v>
      </c>
      <c r="B29" t="s">
        <v>30</v>
      </c>
      <c r="G29">
        <f>'Form 42 5A'!V21</f>
        <v>14627568.43</v>
      </c>
      <c r="H29">
        <f>+H23</f>
        <v>15428715</v>
      </c>
      <c r="I29">
        <f>+G29-H29</f>
        <v>-801146.5700000003</v>
      </c>
      <c r="J29" s="138">
        <f>(+I29/H29)</f>
        <v>-0.05192568337674267</v>
      </c>
    </row>
    <row r="31" ht="15.75">
      <c r="A31" s="12"/>
    </row>
    <row r="33" ht="15">
      <c r="A33" t="s">
        <v>31</v>
      </c>
    </row>
    <row r="34" ht="15">
      <c r="B34" t="s">
        <v>579</v>
      </c>
    </row>
    <row r="35" ht="15">
      <c r="B35" t="s">
        <v>466</v>
      </c>
    </row>
    <row r="36" ht="15">
      <c r="B36" t="s">
        <v>467</v>
      </c>
    </row>
    <row r="37" ht="15">
      <c r="B37" s="75" t="s">
        <v>468</v>
      </c>
    </row>
    <row r="47" spans="7:11" ht="15">
      <c r="G47" s="16"/>
      <c r="H47" s="16"/>
      <c r="I47" s="16"/>
      <c r="J47" s="91"/>
      <c r="K47" s="16"/>
    </row>
    <row r="48" spans="7:11" ht="15">
      <c r="G48" s="16"/>
      <c r="H48" s="16"/>
      <c r="I48" s="16"/>
      <c r="J48" s="91"/>
      <c r="K48" s="16"/>
    </row>
    <row r="49" spans="7:11" ht="15">
      <c r="G49" s="16"/>
      <c r="H49" s="16"/>
      <c r="I49" s="16"/>
      <c r="J49" s="91"/>
      <c r="K49" s="16"/>
    </row>
    <row r="50" spans="7:11" ht="15">
      <c r="G50" s="16"/>
      <c r="H50" s="16"/>
      <c r="I50" s="16"/>
      <c r="J50" s="91"/>
      <c r="K50" s="16"/>
    </row>
    <row r="51" spans="7:11" ht="15">
      <c r="G51" s="16"/>
      <c r="H51" s="16"/>
      <c r="I51" s="16"/>
      <c r="J51" s="91"/>
      <c r="K51" s="16"/>
    </row>
  </sheetData>
  <mergeCells count="7">
    <mergeCell ref="C20:F20"/>
    <mergeCell ref="A6:K6"/>
    <mergeCell ref="I11:J11"/>
    <mergeCell ref="C16:F16"/>
    <mergeCell ref="C18:F18"/>
    <mergeCell ref="C17:F17"/>
    <mergeCell ref="C19:F19"/>
  </mergeCells>
  <printOptions horizontalCentered="1"/>
  <pageMargins left="0" right="0" top="0.75" bottom="0.25" header="0.5" footer="0.5"/>
  <pageSetup horizontalDpi="300" verticalDpi="300" orientation="landscape" scale="75" r:id="rId1"/>
</worksheet>
</file>

<file path=xl/worksheets/sheet6.xml><?xml version="1.0" encoding="utf-8"?>
<worksheet xmlns="http://schemas.openxmlformats.org/spreadsheetml/2006/main" xmlns:r="http://schemas.openxmlformats.org/officeDocument/2006/relationships">
  <sheetPr codeName="Sheet5" transitionEvaluation="1"/>
  <dimension ref="A1:AA62"/>
  <sheetViews>
    <sheetView defaultGridColor="0" zoomScale="75" zoomScaleNormal="75" colorId="22" workbookViewId="0" topLeftCell="A1">
      <selection activeCell="A1" sqref="A1"/>
    </sheetView>
  </sheetViews>
  <sheetFormatPr defaultColWidth="9.77734375" defaultRowHeight="15"/>
  <cols>
    <col min="1" max="1" width="6.6640625" style="0" customWidth="1"/>
    <col min="2" max="2" width="4.88671875" style="0" customWidth="1"/>
    <col min="6" max="6" width="14.6640625" style="0" customWidth="1"/>
    <col min="7" max="7" width="3.10546875" style="0" customWidth="1"/>
    <col min="8" max="12" width="12.77734375" style="0" customWidth="1"/>
    <col min="13" max="19" width="14.3359375" style="0" customWidth="1"/>
    <col min="20" max="20" width="12.77734375" style="0" customWidth="1"/>
    <col min="21" max="21" width="2.3359375" style="0" customWidth="1"/>
    <col min="22" max="22" width="12.5546875" style="0" customWidth="1"/>
    <col min="23" max="23" width="10.5546875" style="0" customWidth="1"/>
    <col min="24" max="24" width="13.99609375" style="0" customWidth="1"/>
    <col min="25" max="26" width="12.77734375" style="0" customWidth="1"/>
    <col min="27" max="31" width="9.77734375" style="0" customWidth="1"/>
    <col min="32" max="38" width="12.77734375" style="0" customWidth="1"/>
  </cols>
  <sheetData>
    <row r="1" spans="1:21" ht="15.75">
      <c r="A1" s="8" t="str">
        <f>Appendix!A11</f>
        <v>PROGRESS ENERGY FLORIDA, INC.</v>
      </c>
      <c r="B1" s="18"/>
      <c r="C1" s="18"/>
      <c r="D1" s="18"/>
      <c r="E1" s="18"/>
      <c r="F1" s="18"/>
      <c r="G1" s="18"/>
      <c r="H1" s="18"/>
      <c r="I1" s="18"/>
      <c r="J1" s="18"/>
      <c r="K1" s="18"/>
      <c r="L1" s="18"/>
      <c r="M1" s="18"/>
      <c r="N1" s="18"/>
      <c r="O1" s="18"/>
      <c r="P1" s="18"/>
      <c r="Q1" s="18"/>
      <c r="R1" s="18"/>
      <c r="S1" s="18"/>
      <c r="T1" s="31" t="s">
        <v>571</v>
      </c>
      <c r="U1" s="2"/>
    </row>
    <row r="2" spans="1:20" ht="15">
      <c r="A2" s="2" t="s">
        <v>0</v>
      </c>
      <c r="B2" s="2"/>
      <c r="C2" s="2"/>
      <c r="D2" s="2"/>
      <c r="E2" s="2"/>
      <c r="F2" s="2"/>
      <c r="G2" s="2"/>
      <c r="H2" s="2"/>
      <c r="I2" s="2"/>
      <c r="J2" s="2"/>
      <c r="K2" s="2"/>
      <c r="L2" s="2"/>
      <c r="M2" s="2"/>
      <c r="N2" s="2"/>
      <c r="O2" s="2"/>
      <c r="P2" s="2"/>
      <c r="Q2" s="2"/>
      <c r="R2" s="2"/>
      <c r="S2" s="2"/>
      <c r="T2" s="30"/>
    </row>
    <row r="3" spans="1:19" ht="15">
      <c r="A3" s="2" t="str">
        <f>'Form 42 -1A'!A3:I3</f>
        <v>Calculation of the Final True-up Amount</v>
      </c>
      <c r="B3" s="9"/>
      <c r="C3" s="9"/>
      <c r="D3" s="9"/>
      <c r="E3" s="9"/>
      <c r="F3" s="9"/>
      <c r="G3" s="9"/>
      <c r="H3" s="9"/>
      <c r="I3" s="18"/>
      <c r="J3" s="18"/>
      <c r="K3" s="18"/>
      <c r="L3" s="18"/>
      <c r="M3" s="18"/>
      <c r="N3" s="18"/>
      <c r="O3" s="18"/>
      <c r="P3" s="18"/>
      <c r="Q3" s="18"/>
      <c r="R3" s="18"/>
      <c r="S3" s="18"/>
    </row>
    <row r="4" spans="1:19" ht="15.75">
      <c r="A4" s="11" t="str">
        <f>'Form 42 -1A'!A4</f>
        <v>January 2003 through December 2003</v>
      </c>
      <c r="B4" s="18"/>
      <c r="C4" s="18"/>
      <c r="D4" s="18"/>
      <c r="E4" s="18"/>
      <c r="F4" s="18"/>
      <c r="G4" s="18"/>
      <c r="H4" s="18"/>
      <c r="I4" s="18"/>
      <c r="J4" s="18"/>
      <c r="K4" s="18"/>
      <c r="L4" s="18"/>
      <c r="M4" s="18"/>
      <c r="N4" s="18"/>
      <c r="O4" s="18"/>
      <c r="P4" s="18"/>
      <c r="Q4" s="18"/>
      <c r="R4" s="18"/>
      <c r="S4" s="18"/>
    </row>
    <row r="5" spans="1:20" ht="15.75">
      <c r="A5" s="3" t="s">
        <v>1</v>
      </c>
      <c r="B5" s="18"/>
      <c r="C5" s="18"/>
      <c r="D5" s="18"/>
      <c r="E5" s="18"/>
      <c r="F5" s="18"/>
      <c r="G5" s="18"/>
      <c r="H5" s="18"/>
      <c r="I5" s="18"/>
      <c r="J5" s="18"/>
      <c r="K5" s="18"/>
      <c r="L5" s="18"/>
      <c r="M5" s="18"/>
      <c r="N5" s="18"/>
      <c r="O5" s="18"/>
      <c r="P5" s="18"/>
      <c r="Q5" s="18"/>
      <c r="R5" s="18"/>
      <c r="S5" s="18"/>
      <c r="T5" s="2"/>
    </row>
    <row r="6" spans="1:19" ht="15">
      <c r="A6" s="57" t="s">
        <v>32</v>
      </c>
      <c r="B6" s="18"/>
      <c r="C6" s="18"/>
      <c r="D6" s="18"/>
      <c r="E6" s="18"/>
      <c r="F6" s="18"/>
      <c r="G6" s="18"/>
      <c r="H6" s="18"/>
      <c r="I6" s="18"/>
      <c r="J6" s="18"/>
      <c r="K6" s="18"/>
      <c r="L6" s="18"/>
      <c r="M6" s="18"/>
      <c r="N6" s="18"/>
      <c r="O6" s="18"/>
      <c r="P6" s="18"/>
      <c r="Q6" s="18"/>
      <c r="R6" s="18"/>
      <c r="S6" s="18"/>
    </row>
    <row r="7" spans="1:19" ht="15">
      <c r="A7" s="18" t="s">
        <v>5</v>
      </c>
      <c r="B7" s="18"/>
      <c r="C7" s="18"/>
      <c r="D7" s="18"/>
      <c r="E7" s="18"/>
      <c r="F7" s="18"/>
      <c r="G7" s="18"/>
      <c r="H7" s="18"/>
      <c r="I7" s="18"/>
      <c r="J7" s="18"/>
      <c r="K7" s="18"/>
      <c r="L7" s="18"/>
      <c r="M7" s="18"/>
      <c r="N7" s="18"/>
      <c r="O7" s="18"/>
      <c r="P7" s="18"/>
      <c r="Q7" s="18"/>
      <c r="R7" s="18"/>
      <c r="S7" s="18"/>
    </row>
    <row r="8" spans="1:20" ht="15">
      <c r="A8" s="2"/>
      <c r="B8" s="2"/>
      <c r="C8" s="2"/>
      <c r="D8" s="2"/>
      <c r="E8" s="2"/>
      <c r="F8" s="2"/>
      <c r="G8" s="2"/>
      <c r="H8" s="2"/>
      <c r="I8" s="2"/>
      <c r="J8" s="2"/>
      <c r="K8" s="2"/>
      <c r="T8" s="29" t="s">
        <v>6</v>
      </c>
    </row>
    <row r="9" spans="1:23" ht="15">
      <c r="A9" s="1"/>
      <c r="B9" s="1"/>
      <c r="C9" s="1"/>
      <c r="D9" s="62"/>
      <c r="E9" s="64"/>
      <c r="F9" s="1"/>
      <c r="G9" s="1"/>
      <c r="H9" s="29" t="s">
        <v>561</v>
      </c>
      <c r="I9" s="29" t="s">
        <v>561</v>
      </c>
      <c r="J9" s="29" t="s">
        <v>561</v>
      </c>
      <c r="K9" s="29" t="s">
        <v>561</v>
      </c>
      <c r="L9" s="29" t="s">
        <v>561</v>
      </c>
      <c r="M9" s="29" t="s">
        <v>561</v>
      </c>
      <c r="N9" s="29" t="s">
        <v>561</v>
      </c>
      <c r="O9" s="29" t="s">
        <v>561</v>
      </c>
      <c r="P9" s="29" t="s">
        <v>561</v>
      </c>
      <c r="Q9" s="29" t="s">
        <v>561</v>
      </c>
      <c r="R9" s="29" t="s">
        <v>561</v>
      </c>
      <c r="S9" s="29" t="s">
        <v>561</v>
      </c>
      <c r="T9" s="29" t="s">
        <v>2</v>
      </c>
      <c r="V9" s="142" t="s">
        <v>576</v>
      </c>
      <c r="W9" s="142"/>
    </row>
    <row r="10" spans="1:23" ht="15.75" thickBot="1">
      <c r="A10" s="4" t="s">
        <v>3</v>
      </c>
      <c r="B10" s="1"/>
      <c r="C10" s="25" t="s">
        <v>62</v>
      </c>
      <c r="D10" s="62"/>
      <c r="E10" s="63"/>
      <c r="F10" s="64"/>
      <c r="G10" s="1"/>
      <c r="H10" s="44" t="str">
        <f>'Form 42 2A'!H10</f>
        <v>January 03</v>
      </c>
      <c r="I10" s="44" t="str">
        <f>'Form 42 2A'!I10</f>
        <v>February 03</v>
      </c>
      <c r="J10" s="44" t="str">
        <f>'Form 42 2A'!J10</f>
        <v>March 03</v>
      </c>
      <c r="K10" s="44" t="str">
        <f>'Form 42 2A'!K10</f>
        <v>April 03</v>
      </c>
      <c r="L10" s="44" t="str">
        <f>'Form 42 2A'!L10</f>
        <v>May 03</v>
      </c>
      <c r="M10" s="44" t="str">
        <f>'Form 42 2A'!M10</f>
        <v>June 03</v>
      </c>
      <c r="N10" s="44" t="str">
        <f>'Form 42 2A'!N10</f>
        <v>July 03</v>
      </c>
      <c r="O10" s="44" t="str">
        <f>'Form 42 2A'!O10</f>
        <v>August 03</v>
      </c>
      <c r="P10" s="44" t="str">
        <f>'Form 42 2A'!P10</f>
        <v>September 03</v>
      </c>
      <c r="Q10" s="44" t="str">
        <f>'Form 42 2A'!Q10</f>
        <v>October 03</v>
      </c>
      <c r="R10" s="44" t="str">
        <f>'Form 42 2A'!R10</f>
        <v>November 03</v>
      </c>
      <c r="S10" s="44" t="str">
        <f>'Form 42 2A'!S10</f>
        <v>December 03</v>
      </c>
      <c r="T10" s="45" t="s">
        <v>8</v>
      </c>
      <c r="U10" s="33"/>
      <c r="V10" s="44" t="s">
        <v>33</v>
      </c>
      <c r="W10" s="44" t="s">
        <v>34</v>
      </c>
    </row>
    <row r="12" spans="1:2" ht="15">
      <c r="A12" s="30" t="s">
        <v>35</v>
      </c>
      <c r="B12" t="s">
        <v>28</v>
      </c>
    </row>
    <row r="13" spans="1:15" ht="15">
      <c r="A13" s="30"/>
      <c r="N13" s="47"/>
      <c r="O13" s="47"/>
    </row>
    <row r="14" spans="1:25" ht="30" customHeight="1">
      <c r="A14" s="42"/>
      <c r="B14" s="93">
        <v>1</v>
      </c>
      <c r="C14" s="144" t="s">
        <v>461</v>
      </c>
      <c r="D14" s="144"/>
      <c r="E14" s="144"/>
      <c r="F14" s="144"/>
      <c r="H14" s="47">
        <v>7006.57</v>
      </c>
      <c r="I14" s="47">
        <v>28334.72</v>
      </c>
      <c r="J14" s="47">
        <v>62720.83</v>
      </c>
      <c r="K14" s="47">
        <v>190840.33</v>
      </c>
      <c r="L14" s="47">
        <f>193840.33+-190840.33+49834.94</f>
        <v>52834.94</v>
      </c>
      <c r="M14" s="47">
        <f>+-214.74</f>
        <v>-214.74</v>
      </c>
      <c r="N14" s="47">
        <f>6113.28+-5957+-18512.86+-441</f>
        <v>-18797.58</v>
      </c>
      <c r="O14" s="47">
        <f>-SUM(H14:N14)+345563.28-27698.89+7217.83</f>
        <v>2357.1500000000797</v>
      </c>
      <c r="P14" s="47">
        <v>97379.03</v>
      </c>
      <c r="Q14" s="47">
        <v>4002.47</v>
      </c>
      <c r="R14" s="47">
        <v>83239.43</v>
      </c>
      <c r="S14" s="47">
        <f>72007.38+-36.71</f>
        <v>71970.67</v>
      </c>
      <c r="T14" s="13">
        <f>SUM(H14:S14)</f>
        <v>581673.82</v>
      </c>
      <c r="V14" s="132">
        <f>+T14</f>
        <v>581673.82</v>
      </c>
      <c r="W14" s="78">
        <v>0</v>
      </c>
      <c r="X14" t="s">
        <v>478</v>
      </c>
      <c r="Y14" s="5" t="s">
        <v>479</v>
      </c>
    </row>
    <row r="15" spans="1:25" ht="45.75" customHeight="1">
      <c r="A15" s="30"/>
      <c r="B15" s="95" t="s">
        <v>462</v>
      </c>
      <c r="C15" s="144" t="s">
        <v>463</v>
      </c>
      <c r="D15" s="144"/>
      <c r="E15" s="144"/>
      <c r="F15" s="144"/>
      <c r="H15" s="13">
        <v>-2083</v>
      </c>
      <c r="I15" s="13">
        <v>-2083</v>
      </c>
      <c r="J15" s="13">
        <v>-2083</v>
      </c>
      <c r="K15" s="13">
        <v>-2083</v>
      </c>
      <c r="L15" s="13">
        <v>-2083</v>
      </c>
      <c r="M15" s="13">
        <v>-2083</v>
      </c>
      <c r="N15" s="13">
        <v>-2083</v>
      </c>
      <c r="O15" s="13">
        <v>-2083</v>
      </c>
      <c r="P15" s="13">
        <v>-2083</v>
      </c>
      <c r="Q15" s="13">
        <f>-2083+-1</f>
        <v>-2084</v>
      </c>
      <c r="R15" s="13">
        <v>-2083</v>
      </c>
      <c r="S15" s="13">
        <f>-2083+-3</f>
        <v>-2086</v>
      </c>
      <c r="T15" s="13">
        <f>SUM(H15:S15)</f>
        <v>-25000</v>
      </c>
      <c r="V15" s="132">
        <f>+T15</f>
        <v>-25000</v>
      </c>
      <c r="W15" s="78">
        <v>0</v>
      </c>
      <c r="X15" t="s">
        <v>478</v>
      </c>
      <c r="Y15" s="5" t="s">
        <v>479</v>
      </c>
    </row>
    <row r="16" spans="1:25" ht="29.25" customHeight="1">
      <c r="A16" s="1"/>
      <c r="B16" s="94">
        <v>2</v>
      </c>
      <c r="C16" s="146" t="s">
        <v>464</v>
      </c>
      <c r="D16" s="146"/>
      <c r="E16" s="146"/>
      <c r="F16" s="146"/>
      <c r="G16" s="1"/>
      <c r="H16" s="84">
        <f>2408.62+2055.78+-945.84+47.05</f>
        <v>3565.6099999999997</v>
      </c>
      <c r="I16" s="84">
        <f>83326.27+-215.36+-2720.25+-5034.5</f>
        <v>75356.16</v>
      </c>
      <c r="J16" s="84">
        <f>60981.58+-5320.19+-5349.5+-2354.5+-2294.35</f>
        <v>45663.04</v>
      </c>
      <c r="K16" s="84">
        <v>265885.22</v>
      </c>
      <c r="L16" s="84">
        <v>486037.84</v>
      </c>
      <c r="M16" s="84">
        <f>1840496.04</f>
        <v>1840496.04</v>
      </c>
      <c r="N16" s="84">
        <f>1292697.38+-9071.96+-6204+-246.1+-1679</f>
        <v>1275496.3199999998</v>
      </c>
      <c r="O16" s="47">
        <f>-SUM(H16:N16)+5518310.74-12437.64+18364.73</f>
        <v>1531737.6000000003</v>
      </c>
      <c r="P16" s="47">
        <f>2063949.43+4416.26+-3287.69+-43543.22+-58603.38+-9839.75+-3069.34</f>
        <v>1950022.31</v>
      </c>
      <c r="Q16" s="47">
        <f>3615869.35+-28745.4</f>
        <v>3587123.95</v>
      </c>
      <c r="R16" s="47">
        <f>2094949.21+-37145.37</f>
        <v>2057803.8399999999</v>
      </c>
      <c r="S16" s="47">
        <f>976508.31+-24801.63</f>
        <v>951706.68</v>
      </c>
      <c r="T16" s="85">
        <f>SUM(H16:S16)</f>
        <v>14070894.61</v>
      </c>
      <c r="V16" s="78">
        <f>+T16</f>
        <v>14070894.61</v>
      </c>
      <c r="W16" s="78">
        <v>0</v>
      </c>
      <c r="X16" t="s">
        <v>480</v>
      </c>
      <c r="Y16" s="5" t="s">
        <v>481</v>
      </c>
    </row>
    <row r="17" spans="1:25" ht="29.25" customHeight="1">
      <c r="A17" s="1"/>
      <c r="B17" s="95" t="s">
        <v>486</v>
      </c>
      <c r="C17" s="146" t="s">
        <v>483</v>
      </c>
      <c r="D17" s="146"/>
      <c r="E17" s="146"/>
      <c r="F17" s="146"/>
      <c r="G17" s="1"/>
      <c r="H17" s="84">
        <v>0</v>
      </c>
      <c r="I17" s="84">
        <v>0</v>
      </c>
      <c r="J17" s="84">
        <v>0</v>
      </c>
      <c r="K17" s="84">
        <v>0</v>
      </c>
      <c r="L17" s="84">
        <v>0</v>
      </c>
      <c r="M17" s="84">
        <v>0</v>
      </c>
      <c r="N17" s="47">
        <v>0</v>
      </c>
      <c r="O17" s="47">
        <v>0</v>
      </c>
      <c r="P17" s="47">
        <v>0</v>
      </c>
      <c r="Q17" s="47">
        <v>0</v>
      </c>
      <c r="R17" s="47">
        <v>0</v>
      </c>
      <c r="S17" s="47">
        <v>0</v>
      </c>
      <c r="T17" s="85">
        <f>SUM(H17:S17)</f>
        <v>0</v>
      </c>
      <c r="V17" s="133">
        <v>0</v>
      </c>
      <c r="W17" s="133">
        <f>T17</f>
        <v>0</v>
      </c>
      <c r="X17" t="s">
        <v>485</v>
      </c>
      <c r="Y17" s="5" t="s">
        <v>484</v>
      </c>
    </row>
    <row r="18" spans="1:25" ht="15">
      <c r="A18" s="1"/>
      <c r="B18" s="95">
        <v>4</v>
      </c>
      <c r="C18" s="144" t="s">
        <v>514</v>
      </c>
      <c r="D18" s="144"/>
      <c r="E18" s="144"/>
      <c r="F18" s="144"/>
      <c r="G18" s="1"/>
      <c r="H18" s="84">
        <v>0</v>
      </c>
      <c r="I18" s="84">
        <v>0</v>
      </c>
      <c r="J18" s="84">
        <v>0</v>
      </c>
      <c r="K18" s="84">
        <v>0</v>
      </c>
      <c r="L18" s="84">
        <v>0</v>
      </c>
      <c r="M18" s="84">
        <v>0</v>
      </c>
      <c r="N18" s="47">
        <v>0</v>
      </c>
      <c r="O18" s="47">
        <v>0</v>
      </c>
      <c r="P18" s="47">
        <v>0</v>
      </c>
      <c r="Q18" s="47">
        <v>0</v>
      </c>
      <c r="R18" s="47">
        <v>0</v>
      </c>
      <c r="S18" s="47">
        <v>0</v>
      </c>
      <c r="T18" s="85">
        <f>SUM(H18:S18)</f>
        <v>0</v>
      </c>
      <c r="V18" s="133">
        <f>+T18</f>
        <v>0</v>
      </c>
      <c r="W18" s="133">
        <v>0</v>
      </c>
      <c r="X18" t="s">
        <v>485</v>
      </c>
      <c r="Y18" s="5" t="s">
        <v>484</v>
      </c>
    </row>
    <row r="19" spans="22:23" ht="15">
      <c r="V19" s="78"/>
      <c r="W19" s="78"/>
    </row>
    <row r="20" spans="8:25" ht="15">
      <c r="H20" s="86"/>
      <c r="I20" s="86"/>
      <c r="J20" s="86"/>
      <c r="K20" s="86"/>
      <c r="L20" s="86"/>
      <c r="M20" s="86"/>
      <c r="N20" s="86"/>
      <c r="O20" s="86"/>
      <c r="P20" s="86"/>
      <c r="Q20" s="86"/>
      <c r="R20" s="86"/>
      <c r="S20" s="86"/>
      <c r="T20" s="86"/>
      <c r="V20" s="134"/>
      <c r="W20" s="134"/>
      <c r="X20" s="40"/>
      <c r="Y20" s="40"/>
    </row>
    <row r="21" spans="1:25" ht="15">
      <c r="A21" s="30" t="s">
        <v>36</v>
      </c>
      <c r="B21" s="1" t="s">
        <v>37</v>
      </c>
      <c r="C21" s="1"/>
      <c r="D21" s="1"/>
      <c r="E21" s="1"/>
      <c r="F21" s="1"/>
      <c r="G21" s="1"/>
      <c r="H21" s="16">
        <f aca="true" t="shared" si="0" ref="H21:T21">SUM(H14:H20)</f>
        <v>8489.18</v>
      </c>
      <c r="I21" s="16">
        <f t="shared" si="0"/>
        <v>101607.88</v>
      </c>
      <c r="J21" s="16">
        <f t="shared" si="0"/>
        <v>106300.87</v>
      </c>
      <c r="K21" s="16">
        <f t="shared" si="0"/>
        <v>454642.54999999993</v>
      </c>
      <c r="L21" s="16">
        <f t="shared" si="0"/>
        <v>536789.78</v>
      </c>
      <c r="M21" s="16">
        <f t="shared" si="0"/>
        <v>1838198.3</v>
      </c>
      <c r="N21" s="16">
        <f t="shared" si="0"/>
        <v>1254615.7399999998</v>
      </c>
      <c r="O21" s="16">
        <f t="shared" si="0"/>
        <v>1532011.7500000005</v>
      </c>
      <c r="P21" s="16">
        <f t="shared" si="0"/>
        <v>2045318.34</v>
      </c>
      <c r="Q21" s="16">
        <f t="shared" si="0"/>
        <v>3589042.4200000004</v>
      </c>
      <c r="R21" s="16">
        <f t="shared" si="0"/>
        <v>2138960.27</v>
      </c>
      <c r="S21" s="16">
        <f t="shared" si="0"/>
        <v>1021591.3500000001</v>
      </c>
      <c r="T21" s="16">
        <f t="shared" si="0"/>
        <v>14627568.43</v>
      </c>
      <c r="U21" s="16"/>
      <c r="V21" s="132">
        <f>SUM(V14:V20)</f>
        <v>14627568.43</v>
      </c>
      <c r="W21" s="132">
        <f>SUM(W14:W20)</f>
        <v>0</v>
      </c>
      <c r="X21" s="16"/>
      <c r="Y21" s="16"/>
    </row>
    <row r="22" spans="1:25" ht="15">
      <c r="A22" s="1"/>
      <c r="B22" s="41"/>
      <c r="C22" s="1"/>
      <c r="D22" s="1"/>
      <c r="E22" s="1"/>
      <c r="F22" s="1"/>
      <c r="G22" s="1"/>
      <c r="H22" s="16"/>
      <c r="I22" s="16"/>
      <c r="J22" s="16"/>
      <c r="K22" s="16"/>
      <c r="L22" s="16"/>
      <c r="M22" s="16"/>
      <c r="N22" s="16"/>
      <c r="O22" s="16"/>
      <c r="P22" s="16"/>
      <c r="Q22" s="16"/>
      <c r="R22" s="16"/>
      <c r="S22" s="16"/>
      <c r="T22" s="16"/>
      <c r="V22" s="132"/>
      <c r="W22" s="132"/>
      <c r="X22" s="16"/>
      <c r="Y22" s="16"/>
    </row>
    <row r="23" spans="1:25" ht="15">
      <c r="A23" s="30" t="s">
        <v>38</v>
      </c>
      <c r="B23" s="1" t="s">
        <v>469</v>
      </c>
      <c r="C23" s="1"/>
      <c r="D23" s="1"/>
      <c r="E23" s="1"/>
      <c r="F23" s="1"/>
      <c r="G23" s="1"/>
      <c r="H23" s="136">
        <f>H17+H18</f>
        <v>0</v>
      </c>
      <c r="I23" s="136">
        <f aca="true" t="shared" si="1" ref="I23:S23">I17+I18</f>
        <v>0</v>
      </c>
      <c r="J23" s="136">
        <f t="shared" si="1"/>
        <v>0</v>
      </c>
      <c r="K23" s="136">
        <f t="shared" si="1"/>
        <v>0</v>
      </c>
      <c r="L23" s="136">
        <f t="shared" si="1"/>
        <v>0</v>
      </c>
      <c r="M23" s="136">
        <f t="shared" si="1"/>
        <v>0</v>
      </c>
      <c r="N23" s="136">
        <f t="shared" si="1"/>
        <v>0</v>
      </c>
      <c r="O23" s="136">
        <f t="shared" si="1"/>
        <v>0</v>
      </c>
      <c r="P23" s="136">
        <f t="shared" si="1"/>
        <v>0</v>
      </c>
      <c r="Q23" s="136">
        <f t="shared" si="1"/>
        <v>0</v>
      </c>
      <c r="R23" s="136">
        <f t="shared" si="1"/>
        <v>0</v>
      </c>
      <c r="S23" s="136">
        <f t="shared" si="1"/>
        <v>0</v>
      </c>
      <c r="T23" s="13">
        <f>SUM(H23:S23)</f>
        <v>0</v>
      </c>
      <c r="V23" s="132"/>
      <c r="W23" s="132"/>
      <c r="X23" s="16"/>
      <c r="Y23" s="16"/>
    </row>
    <row r="24" spans="1:25" ht="15">
      <c r="A24" s="31"/>
      <c r="B24" s="1"/>
      <c r="C24" s="1"/>
      <c r="D24" s="1"/>
      <c r="E24" s="1"/>
      <c r="F24" s="1"/>
      <c r="G24" s="1"/>
      <c r="H24" s="87"/>
      <c r="I24" s="16"/>
      <c r="J24" s="16"/>
      <c r="K24" s="16"/>
      <c r="L24" s="16"/>
      <c r="M24" s="16"/>
      <c r="N24" s="16"/>
      <c r="O24" s="16"/>
      <c r="P24" s="16"/>
      <c r="Q24" s="16"/>
      <c r="R24" s="16"/>
      <c r="S24" s="16"/>
      <c r="T24" s="13"/>
      <c r="V24" s="16"/>
      <c r="W24" s="16"/>
      <c r="X24" s="16"/>
      <c r="Y24" s="16"/>
    </row>
    <row r="25" spans="1:25" ht="15">
      <c r="A25" s="30" t="s">
        <v>39</v>
      </c>
      <c r="B25" s="1" t="s">
        <v>470</v>
      </c>
      <c r="C25" s="1"/>
      <c r="D25" s="1"/>
      <c r="E25" s="1"/>
      <c r="F25" s="1"/>
      <c r="G25" s="1"/>
      <c r="H25" s="16">
        <f>+H14+H15</f>
        <v>4923.57</v>
      </c>
      <c r="I25" s="16">
        <f aca="true" t="shared" si="2" ref="I25:S25">+I14+I15</f>
        <v>26251.72</v>
      </c>
      <c r="J25" s="16">
        <f t="shared" si="2"/>
        <v>60637.83</v>
      </c>
      <c r="K25" s="16">
        <f t="shared" si="2"/>
        <v>188757.33</v>
      </c>
      <c r="L25" s="16">
        <f t="shared" si="2"/>
        <v>50751.94</v>
      </c>
      <c r="M25" s="16">
        <f t="shared" si="2"/>
        <v>-2297.74</v>
      </c>
      <c r="N25" s="16">
        <f t="shared" si="2"/>
        <v>-20880.58</v>
      </c>
      <c r="O25" s="16">
        <f t="shared" si="2"/>
        <v>274.1500000000797</v>
      </c>
      <c r="P25" s="16">
        <f t="shared" si="2"/>
        <v>95296.03</v>
      </c>
      <c r="Q25" s="16">
        <f t="shared" si="2"/>
        <v>1918.4699999999998</v>
      </c>
      <c r="R25" s="16">
        <f t="shared" si="2"/>
        <v>81156.43</v>
      </c>
      <c r="S25" s="16">
        <f t="shared" si="2"/>
        <v>69884.67</v>
      </c>
      <c r="T25" s="13">
        <f>SUM(H25:S25)</f>
        <v>556673.82</v>
      </c>
      <c r="V25" s="16"/>
      <c r="W25" s="16"/>
      <c r="X25" s="16"/>
      <c r="Y25" s="16"/>
    </row>
    <row r="26" spans="1:25" ht="15">
      <c r="A26" s="31"/>
      <c r="B26" s="1" t="s">
        <v>471</v>
      </c>
      <c r="C26" s="1"/>
      <c r="D26" s="1"/>
      <c r="E26" s="1"/>
      <c r="F26" s="1"/>
      <c r="G26" s="1"/>
      <c r="H26" s="16">
        <f>+H16</f>
        <v>3565.6099999999997</v>
      </c>
      <c r="I26" s="16">
        <f aca="true" t="shared" si="3" ref="I26:S26">+I16</f>
        <v>75356.16</v>
      </c>
      <c r="J26" s="16">
        <f t="shared" si="3"/>
        <v>45663.04</v>
      </c>
      <c r="K26" s="16">
        <f t="shared" si="3"/>
        <v>265885.22</v>
      </c>
      <c r="L26" s="16">
        <f t="shared" si="3"/>
        <v>486037.84</v>
      </c>
      <c r="M26" s="16">
        <f t="shared" si="3"/>
        <v>1840496.04</v>
      </c>
      <c r="N26" s="16">
        <f t="shared" si="3"/>
        <v>1275496.3199999998</v>
      </c>
      <c r="O26" s="16">
        <f t="shared" si="3"/>
        <v>1531737.6000000003</v>
      </c>
      <c r="P26" s="16">
        <f t="shared" si="3"/>
        <v>1950022.31</v>
      </c>
      <c r="Q26" s="16">
        <f t="shared" si="3"/>
        <v>3587123.95</v>
      </c>
      <c r="R26" s="16">
        <f t="shared" si="3"/>
        <v>2057803.8399999999</v>
      </c>
      <c r="S26" s="16">
        <f t="shared" si="3"/>
        <v>951706.68</v>
      </c>
      <c r="T26" s="13">
        <f>SUM(H26:S26)</f>
        <v>14070894.61</v>
      </c>
      <c r="V26" s="16"/>
      <c r="W26" s="16"/>
      <c r="X26" s="16"/>
      <c r="Y26" s="16"/>
    </row>
    <row r="27" spans="1:25" ht="15">
      <c r="A27" s="31"/>
      <c r="B27" s="1" t="s">
        <v>575</v>
      </c>
      <c r="C27" s="1"/>
      <c r="D27" s="1"/>
      <c r="E27" s="1"/>
      <c r="F27" s="1"/>
      <c r="G27" s="1"/>
      <c r="H27" s="16">
        <v>0</v>
      </c>
      <c r="I27" s="16">
        <v>0</v>
      </c>
      <c r="J27" s="16">
        <v>0</v>
      </c>
      <c r="K27" s="16">
        <v>0</v>
      </c>
      <c r="L27" s="16">
        <v>0</v>
      </c>
      <c r="M27" s="16">
        <v>0</v>
      </c>
      <c r="N27" s="16">
        <v>0</v>
      </c>
      <c r="O27" s="16">
        <v>0</v>
      </c>
      <c r="P27" s="16">
        <v>0</v>
      </c>
      <c r="Q27" s="16">
        <v>0</v>
      </c>
      <c r="R27" s="16">
        <v>0</v>
      </c>
      <c r="S27" s="16">
        <v>0</v>
      </c>
      <c r="T27" s="13">
        <f>SUM(H27:S27)</f>
        <v>0</v>
      </c>
      <c r="V27" s="16"/>
      <c r="W27" s="16"/>
      <c r="X27" s="16"/>
      <c r="Y27" s="16"/>
    </row>
    <row r="28" spans="1:25" ht="15">
      <c r="A28" s="31"/>
      <c r="B28" s="1"/>
      <c r="C28" s="1"/>
      <c r="D28" s="1"/>
      <c r="E28" s="1"/>
      <c r="F28" s="1"/>
      <c r="G28" s="1"/>
      <c r="H28" s="16"/>
      <c r="I28" s="16"/>
      <c r="J28" s="16"/>
      <c r="K28" s="16"/>
      <c r="L28" s="16"/>
      <c r="M28" s="16"/>
      <c r="N28" s="16"/>
      <c r="O28" s="16"/>
      <c r="P28" s="16"/>
      <c r="Q28" s="16"/>
      <c r="R28" s="16"/>
      <c r="S28" s="16"/>
      <c r="T28" s="13"/>
      <c r="V28" s="16"/>
      <c r="W28" s="16"/>
      <c r="X28" s="16"/>
      <c r="Y28" s="16"/>
    </row>
    <row r="29" spans="1:25" ht="15">
      <c r="A29" s="99" t="s">
        <v>40</v>
      </c>
      <c r="B29" s="1" t="s">
        <v>472</v>
      </c>
      <c r="C29" s="1"/>
      <c r="D29" s="1"/>
      <c r="E29" s="1"/>
      <c r="F29" s="1"/>
      <c r="G29" s="1"/>
      <c r="H29" s="88">
        <f>'[2]GEN EXP ADJ'!$E$15</f>
        <v>0.984</v>
      </c>
      <c r="I29" s="88">
        <f>'[3]GEN EXP ADJ'!$E$15</f>
        <v>0.9743</v>
      </c>
      <c r="J29" s="88">
        <f>'[4]GEN EXP ADJ'!$E$15</f>
        <v>0.9754</v>
      </c>
      <c r="K29" s="88">
        <f>'[5]GEN EXP ADJ'!$E$15</f>
        <v>0.9757</v>
      </c>
      <c r="L29" s="88">
        <f>'[6]GEN EXP ADJ'!$E$15</f>
        <v>0.98</v>
      </c>
      <c r="M29" s="88">
        <f>'[1]GEN EXP ADJ'!$E$15</f>
        <v>0.9768</v>
      </c>
      <c r="N29" s="88">
        <f>'[7]GEN EXP ADJ'!$E$15</f>
        <v>0.9794</v>
      </c>
      <c r="O29" s="88">
        <f>'[8]GEN EXP ADJ'!$E$15</f>
        <v>0.9765</v>
      </c>
      <c r="P29" s="88">
        <f>'[9]GEN EXP ADJ'!$E$15</f>
        <v>0.9777</v>
      </c>
      <c r="Q29" s="88">
        <f>'[10]GEN EXP ADJ'!$N$22</f>
        <v>0.9751</v>
      </c>
      <c r="R29" s="88">
        <f>'[11]GEN EXP ADJ'!$O$22</f>
        <v>0.9749</v>
      </c>
      <c r="S29" s="88">
        <f>'[12]GEN EXP ADJ'!$P$22</f>
        <v>0.9825</v>
      </c>
      <c r="T29" s="24"/>
      <c r="V29" s="24"/>
      <c r="W29" s="24"/>
      <c r="X29" s="24"/>
      <c r="Y29" s="24"/>
    </row>
    <row r="30" spans="2:25" ht="15">
      <c r="B30" s="1"/>
      <c r="C30" s="1"/>
      <c r="D30" s="1"/>
      <c r="E30" s="1"/>
      <c r="F30" s="1"/>
      <c r="G30" s="69"/>
      <c r="H30" s="89"/>
      <c r="I30" s="89"/>
      <c r="J30" s="89"/>
      <c r="K30" s="89"/>
      <c r="L30" s="89"/>
      <c r="M30" s="89"/>
      <c r="N30" s="89"/>
      <c r="O30" s="89"/>
      <c r="P30" s="89"/>
      <c r="Q30" s="89"/>
      <c r="R30" s="89"/>
      <c r="S30" s="89"/>
      <c r="T30" s="24"/>
      <c r="V30" s="24"/>
      <c r="W30" s="24"/>
      <c r="X30" s="24"/>
      <c r="Y30" s="24"/>
    </row>
    <row r="31" spans="1:25" ht="15">
      <c r="A31" s="101" t="s">
        <v>42</v>
      </c>
      <c r="B31" s="1" t="s">
        <v>473</v>
      </c>
      <c r="C31" s="1"/>
      <c r="D31" s="1"/>
      <c r="E31" s="1"/>
      <c r="F31" s="1"/>
      <c r="G31" s="1"/>
      <c r="H31" s="88">
        <v>0.72115</v>
      </c>
      <c r="I31" s="89">
        <f aca="true" t="shared" si="4" ref="I31:S32">+$H31</f>
        <v>0.72115</v>
      </c>
      <c r="J31" s="89">
        <f t="shared" si="4"/>
        <v>0.72115</v>
      </c>
      <c r="K31" s="89">
        <f t="shared" si="4"/>
        <v>0.72115</v>
      </c>
      <c r="L31" s="89">
        <f t="shared" si="4"/>
        <v>0.72115</v>
      </c>
      <c r="M31" s="89">
        <f t="shared" si="4"/>
        <v>0.72115</v>
      </c>
      <c r="N31" s="89">
        <f t="shared" si="4"/>
        <v>0.72115</v>
      </c>
      <c r="O31" s="89">
        <f t="shared" si="4"/>
        <v>0.72115</v>
      </c>
      <c r="P31" s="89">
        <f t="shared" si="4"/>
        <v>0.72115</v>
      </c>
      <c r="Q31" s="89">
        <f t="shared" si="4"/>
        <v>0.72115</v>
      </c>
      <c r="R31" s="89">
        <f t="shared" si="4"/>
        <v>0.72115</v>
      </c>
      <c r="S31" s="89">
        <f t="shared" si="4"/>
        <v>0.72115</v>
      </c>
      <c r="T31" s="24"/>
      <c r="V31" s="24"/>
      <c r="W31" s="24"/>
      <c r="X31" s="24"/>
      <c r="Y31" s="24"/>
    </row>
    <row r="32" spans="1:25" ht="15">
      <c r="A32" s="31"/>
      <c r="B32" s="1" t="s">
        <v>474</v>
      </c>
      <c r="H32" s="88">
        <v>0.99529</v>
      </c>
      <c r="I32" s="89">
        <f t="shared" si="4"/>
        <v>0.99529</v>
      </c>
      <c r="J32" s="89">
        <f t="shared" si="4"/>
        <v>0.99529</v>
      </c>
      <c r="K32" s="89">
        <f t="shared" si="4"/>
        <v>0.99529</v>
      </c>
      <c r="L32" s="89">
        <f t="shared" si="4"/>
        <v>0.99529</v>
      </c>
      <c r="M32" s="89">
        <f t="shared" si="4"/>
        <v>0.99529</v>
      </c>
      <c r="N32" s="89">
        <f t="shared" si="4"/>
        <v>0.99529</v>
      </c>
      <c r="O32" s="89">
        <f t="shared" si="4"/>
        <v>0.99529</v>
      </c>
      <c r="P32" s="89">
        <f t="shared" si="4"/>
        <v>0.99529</v>
      </c>
      <c r="Q32" s="89">
        <f t="shared" si="4"/>
        <v>0.99529</v>
      </c>
      <c r="R32" s="89">
        <f t="shared" si="4"/>
        <v>0.99529</v>
      </c>
      <c r="S32" s="89">
        <f t="shared" si="4"/>
        <v>0.99529</v>
      </c>
      <c r="T32" s="24"/>
      <c r="V32" s="37"/>
      <c r="W32" s="37"/>
      <c r="X32" s="37"/>
      <c r="Y32" s="24"/>
    </row>
    <row r="33" spans="1:25" ht="15">
      <c r="A33" s="31"/>
      <c r="B33" s="1" t="s">
        <v>588</v>
      </c>
      <c r="H33" s="88">
        <v>0.86574</v>
      </c>
      <c r="I33" s="88">
        <v>0.86574</v>
      </c>
      <c r="J33" s="88">
        <v>0.86574</v>
      </c>
      <c r="K33" s="88">
        <v>0.86574</v>
      </c>
      <c r="L33" s="88">
        <v>0.86574</v>
      </c>
      <c r="M33" s="88">
        <v>0.86574</v>
      </c>
      <c r="N33" s="88">
        <v>0.86574</v>
      </c>
      <c r="O33" s="88">
        <v>0.86574</v>
      </c>
      <c r="P33" s="88">
        <v>0.86574</v>
      </c>
      <c r="Q33" s="88">
        <v>0.86574</v>
      </c>
      <c r="R33" s="88">
        <v>0.86574</v>
      </c>
      <c r="S33" s="135">
        <v>0.86574</v>
      </c>
      <c r="T33" s="24"/>
      <c r="V33" s="37"/>
      <c r="W33" s="37"/>
      <c r="X33" s="37"/>
      <c r="Y33" s="24"/>
    </row>
    <row r="34" spans="1:7" ht="15">
      <c r="A34" s="1"/>
      <c r="B34" s="41"/>
      <c r="C34" s="1"/>
      <c r="D34" s="1"/>
      <c r="E34" s="1"/>
      <c r="F34" s="1"/>
      <c r="G34" s="1"/>
    </row>
    <row r="35" spans="1:25" ht="15">
      <c r="A35" s="31" t="s">
        <v>43</v>
      </c>
      <c r="B35" s="1" t="s">
        <v>475</v>
      </c>
      <c r="C35" s="1"/>
      <c r="D35" s="1"/>
      <c r="E35" s="1"/>
      <c r="F35" s="1"/>
      <c r="G35" s="1"/>
      <c r="H35" s="16">
        <f aca="true" t="shared" si="5" ref="H35:S35">ROUND(+H23*H29,0)</f>
        <v>0</v>
      </c>
      <c r="I35" s="16">
        <f t="shared" si="5"/>
        <v>0</v>
      </c>
      <c r="J35" s="16">
        <f t="shared" si="5"/>
        <v>0</v>
      </c>
      <c r="K35" s="16">
        <f t="shared" si="5"/>
        <v>0</v>
      </c>
      <c r="L35" s="16">
        <f t="shared" si="5"/>
        <v>0</v>
      </c>
      <c r="M35" s="16">
        <f t="shared" si="5"/>
        <v>0</v>
      </c>
      <c r="N35" s="16">
        <f t="shared" si="5"/>
        <v>0</v>
      </c>
      <c r="O35" s="16">
        <f t="shared" si="5"/>
        <v>0</v>
      </c>
      <c r="P35" s="16">
        <f t="shared" si="5"/>
        <v>0</v>
      </c>
      <c r="Q35" s="16">
        <f t="shared" si="5"/>
        <v>0</v>
      </c>
      <c r="R35" s="16">
        <f t="shared" si="5"/>
        <v>0</v>
      </c>
      <c r="S35" s="16">
        <f t="shared" si="5"/>
        <v>0</v>
      </c>
      <c r="T35" s="16">
        <f>SUM(H35:S35)</f>
        <v>0</v>
      </c>
      <c r="V35" s="16"/>
      <c r="W35" s="16"/>
      <c r="X35" s="16"/>
      <c r="Y35" s="16"/>
    </row>
    <row r="36" spans="1:25" ht="15">
      <c r="A36" s="31"/>
      <c r="B36" s="1"/>
      <c r="C36" s="1"/>
      <c r="D36" s="1"/>
      <c r="E36" s="1"/>
      <c r="F36" s="1"/>
      <c r="G36" s="1"/>
      <c r="H36" s="16"/>
      <c r="I36" s="16"/>
      <c r="J36" s="16"/>
      <c r="K36" s="16"/>
      <c r="L36" s="16"/>
      <c r="M36" s="16"/>
      <c r="N36" s="16"/>
      <c r="O36" s="16"/>
      <c r="P36" s="16"/>
      <c r="Q36" s="16"/>
      <c r="R36" s="16"/>
      <c r="S36" s="16"/>
      <c r="T36" s="16"/>
      <c r="V36" s="16"/>
      <c r="W36" s="16"/>
      <c r="X36" s="16"/>
      <c r="Y36" s="16"/>
    </row>
    <row r="37" spans="1:25" ht="15">
      <c r="A37" s="101" t="s">
        <v>44</v>
      </c>
      <c r="B37" s="1" t="s">
        <v>476</v>
      </c>
      <c r="C37" s="1"/>
      <c r="D37" s="1"/>
      <c r="E37" s="1"/>
      <c r="F37" s="1"/>
      <c r="G37" s="1"/>
      <c r="H37" s="16">
        <f aca="true" t="shared" si="6" ref="H37:S37">ROUND(+H25*H31,0)</f>
        <v>3551</v>
      </c>
      <c r="I37" s="16">
        <f t="shared" si="6"/>
        <v>18931</v>
      </c>
      <c r="J37" s="16">
        <f t="shared" si="6"/>
        <v>43729</v>
      </c>
      <c r="K37" s="16">
        <f t="shared" si="6"/>
        <v>136122</v>
      </c>
      <c r="L37" s="16">
        <f t="shared" si="6"/>
        <v>36600</v>
      </c>
      <c r="M37" s="16">
        <f t="shared" si="6"/>
        <v>-1657</v>
      </c>
      <c r="N37" s="16">
        <f t="shared" si="6"/>
        <v>-15058</v>
      </c>
      <c r="O37" s="16">
        <f t="shared" si="6"/>
        <v>198</v>
      </c>
      <c r="P37" s="16">
        <f t="shared" si="6"/>
        <v>68723</v>
      </c>
      <c r="Q37" s="16">
        <f t="shared" si="6"/>
        <v>1384</v>
      </c>
      <c r="R37" s="16">
        <f t="shared" si="6"/>
        <v>58526</v>
      </c>
      <c r="S37" s="16">
        <f t="shared" si="6"/>
        <v>50397</v>
      </c>
      <c r="T37" s="16">
        <f>SUM(H37:S37)</f>
        <v>401446</v>
      </c>
      <c r="V37" s="16"/>
      <c r="W37" s="16"/>
      <c r="X37" s="16"/>
      <c r="Y37" s="16"/>
    </row>
    <row r="38" spans="1:27" ht="15">
      <c r="A38" s="31"/>
      <c r="B38" s="1" t="s">
        <v>477</v>
      </c>
      <c r="C38" s="1"/>
      <c r="D38" s="1"/>
      <c r="E38" s="1"/>
      <c r="F38" s="1"/>
      <c r="G38" s="1"/>
      <c r="H38" s="16">
        <f aca="true" t="shared" si="7" ref="H38:S38">ROUND(+H26*H32,0)</f>
        <v>3549</v>
      </c>
      <c r="I38" s="16">
        <f t="shared" si="7"/>
        <v>75001</v>
      </c>
      <c r="J38" s="16">
        <f t="shared" si="7"/>
        <v>45448</v>
      </c>
      <c r="K38" s="16">
        <f t="shared" si="7"/>
        <v>264633</v>
      </c>
      <c r="L38" s="16">
        <f t="shared" si="7"/>
        <v>483749</v>
      </c>
      <c r="M38" s="16">
        <f t="shared" si="7"/>
        <v>1831827</v>
      </c>
      <c r="N38" s="16">
        <f t="shared" si="7"/>
        <v>1269489</v>
      </c>
      <c r="O38" s="16">
        <f t="shared" si="7"/>
        <v>1524523</v>
      </c>
      <c r="P38" s="16">
        <f t="shared" si="7"/>
        <v>1940838</v>
      </c>
      <c r="Q38" s="16">
        <f t="shared" si="7"/>
        <v>3570229</v>
      </c>
      <c r="R38" s="16">
        <f t="shared" si="7"/>
        <v>2048112</v>
      </c>
      <c r="S38" s="16">
        <f t="shared" si="7"/>
        <v>947224</v>
      </c>
      <c r="T38" s="16">
        <f>SUM(H38:S38)</f>
        <v>14004622</v>
      </c>
      <c r="V38" s="24"/>
      <c r="W38" s="24"/>
      <c r="X38" s="24"/>
      <c r="Y38" s="24"/>
      <c r="Z38" s="24"/>
      <c r="AA38" s="24"/>
    </row>
    <row r="39" spans="1:27" ht="15">
      <c r="A39" s="31"/>
      <c r="B39" s="1" t="s">
        <v>589</v>
      </c>
      <c r="C39" s="1"/>
      <c r="D39" s="1"/>
      <c r="E39" s="1"/>
      <c r="F39" s="1"/>
      <c r="G39" s="1"/>
      <c r="H39" s="16">
        <f aca="true" t="shared" si="8" ref="H39:S39">ROUND(+H27*H33,0)</f>
        <v>0</v>
      </c>
      <c r="I39" s="16">
        <f t="shared" si="8"/>
        <v>0</v>
      </c>
      <c r="J39" s="16">
        <f t="shared" si="8"/>
        <v>0</v>
      </c>
      <c r="K39" s="16">
        <f t="shared" si="8"/>
        <v>0</v>
      </c>
      <c r="L39" s="16">
        <f t="shared" si="8"/>
        <v>0</v>
      </c>
      <c r="M39" s="16">
        <f t="shared" si="8"/>
        <v>0</v>
      </c>
      <c r="N39" s="16">
        <f t="shared" si="8"/>
        <v>0</v>
      </c>
      <c r="O39" s="16">
        <f t="shared" si="8"/>
        <v>0</v>
      </c>
      <c r="P39" s="16">
        <f t="shared" si="8"/>
        <v>0</v>
      </c>
      <c r="Q39" s="16">
        <f t="shared" si="8"/>
        <v>0</v>
      </c>
      <c r="R39" s="16">
        <f t="shared" si="8"/>
        <v>0</v>
      </c>
      <c r="S39" s="16">
        <f t="shared" si="8"/>
        <v>0</v>
      </c>
      <c r="T39" s="16">
        <f>SUM(H39:S39)</f>
        <v>0</v>
      </c>
      <c r="V39" s="24"/>
      <c r="W39" s="24"/>
      <c r="X39" s="24"/>
      <c r="Y39" s="24"/>
      <c r="Z39" s="24"/>
      <c r="AA39" s="24"/>
    </row>
    <row r="40" spans="1:27" ht="15">
      <c r="A40" s="1"/>
      <c r="B40" s="1"/>
      <c r="C40" s="1"/>
      <c r="D40" s="1"/>
      <c r="E40" s="1"/>
      <c r="F40" s="1"/>
      <c r="G40" s="1"/>
      <c r="H40" s="16"/>
      <c r="I40" s="16"/>
      <c r="J40" s="16"/>
      <c r="K40" s="16"/>
      <c r="L40" s="16"/>
      <c r="M40" s="16"/>
      <c r="N40" s="16"/>
      <c r="O40" s="16"/>
      <c r="P40" s="16"/>
      <c r="Q40" s="16"/>
      <c r="R40" s="16"/>
      <c r="S40" s="16"/>
      <c r="T40" s="16"/>
      <c r="V40" s="24"/>
      <c r="W40" s="24"/>
      <c r="X40" s="24"/>
      <c r="Y40" s="24"/>
      <c r="Z40" s="24"/>
      <c r="AA40" s="24"/>
    </row>
    <row r="41" spans="1:27" ht="15">
      <c r="A41" s="101" t="s">
        <v>45</v>
      </c>
      <c r="B41" s="1" t="s">
        <v>46</v>
      </c>
      <c r="C41" s="1"/>
      <c r="D41" s="1"/>
      <c r="E41" s="1"/>
      <c r="F41" s="1"/>
      <c r="G41" s="1"/>
      <c r="H41" s="5"/>
      <c r="I41" s="5"/>
      <c r="J41" s="5"/>
      <c r="K41" s="5"/>
      <c r="L41" s="5"/>
      <c r="M41" s="5"/>
      <c r="N41" s="5"/>
      <c r="O41" s="5"/>
      <c r="P41" s="5"/>
      <c r="Q41" s="5"/>
      <c r="R41" s="5"/>
      <c r="S41" s="5"/>
      <c r="T41" s="5"/>
      <c r="V41" s="24"/>
      <c r="W41" s="24"/>
      <c r="X41" s="24"/>
      <c r="Y41" s="24"/>
      <c r="Z41" s="24"/>
      <c r="AA41" s="24"/>
    </row>
    <row r="42" spans="1:27" ht="15.75" thickBot="1">
      <c r="A42" s="1"/>
      <c r="B42" s="1" t="s">
        <v>47</v>
      </c>
      <c r="C42" s="1"/>
      <c r="D42" s="1"/>
      <c r="E42" s="1"/>
      <c r="F42" s="1"/>
      <c r="G42" s="1"/>
      <c r="H42" s="7">
        <f>SUM(H35:H41)</f>
        <v>7100</v>
      </c>
      <c r="I42" s="7">
        <f aca="true" t="shared" si="9" ref="I42:S42">SUM(I35:I41)</f>
        <v>93932</v>
      </c>
      <c r="J42" s="7">
        <f t="shared" si="9"/>
        <v>89177</v>
      </c>
      <c r="K42" s="7">
        <f t="shared" si="9"/>
        <v>400755</v>
      </c>
      <c r="L42" s="7">
        <f t="shared" si="9"/>
        <v>520349</v>
      </c>
      <c r="M42" s="7">
        <f t="shared" si="9"/>
        <v>1830170</v>
      </c>
      <c r="N42" s="7">
        <f t="shared" si="9"/>
        <v>1254431</v>
      </c>
      <c r="O42" s="7">
        <f t="shared" si="9"/>
        <v>1524721</v>
      </c>
      <c r="P42" s="7">
        <f t="shared" si="9"/>
        <v>2009561</v>
      </c>
      <c r="Q42" s="7">
        <f t="shared" si="9"/>
        <v>3571613</v>
      </c>
      <c r="R42" s="7">
        <f t="shared" si="9"/>
        <v>2106638</v>
      </c>
      <c r="S42" s="7">
        <f t="shared" si="9"/>
        <v>997621</v>
      </c>
      <c r="T42" s="7">
        <f>SUM(H42:S42)</f>
        <v>14406068</v>
      </c>
      <c r="V42" s="24"/>
      <c r="W42" s="24"/>
      <c r="X42" s="24"/>
      <c r="Y42" s="24"/>
      <c r="Z42" s="24"/>
      <c r="AA42" s="24"/>
    </row>
    <row r="43" spans="20:23" ht="15">
      <c r="T43" s="24"/>
      <c r="V43" s="24"/>
      <c r="W43" s="24"/>
    </row>
    <row r="44" spans="1:23" ht="15">
      <c r="A44" s="30" t="s">
        <v>31</v>
      </c>
      <c r="C44" s="1"/>
      <c r="D44" s="1"/>
      <c r="E44" s="1"/>
      <c r="F44" s="1"/>
      <c r="G44" s="1"/>
      <c r="T44" s="24"/>
      <c r="V44" s="24"/>
      <c r="W44" s="24"/>
    </row>
    <row r="45" spans="2:23" ht="15">
      <c r="B45" t="s">
        <v>48</v>
      </c>
      <c r="C45" s="1"/>
      <c r="D45" s="1"/>
      <c r="E45" s="1"/>
      <c r="F45" s="1"/>
      <c r="G45" s="1"/>
      <c r="T45" s="24"/>
      <c r="V45" s="24"/>
      <c r="W45" s="24"/>
    </row>
    <row r="46" spans="2:25" ht="15">
      <c r="B46" t="s">
        <v>49</v>
      </c>
      <c r="C46" s="1"/>
      <c r="D46" s="1"/>
      <c r="E46" s="1"/>
      <c r="F46" s="1"/>
      <c r="G46" s="1"/>
      <c r="T46" s="24"/>
      <c r="V46" s="24"/>
      <c r="W46" s="24"/>
      <c r="X46" s="40"/>
      <c r="Y46" s="40"/>
    </row>
    <row r="47" spans="1:25" ht="15">
      <c r="A47" s="1"/>
      <c r="B47" s="41"/>
      <c r="C47" s="1"/>
      <c r="D47" s="1"/>
      <c r="E47" s="1"/>
      <c r="F47" s="1"/>
      <c r="G47" s="1"/>
      <c r="T47" s="24"/>
      <c r="V47" s="24"/>
      <c r="W47" s="24"/>
      <c r="X47" s="40"/>
      <c r="Y47" s="40"/>
    </row>
    <row r="48" spans="1:25" ht="15">
      <c r="A48" s="31"/>
      <c r="B48" s="1"/>
      <c r="C48" s="1"/>
      <c r="D48" s="1"/>
      <c r="E48" s="1"/>
      <c r="F48" s="1"/>
      <c r="G48" s="1"/>
      <c r="T48" s="24"/>
      <c r="V48" s="24"/>
      <c r="W48" s="24"/>
      <c r="X48" s="16"/>
      <c r="Y48" s="16"/>
    </row>
    <row r="49" spans="1:25" ht="15">
      <c r="A49" s="1"/>
      <c r="B49" s="1"/>
      <c r="C49" s="1"/>
      <c r="D49" s="1"/>
      <c r="E49" s="1"/>
      <c r="F49" s="1"/>
      <c r="G49" s="1"/>
      <c r="T49" s="24"/>
      <c r="V49" s="24"/>
      <c r="W49" s="24"/>
      <c r="X49" s="16"/>
      <c r="Y49" s="16"/>
    </row>
    <row r="50" spans="1:25" ht="15">
      <c r="A50" s="31"/>
      <c r="B50" s="1"/>
      <c r="C50" s="1"/>
      <c r="D50" s="1"/>
      <c r="E50" s="1"/>
      <c r="F50" s="1"/>
      <c r="G50" s="1"/>
      <c r="T50" s="24"/>
      <c r="V50" s="24"/>
      <c r="W50" s="24"/>
      <c r="X50" s="16"/>
      <c r="Y50" s="16"/>
    </row>
    <row r="51" spans="1:25" ht="15">
      <c r="A51" s="31"/>
      <c r="B51" s="1"/>
      <c r="C51" s="1"/>
      <c r="D51" s="1"/>
      <c r="E51" s="1"/>
      <c r="F51" s="1"/>
      <c r="G51" s="1"/>
      <c r="T51" s="24"/>
      <c r="V51" s="24"/>
      <c r="W51" s="24"/>
      <c r="X51" s="16"/>
      <c r="Y51" s="16"/>
    </row>
    <row r="53" spans="1:25" ht="15">
      <c r="A53" s="31"/>
      <c r="B53" s="1"/>
      <c r="C53" s="1"/>
      <c r="D53" s="1"/>
      <c r="E53" s="1"/>
      <c r="F53" s="1"/>
      <c r="G53" s="1"/>
      <c r="T53" s="24"/>
      <c r="V53" s="24"/>
      <c r="W53" s="24"/>
      <c r="X53" s="24"/>
      <c r="Y53" s="24"/>
    </row>
    <row r="54" spans="1:25" ht="15">
      <c r="A54" s="31"/>
      <c r="B54" s="1"/>
      <c r="C54" s="1"/>
      <c r="D54" s="1"/>
      <c r="E54" s="1"/>
      <c r="F54" s="1"/>
      <c r="G54" s="1"/>
      <c r="T54" s="24"/>
      <c r="V54" s="37"/>
      <c r="W54" s="37"/>
      <c r="X54" s="37"/>
      <c r="Y54" s="24"/>
    </row>
    <row r="56" spans="1:25" ht="15">
      <c r="A56" s="31"/>
      <c r="B56" s="1"/>
      <c r="C56" s="1"/>
      <c r="D56" s="1"/>
      <c r="E56" s="1"/>
      <c r="F56" s="1"/>
      <c r="G56" s="1"/>
      <c r="V56" s="16"/>
      <c r="W56" s="16"/>
      <c r="X56" s="16"/>
      <c r="Y56" s="16"/>
    </row>
    <row r="57" spans="1:27" ht="15">
      <c r="A57" s="31"/>
      <c r="B57" s="1"/>
      <c r="C57" s="1"/>
      <c r="D57" s="1"/>
      <c r="E57" s="1"/>
      <c r="F57" s="1"/>
      <c r="G57" s="1"/>
      <c r="V57" s="24"/>
      <c r="W57" s="24"/>
      <c r="X57" s="24"/>
      <c r="Y57" s="24"/>
      <c r="Z57" s="24"/>
      <c r="AA57" s="24"/>
    </row>
    <row r="58" spans="1:27" ht="15">
      <c r="A58" s="1"/>
      <c r="B58" s="1"/>
      <c r="C58" s="1"/>
      <c r="D58" s="1"/>
      <c r="E58" s="1"/>
      <c r="F58" s="1"/>
      <c r="G58" s="1"/>
      <c r="V58" s="24"/>
      <c r="W58" s="24"/>
      <c r="X58" s="24"/>
      <c r="Y58" s="24"/>
      <c r="Z58" s="24"/>
      <c r="AA58" s="24"/>
    </row>
    <row r="59" spans="1:27" ht="15">
      <c r="A59" s="31"/>
      <c r="B59" s="1"/>
      <c r="C59" s="1"/>
      <c r="D59" s="1"/>
      <c r="E59" s="1"/>
      <c r="F59" s="1"/>
      <c r="G59" s="1"/>
      <c r="V59" s="24"/>
      <c r="W59" s="24"/>
      <c r="X59" s="24"/>
      <c r="Y59" s="24"/>
      <c r="Z59" s="24"/>
      <c r="AA59" s="24"/>
    </row>
    <row r="60" spans="1:27" ht="15">
      <c r="A60" s="1"/>
      <c r="B60" s="1"/>
      <c r="C60" s="1"/>
      <c r="D60" s="1"/>
      <c r="E60" s="1"/>
      <c r="F60" s="1"/>
      <c r="G60" s="1"/>
      <c r="V60" s="24"/>
      <c r="W60" s="24"/>
      <c r="X60" s="24"/>
      <c r="Y60" s="24"/>
      <c r="Z60" s="24"/>
      <c r="AA60" s="24"/>
    </row>
    <row r="61" spans="22:27" ht="15">
      <c r="V61" s="24"/>
      <c r="W61" s="24"/>
      <c r="X61" s="24"/>
      <c r="Y61" s="24"/>
      <c r="Z61" s="24"/>
      <c r="AA61" s="24"/>
    </row>
    <row r="62" spans="1:27" ht="15">
      <c r="A62" s="30"/>
      <c r="V62" s="24"/>
      <c r="W62" s="24"/>
      <c r="X62" s="24"/>
      <c r="Y62" s="24"/>
      <c r="Z62" s="24"/>
      <c r="AA62" s="24"/>
    </row>
  </sheetData>
  <mergeCells count="6">
    <mergeCell ref="V9:W9"/>
    <mergeCell ref="C18:F18"/>
    <mergeCell ref="C14:F14"/>
    <mergeCell ref="C15:F15"/>
    <mergeCell ref="C16:F16"/>
    <mergeCell ref="C17:F17"/>
  </mergeCells>
  <printOptions/>
  <pageMargins left="0" right="0" top="0.75" bottom="0.25" header="0.5" footer="0.5"/>
  <pageSetup horizontalDpi="300" verticalDpi="300" orientation="landscape" scale="45" r:id="rId3"/>
  <headerFooter alignWithMargins="0">
    <oddFooter>&amp;C&amp;R</oddFooter>
  </headerFooter>
  <legacyDrawing r:id="rId2"/>
</worksheet>
</file>

<file path=xl/worksheets/sheet7.xml><?xml version="1.0" encoding="utf-8"?>
<worksheet xmlns="http://schemas.openxmlformats.org/spreadsheetml/2006/main" xmlns:r="http://schemas.openxmlformats.org/officeDocument/2006/relationships">
  <dimension ref="A1:L50"/>
  <sheetViews>
    <sheetView zoomScale="75" zoomScaleNormal="75" workbookViewId="0" topLeftCell="A1">
      <selection activeCell="A1" sqref="A1"/>
    </sheetView>
  </sheetViews>
  <sheetFormatPr defaultColWidth="9.77734375" defaultRowHeight="15"/>
  <cols>
    <col min="1" max="1" width="6.4453125" style="0" customWidth="1"/>
    <col min="2" max="2" width="2.77734375" style="0" customWidth="1"/>
    <col min="5" max="5" width="15.88671875" style="0" customWidth="1"/>
    <col min="6" max="6" width="4.88671875" style="0" customWidth="1"/>
    <col min="7" max="7" width="15.3359375" style="0" customWidth="1"/>
    <col min="8" max="8" width="14.77734375" style="0" bestFit="1" customWidth="1"/>
    <col min="9" max="9" width="13.4453125" style="0" customWidth="1"/>
    <col min="10" max="10" width="13.10546875" style="0" customWidth="1"/>
    <col min="11" max="11" width="6.88671875" style="0" customWidth="1"/>
  </cols>
  <sheetData>
    <row r="1" spans="1:11" ht="15.75">
      <c r="A1" s="8" t="str">
        <f>Appendix!A11</f>
        <v>PROGRESS ENERGY FLORIDA, INC.</v>
      </c>
      <c r="B1" s="9"/>
      <c r="C1" s="9"/>
      <c r="D1" s="9"/>
      <c r="E1" s="10"/>
      <c r="F1" s="9"/>
      <c r="G1" s="8"/>
      <c r="H1" s="9"/>
      <c r="I1" s="10"/>
      <c r="J1" s="9"/>
      <c r="K1" s="30" t="s">
        <v>590</v>
      </c>
    </row>
    <row r="2" spans="1:12" ht="15">
      <c r="A2" s="9" t="s">
        <v>0</v>
      </c>
      <c r="B2" s="9"/>
      <c r="C2" s="9"/>
      <c r="D2" s="9"/>
      <c r="E2" s="9"/>
      <c r="F2" s="9"/>
      <c r="G2" s="9"/>
      <c r="H2" s="9"/>
      <c r="I2" s="9"/>
      <c r="J2" s="9"/>
      <c r="K2" s="30"/>
      <c r="L2" s="31"/>
    </row>
    <row r="3" spans="1:11" ht="15">
      <c r="A3" s="2" t="str">
        <f>+'Form 42 -1A'!A3:I3</f>
        <v>Calculation of the Final True-up Amount</v>
      </c>
      <c r="B3" s="9"/>
      <c r="C3" s="9"/>
      <c r="D3" s="9"/>
      <c r="E3" s="9"/>
      <c r="F3" s="9"/>
      <c r="G3" s="9"/>
      <c r="H3" s="9"/>
      <c r="I3" s="9"/>
      <c r="J3" s="9"/>
      <c r="K3" s="30"/>
    </row>
    <row r="4" spans="1:11" ht="15.75">
      <c r="A4" s="11" t="str">
        <f>'Form 42 -1A'!A4</f>
        <v>January 2003 through December 2003</v>
      </c>
      <c r="B4" s="9"/>
      <c r="C4" s="9"/>
      <c r="D4" s="9"/>
      <c r="E4" s="9"/>
      <c r="F4" s="9"/>
      <c r="G4" s="9"/>
      <c r="H4" s="9"/>
      <c r="I4" s="9"/>
      <c r="J4" s="9"/>
      <c r="K4" s="30"/>
    </row>
    <row r="5" spans="1:11" ht="15.75">
      <c r="A5" s="12" t="s">
        <v>1</v>
      </c>
      <c r="B5" s="13"/>
      <c r="C5" s="13"/>
      <c r="D5" s="13"/>
      <c r="E5" s="13"/>
      <c r="F5" s="13"/>
      <c r="G5" s="13"/>
      <c r="H5" s="13"/>
      <c r="I5" s="13"/>
      <c r="J5" s="13"/>
      <c r="K5" s="13"/>
    </row>
    <row r="6" spans="1:11" ht="15">
      <c r="A6" s="145" t="s">
        <v>591</v>
      </c>
      <c r="B6" s="145"/>
      <c r="C6" s="145"/>
      <c r="D6" s="145"/>
      <c r="E6" s="145"/>
      <c r="F6" s="145"/>
      <c r="G6" s="145"/>
      <c r="H6" s="145"/>
      <c r="I6" s="145"/>
      <c r="J6" s="145"/>
      <c r="K6" s="145"/>
    </row>
    <row r="7" spans="1:11" ht="15">
      <c r="A7" s="9" t="s">
        <v>458</v>
      </c>
      <c r="B7" s="9"/>
      <c r="C7" s="9"/>
      <c r="D7" s="9"/>
      <c r="E7" s="9"/>
      <c r="F7" s="9"/>
      <c r="G7" s="9"/>
      <c r="H7" s="9"/>
      <c r="I7" s="9"/>
      <c r="J7" s="9"/>
      <c r="K7" s="30"/>
    </row>
    <row r="8" spans="1:11" ht="15">
      <c r="A8" s="9"/>
      <c r="B8" s="9"/>
      <c r="C8" s="9"/>
      <c r="D8" s="9"/>
      <c r="E8" s="9"/>
      <c r="F8" s="9"/>
      <c r="G8" s="9"/>
      <c r="H8" s="9"/>
      <c r="I8" s="9"/>
      <c r="J8" s="9"/>
      <c r="K8" s="9"/>
    </row>
    <row r="9" spans="1:10" ht="15">
      <c r="A9" s="9"/>
      <c r="B9" s="9"/>
      <c r="C9" s="9"/>
      <c r="D9" s="9"/>
      <c r="E9" s="9"/>
      <c r="F9" s="9"/>
      <c r="H9" s="9"/>
      <c r="I9" s="9"/>
      <c r="J9" s="9"/>
    </row>
    <row r="10" spans="7:10" ht="15.75">
      <c r="G10" s="80">
        <v>-1</v>
      </c>
      <c r="H10" s="80">
        <v>-2</v>
      </c>
      <c r="I10" s="80">
        <v>-3</v>
      </c>
      <c r="J10" s="80">
        <v>-4</v>
      </c>
    </row>
    <row r="11" spans="7:10" ht="15">
      <c r="G11" s="29"/>
      <c r="H11" s="29" t="s">
        <v>593</v>
      </c>
      <c r="I11" s="142" t="s">
        <v>27</v>
      </c>
      <c r="J11" s="142"/>
    </row>
    <row r="12" spans="1:10" ht="15.75" thickBot="1">
      <c r="A12" s="14" t="s">
        <v>3</v>
      </c>
      <c r="G12" s="81" t="s">
        <v>561</v>
      </c>
      <c r="H12" s="81" t="s">
        <v>513</v>
      </c>
      <c r="I12" s="81" t="s">
        <v>459</v>
      </c>
      <c r="J12" s="81" t="s">
        <v>460</v>
      </c>
    </row>
    <row r="15" spans="1:2" ht="15">
      <c r="A15" s="13">
        <v>1</v>
      </c>
      <c r="B15" t="s">
        <v>497</v>
      </c>
    </row>
    <row r="16" spans="1:10" ht="30.75" customHeight="1">
      <c r="A16" s="12"/>
      <c r="B16" s="82" t="s">
        <v>496</v>
      </c>
      <c r="C16" s="144" t="s">
        <v>507</v>
      </c>
      <c r="D16" s="144"/>
      <c r="E16" s="144"/>
      <c r="F16" s="144"/>
      <c r="G16" s="59">
        <f>'Form 42 7A'!T14</f>
        <v>9498</v>
      </c>
      <c r="H16" s="84">
        <v>20686</v>
      </c>
      <c r="I16">
        <f>+G16-H16</f>
        <v>-11188</v>
      </c>
      <c r="J16" s="138">
        <f>(+I16/H16)</f>
        <v>-0.5408488833027169</v>
      </c>
    </row>
    <row r="17" spans="1:10" ht="30.75" customHeight="1">
      <c r="A17" s="12"/>
      <c r="B17" s="82" t="s">
        <v>487</v>
      </c>
      <c r="C17" s="144" t="s">
        <v>516</v>
      </c>
      <c r="D17" s="144"/>
      <c r="E17" s="144"/>
      <c r="F17" s="144"/>
      <c r="G17" s="59">
        <f>'Form 42 7A'!T15</f>
        <v>2827</v>
      </c>
      <c r="H17" s="84">
        <v>5662</v>
      </c>
      <c r="I17">
        <f>+G17-H17</f>
        <v>-2835</v>
      </c>
      <c r="J17" s="138">
        <f>(+I17/H17)</f>
        <v>-0.5007064641469445</v>
      </c>
    </row>
    <row r="18" spans="1:10" ht="30.75" customHeight="1">
      <c r="A18" s="12"/>
      <c r="B18" s="82" t="s">
        <v>488</v>
      </c>
      <c r="C18" s="144" t="s">
        <v>517</v>
      </c>
      <c r="D18" s="144"/>
      <c r="E18" s="144"/>
      <c r="F18" s="144"/>
      <c r="G18" s="59">
        <f>'Form 42 7A'!T16</f>
        <v>447</v>
      </c>
      <c r="H18" s="84">
        <v>1074</v>
      </c>
      <c r="I18">
        <f>+G18-H18</f>
        <v>-627</v>
      </c>
      <c r="J18" s="138">
        <f>(+I18/H18)</f>
        <v>-0.5837988826815642</v>
      </c>
    </row>
    <row r="19" spans="1:10" ht="30.75" customHeight="1">
      <c r="A19" s="12"/>
      <c r="B19" s="82" t="s">
        <v>515</v>
      </c>
      <c r="C19" s="144" t="s">
        <v>495</v>
      </c>
      <c r="D19" s="144"/>
      <c r="E19" s="144"/>
      <c r="F19" s="144"/>
      <c r="G19" s="77">
        <f>'Form 42 7A'!T17</f>
        <v>836</v>
      </c>
      <c r="H19" s="83">
        <v>3687</v>
      </c>
      <c r="I19" s="77">
        <f>+G19-H19</f>
        <v>-2851</v>
      </c>
      <c r="J19" s="139">
        <f>(+I19/H19)</f>
        <v>-0.7732573908326553</v>
      </c>
    </row>
    <row r="20" spans="1:10" ht="15.75">
      <c r="A20" s="12"/>
      <c r="J20" s="140"/>
    </row>
    <row r="21" spans="1:10" ht="15.75">
      <c r="A21" s="12"/>
      <c r="J21" s="140"/>
    </row>
    <row r="22" spans="1:10" ht="15">
      <c r="A22" s="13">
        <v>2</v>
      </c>
      <c r="B22" t="s">
        <v>498</v>
      </c>
      <c r="G22">
        <f>SUM(G16:G21)</f>
        <v>13608</v>
      </c>
      <c r="H22">
        <f>SUM(H16:H21)</f>
        <v>31109</v>
      </c>
      <c r="I22">
        <f>SUM(I16:I21)</f>
        <v>-17501</v>
      </c>
      <c r="J22" s="138">
        <f>(+I22/H22)</f>
        <v>-0.5625703172715292</v>
      </c>
    </row>
    <row r="23" spans="1:10" ht="15.75">
      <c r="A23" s="12"/>
      <c r="J23" s="140"/>
    </row>
    <row r="24" spans="1:10" ht="15.75">
      <c r="A24" s="12"/>
      <c r="J24" s="140"/>
    </row>
    <row r="25" spans="1:10" ht="15">
      <c r="A25" s="13">
        <v>3</v>
      </c>
      <c r="B25" t="s">
        <v>29</v>
      </c>
      <c r="G25">
        <f>'Form 42 7A'!W20</f>
        <v>0</v>
      </c>
      <c r="H25" s="47">
        <v>0</v>
      </c>
      <c r="I25">
        <f>+G25-H25</f>
        <v>0</v>
      </c>
      <c r="J25" s="138">
        <v>0</v>
      </c>
    </row>
    <row r="26" spans="1:10" ht="15.75">
      <c r="A26" s="12"/>
      <c r="J26" s="140"/>
    </row>
    <row r="27" spans="1:10" ht="15.75">
      <c r="A27" s="12"/>
      <c r="J27" s="140"/>
    </row>
    <row r="28" spans="1:10" ht="15">
      <c r="A28" s="137">
        <v>4</v>
      </c>
      <c r="B28" t="s">
        <v>30</v>
      </c>
      <c r="G28">
        <f>'Form 42 7A'!V20</f>
        <v>13608</v>
      </c>
      <c r="H28">
        <f>+H22</f>
        <v>31109</v>
      </c>
      <c r="I28">
        <f>+G28-H28</f>
        <v>-17501</v>
      </c>
      <c r="J28" s="138">
        <f>(+I28/H28)</f>
        <v>-0.5625703172715292</v>
      </c>
    </row>
    <row r="30" ht="15.75">
      <c r="A30" s="12"/>
    </row>
    <row r="32" ht="15">
      <c r="A32" t="s">
        <v>31</v>
      </c>
    </row>
    <row r="33" ht="15">
      <c r="B33" t="s">
        <v>578</v>
      </c>
    </row>
    <row r="34" ht="15">
      <c r="B34" t="s">
        <v>466</v>
      </c>
    </row>
    <row r="35" ht="15">
      <c r="B35" t="s">
        <v>467</v>
      </c>
    </row>
    <row r="36" ht="15">
      <c r="B36" s="75" t="s">
        <v>468</v>
      </c>
    </row>
    <row r="46" spans="7:11" ht="15">
      <c r="G46" s="16"/>
      <c r="H46" s="16"/>
      <c r="I46" s="16"/>
      <c r="J46" s="16"/>
      <c r="K46" s="16"/>
    </row>
    <row r="47" spans="7:11" ht="15">
      <c r="G47" s="16"/>
      <c r="H47" s="16"/>
      <c r="I47" s="16"/>
      <c r="J47" s="16"/>
      <c r="K47" s="16"/>
    </row>
    <row r="48" spans="7:11" ht="15">
      <c r="G48" s="16"/>
      <c r="H48" s="16"/>
      <c r="I48" s="16"/>
      <c r="J48" s="16"/>
      <c r="K48" s="16"/>
    </row>
    <row r="49" spans="7:11" ht="15">
      <c r="G49" s="16"/>
      <c r="H49" s="16"/>
      <c r="I49" s="16"/>
      <c r="J49" s="16"/>
      <c r="K49" s="16"/>
    </row>
    <row r="50" spans="7:11" ht="15">
      <c r="G50" s="16"/>
      <c r="H50" s="16"/>
      <c r="I50" s="16"/>
      <c r="J50" s="16"/>
      <c r="K50" s="16"/>
    </row>
  </sheetData>
  <mergeCells count="6">
    <mergeCell ref="A6:K6"/>
    <mergeCell ref="I11:J11"/>
    <mergeCell ref="C17:F17"/>
    <mergeCell ref="C19:F19"/>
    <mergeCell ref="C16:F16"/>
    <mergeCell ref="C18:F18"/>
  </mergeCells>
  <printOptions horizontalCentered="1"/>
  <pageMargins left="0" right="0" top="0.75" bottom="0.25" header="0.5" footer="0.5"/>
  <pageSetup horizontalDpi="300" verticalDpi="300" orientation="landscape" scale="75" r:id="rId1"/>
</worksheet>
</file>

<file path=xl/worksheets/sheet8.xml><?xml version="1.0" encoding="utf-8"?>
<worksheet xmlns="http://schemas.openxmlformats.org/spreadsheetml/2006/main" xmlns:r="http://schemas.openxmlformats.org/officeDocument/2006/relationships">
  <sheetPr codeName="Sheet7" transitionEvaluation="1"/>
  <dimension ref="A1:AZ51"/>
  <sheetViews>
    <sheetView defaultGridColor="0" zoomScale="75" zoomScaleNormal="75" colorId="22" workbookViewId="0" topLeftCell="A10">
      <selection activeCell="A1" sqref="A1"/>
    </sheetView>
  </sheetViews>
  <sheetFormatPr defaultColWidth="9.77734375" defaultRowHeight="15"/>
  <cols>
    <col min="1" max="1" width="5.88671875" style="0" customWidth="1"/>
    <col min="2" max="2" width="4.88671875" style="0" customWidth="1"/>
    <col min="3" max="3" width="12.10546875" style="0" customWidth="1"/>
    <col min="5" max="5" width="11.10546875" style="0" customWidth="1"/>
    <col min="6" max="6" width="11.21484375" style="0" customWidth="1"/>
    <col min="7" max="7" width="10.4453125" style="0" customWidth="1"/>
    <col min="8" max="10" width="12.77734375" style="0" customWidth="1"/>
    <col min="11" max="11" width="13.10546875" style="0" customWidth="1"/>
    <col min="12" max="13" width="14.3359375" style="0" customWidth="1"/>
    <col min="14" max="14" width="12.77734375" style="0" customWidth="1"/>
    <col min="15" max="15" width="13.4453125" style="0" bestFit="1" customWidth="1"/>
    <col min="16" max="20" width="12.77734375" style="0" customWidth="1"/>
    <col min="21" max="21" width="5.77734375" style="0" customWidth="1"/>
    <col min="22" max="22" width="12.77734375" style="0" customWidth="1"/>
    <col min="23" max="23" width="11.6640625" style="0" customWidth="1"/>
  </cols>
  <sheetData>
    <row r="1" spans="1:21" ht="15.75">
      <c r="A1" s="8" t="str">
        <f>Appendix!A11</f>
        <v>PROGRESS ENERGY FLORIDA, INC.</v>
      </c>
      <c r="B1" s="18"/>
      <c r="C1" s="18"/>
      <c r="D1" s="18"/>
      <c r="E1" s="18"/>
      <c r="F1" s="18"/>
      <c r="G1" s="18"/>
      <c r="H1" s="18"/>
      <c r="I1" s="18"/>
      <c r="J1" s="18"/>
      <c r="K1" s="18"/>
      <c r="L1" s="18"/>
      <c r="M1" s="18"/>
      <c r="N1" s="18"/>
      <c r="O1" s="18"/>
      <c r="P1" s="18"/>
      <c r="Q1" s="18"/>
      <c r="R1" s="18"/>
      <c r="S1" s="18"/>
      <c r="T1" s="31" t="s">
        <v>572</v>
      </c>
      <c r="U1" s="2"/>
    </row>
    <row r="2" spans="1:20" ht="15">
      <c r="A2" s="2" t="s">
        <v>0</v>
      </c>
      <c r="B2" s="2"/>
      <c r="C2" s="2"/>
      <c r="D2" s="2"/>
      <c r="E2" s="2"/>
      <c r="F2" s="2"/>
      <c r="G2" s="2"/>
      <c r="H2" s="2"/>
      <c r="I2" s="2"/>
      <c r="J2" s="2"/>
      <c r="K2" s="2"/>
      <c r="L2" s="2"/>
      <c r="M2" s="2"/>
      <c r="N2" s="2"/>
      <c r="O2" s="2"/>
      <c r="P2" s="2"/>
      <c r="Q2" s="2"/>
      <c r="R2" s="2"/>
      <c r="S2" s="2"/>
      <c r="T2" s="30"/>
    </row>
    <row r="3" spans="1:19" ht="15">
      <c r="A3" s="2" t="str">
        <f>'Form 42 -1A'!A3:I3</f>
        <v>Calculation of the Final True-up Amount</v>
      </c>
      <c r="B3" s="9"/>
      <c r="C3" s="9"/>
      <c r="D3" s="9"/>
      <c r="E3" s="9"/>
      <c r="F3" s="9"/>
      <c r="G3" s="9"/>
      <c r="H3" s="9"/>
      <c r="I3" s="18"/>
      <c r="J3" s="18"/>
      <c r="K3" s="18"/>
      <c r="L3" s="18"/>
      <c r="M3" s="18"/>
      <c r="N3" s="18"/>
      <c r="O3" s="18"/>
      <c r="P3" s="18"/>
      <c r="Q3" s="18"/>
      <c r="R3" s="18"/>
      <c r="S3" s="18"/>
    </row>
    <row r="4" spans="1:19" ht="15.75">
      <c r="A4" s="11" t="str">
        <f>'Form 42 -1A'!A4</f>
        <v>January 2003 through December 2003</v>
      </c>
      <c r="B4" s="11"/>
      <c r="C4" s="11"/>
      <c r="D4" s="11"/>
      <c r="E4" s="11"/>
      <c r="F4" s="11"/>
      <c r="G4" s="11"/>
      <c r="H4" s="11"/>
      <c r="I4" s="11"/>
      <c r="J4" s="11"/>
      <c r="K4" s="11"/>
      <c r="L4" s="11"/>
      <c r="M4" s="11"/>
      <c r="N4" s="11"/>
      <c r="O4" s="11"/>
      <c r="P4" s="11"/>
      <c r="Q4" s="11"/>
      <c r="R4" s="11"/>
      <c r="S4" s="11"/>
    </row>
    <row r="5" spans="1:20" ht="15.75">
      <c r="A5" s="3" t="s">
        <v>1</v>
      </c>
      <c r="B5" s="18"/>
      <c r="C5" s="18"/>
      <c r="D5" s="18"/>
      <c r="E5" s="18"/>
      <c r="F5" s="18"/>
      <c r="G5" s="18"/>
      <c r="H5" s="18"/>
      <c r="I5" s="18"/>
      <c r="J5" s="18"/>
      <c r="K5" s="18"/>
      <c r="L5" s="18"/>
      <c r="M5" s="18"/>
      <c r="N5" s="18"/>
      <c r="O5" s="18"/>
      <c r="P5" s="18"/>
      <c r="Q5" s="18"/>
      <c r="R5" s="18"/>
      <c r="S5" s="18"/>
      <c r="T5" s="2"/>
    </row>
    <row r="6" spans="1:19" ht="15">
      <c r="A6" s="57" t="s">
        <v>51</v>
      </c>
      <c r="B6" s="18"/>
      <c r="C6" s="18"/>
      <c r="D6" s="18"/>
      <c r="E6" s="18"/>
      <c r="F6" s="18"/>
      <c r="G6" s="18"/>
      <c r="H6" s="18"/>
      <c r="I6" s="18"/>
      <c r="J6" s="18"/>
      <c r="K6" s="18"/>
      <c r="L6" s="18"/>
      <c r="M6" s="18"/>
      <c r="N6" s="18"/>
      <c r="O6" s="18"/>
      <c r="P6" s="18"/>
      <c r="Q6" s="18"/>
      <c r="R6" s="18"/>
      <c r="S6" s="18"/>
    </row>
    <row r="7" spans="1:19" ht="15">
      <c r="A7" s="18" t="s">
        <v>5</v>
      </c>
      <c r="B7" s="18"/>
      <c r="C7" s="18"/>
      <c r="D7" s="18"/>
      <c r="E7" s="18"/>
      <c r="F7" s="18"/>
      <c r="G7" s="18"/>
      <c r="H7" s="18"/>
      <c r="I7" s="18"/>
      <c r="J7" s="18"/>
      <c r="K7" s="18"/>
      <c r="L7" s="18"/>
      <c r="M7" s="18"/>
      <c r="N7" s="18"/>
      <c r="O7" s="18"/>
      <c r="P7" s="18"/>
      <c r="Q7" s="18"/>
      <c r="R7" s="18"/>
      <c r="S7" s="18"/>
    </row>
    <row r="8" spans="1:20" ht="15">
      <c r="A8" s="18"/>
      <c r="B8" s="18"/>
      <c r="C8" s="18"/>
      <c r="D8" s="18"/>
      <c r="E8" s="18"/>
      <c r="F8" s="18"/>
      <c r="G8" s="18"/>
      <c r="H8" s="18"/>
      <c r="I8" s="18"/>
      <c r="J8" s="18"/>
      <c r="K8" s="18"/>
      <c r="L8" s="18"/>
      <c r="M8" s="18"/>
      <c r="N8" s="29"/>
      <c r="T8" s="29" t="s">
        <v>6</v>
      </c>
    </row>
    <row r="9" spans="1:22" ht="15">
      <c r="A9" s="18"/>
      <c r="B9" s="18"/>
      <c r="C9" s="18"/>
      <c r="D9" s="18"/>
      <c r="E9" s="18"/>
      <c r="F9" s="18"/>
      <c r="G9" s="18"/>
      <c r="H9" s="29" t="s">
        <v>561</v>
      </c>
      <c r="I9" s="29" t="s">
        <v>561</v>
      </c>
      <c r="J9" s="29" t="s">
        <v>561</v>
      </c>
      <c r="K9" s="29" t="s">
        <v>561</v>
      </c>
      <c r="L9" s="29" t="s">
        <v>561</v>
      </c>
      <c r="M9" s="29" t="s">
        <v>561</v>
      </c>
      <c r="N9" s="29" t="s">
        <v>561</v>
      </c>
      <c r="O9" s="29" t="s">
        <v>561</v>
      </c>
      <c r="P9" s="29" t="s">
        <v>561</v>
      </c>
      <c r="Q9" s="29" t="s">
        <v>561</v>
      </c>
      <c r="R9" s="29" t="s">
        <v>561</v>
      </c>
      <c r="S9" s="29" t="s">
        <v>561</v>
      </c>
      <c r="T9" s="29" t="s">
        <v>2</v>
      </c>
      <c r="V9" t="s">
        <v>52</v>
      </c>
    </row>
    <row r="10" spans="1:23" ht="15.75" thickBot="1">
      <c r="A10" s="4" t="s">
        <v>3</v>
      </c>
      <c r="B10" s="1"/>
      <c r="C10" s="25" t="s">
        <v>62</v>
      </c>
      <c r="D10" s="1"/>
      <c r="E10" s="1"/>
      <c r="F10" s="1"/>
      <c r="G10" s="1"/>
      <c r="H10" s="44" t="str">
        <f>'Form 42 2A'!H10</f>
        <v>January 03</v>
      </c>
      <c r="I10" s="44" t="str">
        <f>'Form 42 2A'!I10</f>
        <v>February 03</v>
      </c>
      <c r="J10" s="44" t="str">
        <f>'Form 42 2A'!J10</f>
        <v>March 03</v>
      </c>
      <c r="K10" s="44" t="str">
        <f>'Form 42 2A'!K10</f>
        <v>April 03</v>
      </c>
      <c r="L10" s="44" t="str">
        <f>'Form 42 2A'!L10</f>
        <v>May 03</v>
      </c>
      <c r="M10" s="44" t="str">
        <f>'Form 42 2A'!M10</f>
        <v>June 03</v>
      </c>
      <c r="N10" s="44" t="str">
        <f>'Form 42 2A'!N10</f>
        <v>July 03</v>
      </c>
      <c r="O10" s="44" t="str">
        <f>'Form 42 2A'!O10</f>
        <v>August 03</v>
      </c>
      <c r="P10" s="44" t="str">
        <f>'Form 42 2A'!P10</f>
        <v>September 03</v>
      </c>
      <c r="Q10" s="44" t="str">
        <f>'Form 42 2A'!Q10</f>
        <v>October 03</v>
      </c>
      <c r="R10" s="44" t="str">
        <f>'Form 42 2A'!R10</f>
        <v>November 03</v>
      </c>
      <c r="S10" s="44" t="str">
        <f>'Form 42 2A'!S10</f>
        <v>December 03</v>
      </c>
      <c r="T10" s="45" t="s">
        <v>8</v>
      </c>
      <c r="V10" s="44" t="s">
        <v>33</v>
      </c>
      <c r="W10" s="44" t="s">
        <v>34</v>
      </c>
    </row>
    <row r="12" spans="1:2" ht="15">
      <c r="A12" s="30" t="s">
        <v>35</v>
      </c>
      <c r="B12" t="s">
        <v>53</v>
      </c>
    </row>
    <row r="13" ht="15">
      <c r="A13" s="30"/>
    </row>
    <row r="14" spans="1:23" ht="15">
      <c r="A14" s="1"/>
      <c r="B14" s="92" t="s">
        <v>496</v>
      </c>
      <c r="C14" s="34" t="s">
        <v>507</v>
      </c>
      <c r="D14" s="1"/>
      <c r="E14" s="1"/>
      <c r="F14" s="1"/>
      <c r="G14" s="1"/>
      <c r="H14" s="5">
        <f>'Form 42 8A p1'!H38</f>
        <v>0</v>
      </c>
      <c r="I14" s="5">
        <f>'Form 42 8A p1'!I38</f>
        <v>0</v>
      </c>
      <c r="J14" s="5">
        <f>'Form 42 8A p1'!J38</f>
        <v>0</v>
      </c>
      <c r="K14" s="5">
        <f>'Form 42 8A p1'!K38</f>
        <v>0</v>
      </c>
      <c r="L14" s="5">
        <f>'Form 42 8A p1'!L38</f>
        <v>0</v>
      </c>
      <c r="M14" s="5">
        <f>'Form 42 8A p1'!M38</f>
        <v>0</v>
      </c>
      <c r="N14" s="5">
        <f>'Form 42 8A p1'!N38</f>
        <v>0</v>
      </c>
      <c r="O14" s="5">
        <f>'Form 42 8A p1'!O38</f>
        <v>447</v>
      </c>
      <c r="P14" s="5">
        <f>'Form 42 8A p1'!P38</f>
        <v>1232</v>
      </c>
      <c r="Q14" s="5">
        <f>'Form 42 8A p1'!Q38</f>
        <v>1968</v>
      </c>
      <c r="R14" s="5">
        <f>'Form 42 8A p1'!R38</f>
        <v>2793</v>
      </c>
      <c r="S14" s="5">
        <f>'Form 42 8A p1'!S38</f>
        <v>3058</v>
      </c>
      <c r="T14" s="46">
        <f>SUM(H14:S14)</f>
        <v>9498</v>
      </c>
      <c r="V14" s="5">
        <f>T14</f>
        <v>9498</v>
      </c>
      <c r="W14" s="5">
        <v>0</v>
      </c>
    </row>
    <row r="15" spans="2:23" ht="15">
      <c r="B15" s="92" t="s">
        <v>487</v>
      </c>
      <c r="C15" s="34" t="s">
        <v>518</v>
      </c>
      <c r="G15" s="1"/>
      <c r="H15">
        <f>'Form 42 8A p2'!H38</f>
        <v>0</v>
      </c>
      <c r="I15">
        <f>'Form 42 8A p2'!I38</f>
        <v>0</v>
      </c>
      <c r="J15">
        <f>'Form 42 8A p2'!J38</f>
        <v>0</v>
      </c>
      <c r="K15">
        <f>'Form 42 8A p2'!K38</f>
        <v>0</v>
      </c>
      <c r="L15">
        <f>'Form 42 8A p2'!L38</f>
        <v>0</v>
      </c>
      <c r="M15">
        <f>'Form 42 8A p2'!M38</f>
        <v>0</v>
      </c>
      <c r="N15">
        <f>'Form 42 8A p2'!N38</f>
        <v>0</v>
      </c>
      <c r="O15">
        <f>'Form 42 8A p2'!O38</f>
        <v>0</v>
      </c>
      <c r="P15">
        <f>'Form 42 8A p2'!P38</f>
        <v>0</v>
      </c>
      <c r="Q15">
        <f>'Form 42 8A p2'!Q38</f>
        <v>0</v>
      </c>
      <c r="R15">
        <f>'Form 42 8A p2'!R38</f>
        <v>0</v>
      </c>
      <c r="S15">
        <f>'Form 42 8A p2'!S38</f>
        <v>2827</v>
      </c>
      <c r="T15">
        <f>SUM(H15:S15)</f>
        <v>2827</v>
      </c>
      <c r="V15">
        <f>T15</f>
        <v>2827</v>
      </c>
      <c r="W15">
        <v>0</v>
      </c>
    </row>
    <row r="16" spans="2:23" ht="15">
      <c r="B16" s="92" t="s">
        <v>488</v>
      </c>
      <c r="C16" s="34" t="s">
        <v>519</v>
      </c>
      <c r="G16" s="1"/>
      <c r="H16">
        <f>'Form 42 8A p3'!H38</f>
        <v>0</v>
      </c>
      <c r="I16">
        <f>'Form 42 8A p3'!I38</f>
        <v>0</v>
      </c>
      <c r="J16">
        <f>'Form 42 8A p3'!J38</f>
        <v>0</v>
      </c>
      <c r="K16">
        <f>'Form 42 8A p3'!K38</f>
        <v>0</v>
      </c>
      <c r="L16">
        <f>'Form 42 8A p3'!L38</f>
        <v>0</v>
      </c>
      <c r="M16">
        <f>'Form 42 8A p3'!M38</f>
        <v>0</v>
      </c>
      <c r="N16">
        <f>'Form 42 8A p3'!N38</f>
        <v>0</v>
      </c>
      <c r="O16">
        <f>'Form 42 8A p3'!O38</f>
        <v>0</v>
      </c>
      <c r="P16">
        <f>'Form 42 8A p3'!P38</f>
        <v>0</v>
      </c>
      <c r="Q16">
        <f>'Form 42 8A p3'!Q38</f>
        <v>0</v>
      </c>
      <c r="R16">
        <f>'Form 42 8A p3'!R38</f>
        <v>0</v>
      </c>
      <c r="S16">
        <f>'Form 42 8A p3'!S38</f>
        <v>447</v>
      </c>
      <c r="T16">
        <f>SUM(H16:S16)</f>
        <v>447</v>
      </c>
      <c r="V16">
        <f>T16</f>
        <v>447</v>
      </c>
      <c r="W16">
        <v>0</v>
      </c>
    </row>
    <row r="17" spans="2:23" ht="15">
      <c r="B17" s="92" t="s">
        <v>515</v>
      </c>
      <c r="C17" s="34" t="s">
        <v>508</v>
      </c>
      <c r="G17" s="1"/>
      <c r="H17" s="6">
        <f>'Form 42 8A p4'!H38</f>
        <v>0</v>
      </c>
      <c r="I17" s="6">
        <f>'Form 42 8A p4'!I38</f>
        <v>0</v>
      </c>
      <c r="J17" s="6">
        <f>'Form 42 8A p4'!J38</f>
        <v>0</v>
      </c>
      <c r="K17" s="6">
        <f>'Form 42 8A p4'!K38</f>
        <v>0</v>
      </c>
      <c r="L17" s="6">
        <f>'Form 42 8A p4'!L38</f>
        <v>0</v>
      </c>
      <c r="M17" s="6">
        <f>'Form 42 8A p4'!M38</f>
        <v>0</v>
      </c>
      <c r="N17" s="6">
        <f>'Form 42 8A p4'!N38</f>
        <v>0</v>
      </c>
      <c r="O17" s="6">
        <f>'Form 42 8A p4'!O38</f>
        <v>0</v>
      </c>
      <c r="P17" s="6">
        <f>'Form 42 8A p4'!P38</f>
        <v>0</v>
      </c>
      <c r="Q17" s="6">
        <f>'Form 42 8A p4'!Q38</f>
        <v>164</v>
      </c>
      <c r="R17" s="6">
        <f>'Form 42 8A p4'!R38</f>
        <v>327</v>
      </c>
      <c r="S17" s="6">
        <f>'Form 42 8A p4'!S38</f>
        <v>345</v>
      </c>
      <c r="T17" s="6">
        <f>SUM(H17:S17)</f>
        <v>836</v>
      </c>
      <c r="U17" s="6"/>
      <c r="V17" s="6">
        <f>T17</f>
        <v>836</v>
      </c>
      <c r="W17" s="6">
        <v>0</v>
      </c>
    </row>
    <row r="18" spans="1:7" ht="15">
      <c r="A18" s="1"/>
      <c r="B18" s="41"/>
      <c r="C18" s="1"/>
      <c r="D18" s="1"/>
      <c r="E18" s="1"/>
      <c r="F18" s="1"/>
      <c r="G18" s="1"/>
    </row>
    <row r="19" ht="15">
      <c r="A19" s="1"/>
    </row>
    <row r="20" spans="1:23" ht="15">
      <c r="A20" s="31" t="s">
        <v>36</v>
      </c>
      <c r="B20" s="41" t="s">
        <v>50</v>
      </c>
      <c r="C20" s="1"/>
      <c r="D20" s="1"/>
      <c r="E20" s="1"/>
      <c r="F20" s="1"/>
      <c r="H20">
        <f aca="true" t="shared" si="0" ref="H20:T20">SUM(H14:H19)</f>
        <v>0</v>
      </c>
      <c r="I20">
        <f t="shared" si="0"/>
        <v>0</v>
      </c>
      <c r="J20">
        <f t="shared" si="0"/>
        <v>0</v>
      </c>
      <c r="K20">
        <f t="shared" si="0"/>
        <v>0</v>
      </c>
      <c r="L20">
        <f t="shared" si="0"/>
        <v>0</v>
      </c>
      <c r="M20">
        <f t="shared" si="0"/>
        <v>0</v>
      </c>
      <c r="N20">
        <f t="shared" si="0"/>
        <v>0</v>
      </c>
      <c r="O20">
        <f t="shared" si="0"/>
        <v>447</v>
      </c>
      <c r="P20">
        <f t="shared" si="0"/>
        <v>1232</v>
      </c>
      <c r="Q20">
        <f t="shared" si="0"/>
        <v>2132</v>
      </c>
      <c r="R20">
        <f t="shared" si="0"/>
        <v>3120</v>
      </c>
      <c r="S20">
        <f t="shared" si="0"/>
        <v>6677</v>
      </c>
      <c r="T20">
        <f t="shared" si="0"/>
        <v>13608</v>
      </c>
      <c r="V20" s="5">
        <f>SUM(V14:V19)</f>
        <v>13608</v>
      </c>
      <c r="W20" s="5">
        <f>SUM(W14:W19)</f>
        <v>0</v>
      </c>
    </row>
    <row r="21" spans="1:6" ht="15">
      <c r="A21" s="1"/>
      <c r="B21" s="41"/>
      <c r="C21" s="1"/>
      <c r="D21" s="1"/>
      <c r="E21" s="1"/>
      <c r="F21" s="1"/>
    </row>
    <row r="22" spans="1:20" ht="15">
      <c r="A22" s="31" t="s">
        <v>38</v>
      </c>
      <c r="B22" s="1" t="s">
        <v>29</v>
      </c>
      <c r="C22" s="1"/>
      <c r="D22" s="1"/>
      <c r="E22" s="1"/>
      <c r="F22" s="1"/>
      <c r="G22" s="1"/>
      <c r="H22" s="29" t="s">
        <v>491</v>
      </c>
      <c r="I22" s="29" t="s">
        <v>491</v>
      </c>
      <c r="J22" s="29" t="s">
        <v>491</v>
      </c>
      <c r="K22" s="29" t="s">
        <v>491</v>
      </c>
      <c r="L22" s="29" t="s">
        <v>491</v>
      </c>
      <c r="M22" s="29" t="s">
        <v>491</v>
      </c>
      <c r="N22" s="29" t="s">
        <v>491</v>
      </c>
      <c r="O22" s="29" t="s">
        <v>491</v>
      </c>
      <c r="P22" s="29" t="s">
        <v>491</v>
      </c>
      <c r="Q22" s="29" t="s">
        <v>491</v>
      </c>
      <c r="R22" s="29" t="s">
        <v>491</v>
      </c>
      <c r="S22" s="29" t="s">
        <v>491</v>
      </c>
      <c r="T22" s="29" t="s">
        <v>491</v>
      </c>
    </row>
    <row r="23" spans="1:20" ht="15">
      <c r="A23" s="31"/>
      <c r="B23" s="1"/>
      <c r="C23" s="1"/>
      <c r="D23" s="1"/>
      <c r="E23" s="1"/>
      <c r="F23" s="1"/>
      <c r="G23" s="1"/>
      <c r="H23" s="16"/>
      <c r="I23" s="16"/>
      <c r="J23" s="16"/>
      <c r="K23" s="16"/>
      <c r="L23" s="16"/>
      <c r="M23" s="16"/>
      <c r="N23" s="16"/>
      <c r="O23" s="16"/>
      <c r="P23" s="16"/>
      <c r="Q23" s="16"/>
      <c r="R23" s="16"/>
      <c r="S23" s="16"/>
      <c r="T23" s="16"/>
    </row>
    <row r="24" spans="1:20" ht="15">
      <c r="A24" s="31" t="s">
        <v>39</v>
      </c>
      <c r="B24" s="1" t="s">
        <v>501</v>
      </c>
      <c r="C24" s="1"/>
      <c r="D24" s="1"/>
      <c r="E24" s="1"/>
      <c r="F24" s="1"/>
      <c r="H24" s="16">
        <f aca="true" t="shared" si="1" ref="H24:O24">H17</f>
        <v>0</v>
      </c>
      <c r="I24" s="16">
        <f t="shared" si="1"/>
        <v>0</v>
      </c>
      <c r="J24" s="16">
        <f t="shared" si="1"/>
        <v>0</v>
      </c>
      <c r="K24" s="16">
        <f t="shared" si="1"/>
        <v>0</v>
      </c>
      <c r="L24" s="16">
        <f t="shared" si="1"/>
        <v>0</v>
      </c>
      <c r="M24" s="16">
        <f t="shared" si="1"/>
        <v>0</v>
      </c>
      <c r="N24" s="16">
        <f t="shared" si="1"/>
        <v>0</v>
      </c>
      <c r="O24" s="16">
        <f t="shared" si="1"/>
        <v>0</v>
      </c>
      <c r="P24" s="16">
        <f>P17</f>
        <v>0</v>
      </c>
      <c r="Q24" s="16">
        <f>Q17</f>
        <v>164</v>
      </c>
      <c r="R24" s="16">
        <f>R17</f>
        <v>327</v>
      </c>
      <c r="S24" s="16">
        <f>S17</f>
        <v>345</v>
      </c>
      <c r="T24">
        <f>SUM(H24:S24)</f>
        <v>836</v>
      </c>
    </row>
    <row r="25" spans="1:20" ht="15">
      <c r="A25" s="31"/>
      <c r="B25" s="1" t="s">
        <v>502</v>
      </c>
      <c r="C25" s="1"/>
      <c r="D25" s="1"/>
      <c r="E25" s="1"/>
      <c r="F25" s="1"/>
      <c r="H25" s="16">
        <f aca="true" t="shared" si="2" ref="H25:O25">H14</f>
        <v>0</v>
      </c>
      <c r="I25" s="16">
        <f t="shared" si="2"/>
        <v>0</v>
      </c>
      <c r="J25" s="16">
        <f t="shared" si="2"/>
        <v>0</v>
      </c>
      <c r="K25" s="16">
        <f t="shared" si="2"/>
        <v>0</v>
      </c>
      <c r="L25" s="16">
        <f t="shared" si="2"/>
        <v>0</v>
      </c>
      <c r="M25" s="16">
        <f t="shared" si="2"/>
        <v>0</v>
      </c>
      <c r="N25" s="16">
        <f t="shared" si="2"/>
        <v>0</v>
      </c>
      <c r="O25" s="16">
        <f t="shared" si="2"/>
        <v>447</v>
      </c>
      <c r="P25" s="16">
        <f>P14</f>
        <v>1232</v>
      </c>
      <c r="Q25" s="16">
        <f>Q14</f>
        <v>1968</v>
      </c>
      <c r="R25" s="16">
        <f>R14</f>
        <v>2793</v>
      </c>
      <c r="S25" s="16">
        <f>S14</f>
        <v>3058</v>
      </c>
      <c r="T25">
        <f>SUM(H25:S25)</f>
        <v>9498</v>
      </c>
    </row>
    <row r="26" spans="1:20" ht="15">
      <c r="A26" s="31"/>
      <c r="B26" s="1" t="s">
        <v>503</v>
      </c>
      <c r="C26" s="1"/>
      <c r="D26" s="1"/>
      <c r="E26" s="1"/>
      <c r="F26" s="1"/>
      <c r="H26" s="16">
        <f>H15+H16</f>
        <v>0</v>
      </c>
      <c r="I26" s="16">
        <f aca="true" t="shared" si="3" ref="I26:S26">I15+I16</f>
        <v>0</v>
      </c>
      <c r="J26" s="16">
        <f t="shared" si="3"/>
        <v>0</v>
      </c>
      <c r="K26" s="16">
        <f t="shared" si="3"/>
        <v>0</v>
      </c>
      <c r="L26" s="16">
        <f t="shared" si="3"/>
        <v>0</v>
      </c>
      <c r="M26" s="16">
        <f t="shared" si="3"/>
        <v>0</v>
      </c>
      <c r="N26" s="16">
        <f t="shared" si="3"/>
        <v>0</v>
      </c>
      <c r="O26" s="16">
        <f t="shared" si="3"/>
        <v>0</v>
      </c>
      <c r="P26" s="16">
        <f t="shared" si="3"/>
        <v>0</v>
      </c>
      <c r="Q26" s="16">
        <f t="shared" si="3"/>
        <v>0</v>
      </c>
      <c r="R26" s="16">
        <f t="shared" si="3"/>
        <v>0</v>
      </c>
      <c r="S26" s="16">
        <f t="shared" si="3"/>
        <v>3274</v>
      </c>
      <c r="T26">
        <f>SUM(H26:S26)</f>
        <v>3274</v>
      </c>
    </row>
    <row r="27" spans="2:52" ht="15">
      <c r="B27" s="1"/>
      <c r="C27" s="1"/>
      <c r="D27" s="1"/>
      <c r="E27" s="1"/>
      <c r="F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row>
    <row r="28" spans="1:19" ht="15">
      <c r="A28" s="31" t="s">
        <v>40</v>
      </c>
      <c r="B28" s="1" t="s">
        <v>41</v>
      </c>
      <c r="C28" s="1"/>
      <c r="D28" s="1"/>
      <c r="E28" s="1"/>
      <c r="F28" s="1"/>
      <c r="H28" s="29" t="s">
        <v>491</v>
      </c>
      <c r="I28" s="29" t="s">
        <v>491</v>
      </c>
      <c r="J28" s="29" t="s">
        <v>491</v>
      </c>
      <c r="K28" s="29" t="s">
        <v>491</v>
      </c>
      <c r="L28" s="29" t="s">
        <v>491</v>
      </c>
      <c r="M28" s="29" t="s">
        <v>491</v>
      </c>
      <c r="N28" s="29" t="s">
        <v>491</v>
      </c>
      <c r="O28" s="29" t="s">
        <v>491</v>
      </c>
      <c r="P28" s="29" t="s">
        <v>491</v>
      </c>
      <c r="Q28" s="29" t="s">
        <v>491</v>
      </c>
      <c r="R28" s="29" t="s">
        <v>491</v>
      </c>
      <c r="S28" s="29" t="s">
        <v>491</v>
      </c>
    </row>
    <row r="29" spans="1:19" ht="15">
      <c r="A29" s="31"/>
      <c r="B29" s="1"/>
      <c r="C29" s="1"/>
      <c r="D29" s="1"/>
      <c r="E29" s="1"/>
      <c r="F29" s="1"/>
      <c r="H29" s="24"/>
      <c r="I29" s="24"/>
      <c r="J29" s="24"/>
      <c r="K29" s="24"/>
      <c r="L29" s="24"/>
      <c r="M29" s="24"/>
      <c r="N29" s="24"/>
      <c r="O29" s="24"/>
      <c r="P29" s="24"/>
      <c r="Q29" s="24"/>
      <c r="R29" s="24"/>
      <c r="S29" s="24"/>
    </row>
    <row r="30" spans="1:19" ht="15">
      <c r="A30" s="31" t="s">
        <v>42</v>
      </c>
      <c r="B30" s="1" t="s">
        <v>504</v>
      </c>
      <c r="C30" s="1"/>
      <c r="D30" s="1"/>
      <c r="E30" s="1"/>
      <c r="F30" s="1"/>
      <c r="H30" s="24">
        <f>'Form 42 8A p4'!H43</f>
        <v>0</v>
      </c>
      <c r="I30" s="24">
        <f>'Form 42 8A p4'!I43</f>
        <v>0</v>
      </c>
      <c r="J30" s="24">
        <f>'Form 42 8A p4'!J43</f>
        <v>0</v>
      </c>
      <c r="K30" s="24">
        <f>'Form 42 8A p4'!K43</f>
        <v>0</v>
      </c>
      <c r="L30" s="24">
        <f>'Form 42 8A p4'!L43</f>
        <v>0</v>
      </c>
      <c r="M30" s="24">
        <f>'Form 42 8A p4'!M43</f>
        <v>0</v>
      </c>
      <c r="N30" s="24">
        <f>'Form 42 8A p4'!N43</f>
        <v>0</v>
      </c>
      <c r="O30" s="24">
        <f>'Form 42 8A p4'!O43</f>
        <v>0</v>
      </c>
      <c r="P30" s="24">
        <f>'Form 42 8A p4'!P43</f>
        <v>0</v>
      </c>
      <c r="Q30" s="24">
        <f>'Form 42 8A p4'!Q43</f>
        <v>0.95957</v>
      </c>
      <c r="R30" s="24">
        <f>'Form 42 8A p4'!R43</f>
        <v>0.95957</v>
      </c>
      <c r="S30" s="24">
        <f>'Form 42 8A p4'!S43</f>
        <v>0.95957</v>
      </c>
    </row>
    <row r="31" spans="1:19" ht="15">
      <c r="A31" s="31"/>
      <c r="B31" s="1" t="s">
        <v>505</v>
      </c>
      <c r="C31" s="1"/>
      <c r="D31" s="1"/>
      <c r="E31" s="1"/>
      <c r="F31" s="1"/>
      <c r="H31" s="24">
        <f>'Form 42 8A p1'!H43</f>
        <v>0</v>
      </c>
      <c r="I31" s="24">
        <f>'Form 42 8A p1'!I43</f>
        <v>0</v>
      </c>
      <c r="J31" s="24">
        <f>'Form 42 8A p1'!J43</f>
        <v>0</v>
      </c>
      <c r="K31" s="24">
        <f>'Form 42 8A p1'!K43</f>
        <v>0</v>
      </c>
      <c r="L31" s="24">
        <f>'Form 42 8A p1'!L43</f>
        <v>0</v>
      </c>
      <c r="M31" s="24">
        <f>'Form 42 8A p1'!M43</f>
        <v>0</v>
      </c>
      <c r="N31" s="24">
        <f>'Form 42 8A p1'!N43</f>
        <v>0</v>
      </c>
      <c r="O31" s="24">
        <f>'Form 42 8A p1'!O43</f>
        <v>0.86574</v>
      </c>
      <c r="P31" s="24">
        <f>'Form 42 8A p1'!P43</f>
        <v>0.86574</v>
      </c>
      <c r="Q31" s="24">
        <f>'Form 42 8A p1'!Q43</f>
        <v>0.86574</v>
      </c>
      <c r="R31" s="24">
        <f>'Form 42 8A p1'!R43</f>
        <v>0.86574</v>
      </c>
      <c r="S31" s="24">
        <f>'Form 42 8A p1'!S43</f>
        <v>0.86574</v>
      </c>
    </row>
    <row r="32" spans="1:19" ht="15">
      <c r="A32" s="31"/>
      <c r="B32" s="1" t="s">
        <v>506</v>
      </c>
      <c r="C32" s="1"/>
      <c r="D32" s="1"/>
      <c r="E32" s="1"/>
      <c r="F32" s="1"/>
      <c r="H32" s="24">
        <f>'Form 42 8A p2'!H43</f>
        <v>0</v>
      </c>
      <c r="I32" s="24">
        <f>'Form 42 8A p2'!I43</f>
        <v>0</v>
      </c>
      <c r="J32" s="24">
        <f>'Form 42 8A p2'!J43</f>
        <v>0</v>
      </c>
      <c r="K32" s="24">
        <f>'Form 42 8A p2'!K43</f>
        <v>0</v>
      </c>
      <c r="L32" s="24">
        <f>'Form 42 8A p2'!L43</f>
        <v>0</v>
      </c>
      <c r="M32" s="24">
        <f>'Form 42 8A p2'!M43</f>
        <v>0</v>
      </c>
      <c r="N32" s="24">
        <f>'Form 42 8A p2'!N43</f>
        <v>0</v>
      </c>
      <c r="O32" s="24">
        <f>'Form 42 8A p2'!O43</f>
        <v>0</v>
      </c>
      <c r="P32" s="24">
        <f>'Form 42 8A p2'!P43</f>
        <v>0</v>
      </c>
      <c r="Q32" s="24">
        <f>'Form 42 8A p2'!Q43</f>
        <v>0.74562</v>
      </c>
      <c r="R32" s="24">
        <f>'Form 42 8A p2'!R43</f>
        <v>0.74562</v>
      </c>
      <c r="S32" s="24">
        <f>'Form 42 8A p2'!S43</f>
        <v>0.74562</v>
      </c>
    </row>
    <row r="34" spans="1:20" ht="15">
      <c r="A34" s="31" t="s">
        <v>43</v>
      </c>
      <c r="B34" s="1" t="s">
        <v>54</v>
      </c>
      <c r="C34" s="1"/>
      <c r="D34" s="1"/>
      <c r="E34" s="1"/>
      <c r="F34" s="1"/>
      <c r="H34" s="29" t="s">
        <v>491</v>
      </c>
      <c r="I34" s="29" t="s">
        <v>491</v>
      </c>
      <c r="J34" s="29" t="s">
        <v>491</v>
      </c>
      <c r="K34" s="29" t="s">
        <v>491</v>
      </c>
      <c r="L34" s="29" t="s">
        <v>491</v>
      </c>
      <c r="M34" s="29" t="s">
        <v>491</v>
      </c>
      <c r="N34" s="29" t="s">
        <v>491</v>
      </c>
      <c r="O34" s="29" t="s">
        <v>491</v>
      </c>
      <c r="P34" s="29" t="s">
        <v>491</v>
      </c>
      <c r="Q34" s="29" t="s">
        <v>491</v>
      </c>
      <c r="R34" s="29" t="s">
        <v>491</v>
      </c>
      <c r="S34" s="29" t="s">
        <v>491</v>
      </c>
      <c r="T34" s="29" t="s">
        <v>491</v>
      </c>
    </row>
    <row r="35" spans="1:6" ht="15">
      <c r="A35" s="31"/>
      <c r="B35" s="1"/>
      <c r="C35" s="1"/>
      <c r="D35" s="1"/>
      <c r="E35" s="1"/>
      <c r="F35" s="1"/>
    </row>
    <row r="36" spans="1:20" ht="15">
      <c r="A36" s="31" t="s">
        <v>44</v>
      </c>
      <c r="B36" s="1" t="s">
        <v>509</v>
      </c>
      <c r="C36" s="1"/>
      <c r="D36" s="1"/>
      <c r="E36" s="1"/>
      <c r="F36" s="1"/>
      <c r="H36">
        <f>'Form 42 8A p4'!H46</f>
        <v>0</v>
      </c>
      <c r="I36">
        <f>'Form 42 8A p4'!I46</f>
        <v>0</v>
      </c>
      <c r="J36">
        <f>'Form 42 8A p4'!J46</f>
        <v>0</v>
      </c>
      <c r="K36">
        <f>'Form 42 8A p4'!K46</f>
        <v>0</v>
      </c>
      <c r="L36">
        <f>'Form 42 8A p4'!L46</f>
        <v>0</v>
      </c>
      <c r="M36">
        <f>'Form 42 8A p4'!M46</f>
        <v>0</v>
      </c>
      <c r="N36">
        <f>'Form 42 8A p4'!N46</f>
        <v>0</v>
      </c>
      <c r="O36">
        <f>'Form 42 8A p4'!O46</f>
        <v>0</v>
      </c>
      <c r="P36">
        <f>'Form 42 8A p4'!P46</f>
        <v>0</v>
      </c>
      <c r="Q36">
        <f>'Form 42 8A p4'!Q46</f>
        <v>157.36948</v>
      </c>
      <c r="R36">
        <f>'Form 42 8A p4'!R46</f>
        <v>313.77939000000003</v>
      </c>
      <c r="S36">
        <f>'Form 42 8A p4'!S46</f>
        <v>331.05165</v>
      </c>
      <c r="T36">
        <f>SUM(H36:S36)</f>
        <v>802.2005200000001</v>
      </c>
    </row>
    <row r="37" spans="1:20" ht="15">
      <c r="A37" s="31"/>
      <c r="B37" s="1" t="s">
        <v>510</v>
      </c>
      <c r="C37" s="1"/>
      <c r="D37" s="1"/>
      <c r="E37" s="1"/>
      <c r="F37" s="1"/>
      <c r="H37">
        <f>'Form 42 8A p1'!H46</f>
        <v>0</v>
      </c>
      <c r="I37">
        <f>'Form 42 8A p1'!I46</f>
        <v>0</v>
      </c>
      <c r="J37">
        <f>'Form 42 8A p1'!J46</f>
        <v>0</v>
      </c>
      <c r="K37">
        <f>'Form 42 8A p1'!K46</f>
        <v>0</v>
      </c>
      <c r="L37">
        <f>'Form 42 8A p1'!L46</f>
        <v>0</v>
      </c>
      <c r="M37">
        <f>'Form 42 8A p1'!M46</f>
        <v>0</v>
      </c>
      <c r="N37">
        <f>'Form 42 8A p1'!N46</f>
        <v>0</v>
      </c>
      <c r="O37">
        <f>'Form 42 8A p1'!O46</f>
        <v>386.98578</v>
      </c>
      <c r="P37">
        <f>'Form 42 8A p1'!P46</f>
        <v>1066.59168</v>
      </c>
      <c r="Q37">
        <f>'Form 42 8A p1'!Q46</f>
        <v>1703.77632</v>
      </c>
      <c r="R37">
        <f>'Form 42 8A p1'!R46</f>
        <v>2418.0118199999997</v>
      </c>
      <c r="S37">
        <f>'Form 42 8A p1'!S46</f>
        <v>2647.4329199999997</v>
      </c>
      <c r="T37">
        <f>SUM(H37:S37)</f>
        <v>8222.798519999998</v>
      </c>
    </row>
    <row r="38" spans="1:20" ht="15">
      <c r="A38" s="31"/>
      <c r="B38" s="1" t="s">
        <v>511</v>
      </c>
      <c r="C38" s="1"/>
      <c r="D38" s="1"/>
      <c r="E38" s="1"/>
      <c r="F38" s="1"/>
      <c r="H38">
        <f>'Form 42 8A p2'!H46+'Form 42 8A p3'!H46</f>
        <v>0</v>
      </c>
      <c r="I38">
        <f>'Form 42 8A p2'!I46+'Form 42 8A p3'!I46</f>
        <v>0</v>
      </c>
      <c r="J38">
        <f>'Form 42 8A p2'!J46+'Form 42 8A p3'!J46</f>
        <v>0</v>
      </c>
      <c r="K38">
        <f>'Form 42 8A p2'!K46+'Form 42 8A p3'!K46</f>
        <v>0</v>
      </c>
      <c r="L38">
        <f>'Form 42 8A p2'!L46+'Form 42 8A p3'!L46</f>
        <v>0</v>
      </c>
      <c r="M38">
        <f>'Form 42 8A p2'!M46+'Form 42 8A p3'!M46</f>
        <v>0</v>
      </c>
      <c r="N38">
        <f>'Form 42 8A p2'!N46+'Form 42 8A p3'!N46</f>
        <v>0</v>
      </c>
      <c r="O38">
        <f>'Form 42 8A p2'!O46+'Form 42 8A p3'!O46</f>
        <v>0</v>
      </c>
      <c r="P38">
        <f>'Form 42 8A p2'!P46+'Form 42 8A p3'!P46</f>
        <v>0</v>
      </c>
      <c r="Q38">
        <f>'Form 42 8A p2'!Q46+'Form 42 8A p3'!Q46</f>
        <v>0</v>
      </c>
      <c r="R38">
        <f>'Form 42 8A p2'!R46+'Form 42 8A p3'!R46</f>
        <v>0</v>
      </c>
      <c r="S38">
        <f>'Form 42 8A p2'!S46+'Form 42 8A p3'!S46</f>
        <v>2441.1598799999997</v>
      </c>
      <c r="T38" s="16">
        <f>SUM(H38:S38)</f>
        <v>2441.1598799999997</v>
      </c>
    </row>
    <row r="39" ht="15">
      <c r="A39" s="1"/>
    </row>
    <row r="40" spans="1:2" ht="15">
      <c r="A40" s="31" t="s">
        <v>45</v>
      </c>
      <c r="B40" t="s">
        <v>55</v>
      </c>
    </row>
    <row r="41" spans="1:20" ht="15">
      <c r="A41" s="1"/>
      <c r="B41" t="s">
        <v>56</v>
      </c>
      <c r="H41" s="26">
        <f aca="true" t="shared" si="4" ref="H41:P41">SUM(H34:H38)</f>
        <v>0</v>
      </c>
      <c r="I41" s="26">
        <f t="shared" si="4"/>
        <v>0</v>
      </c>
      <c r="J41" s="26">
        <f t="shared" si="4"/>
        <v>0</v>
      </c>
      <c r="K41" s="26">
        <f t="shared" si="4"/>
        <v>0</v>
      </c>
      <c r="L41" s="26">
        <f t="shared" si="4"/>
        <v>0</v>
      </c>
      <c r="M41" s="26">
        <f t="shared" si="4"/>
        <v>0</v>
      </c>
      <c r="N41" s="26">
        <f t="shared" si="4"/>
        <v>0</v>
      </c>
      <c r="O41" s="26">
        <f t="shared" si="4"/>
        <v>386.98578</v>
      </c>
      <c r="P41" s="26">
        <f t="shared" si="4"/>
        <v>1066.59168</v>
      </c>
      <c r="Q41" s="26">
        <f>SUM(Q34:Q38)</f>
        <v>1861.1458</v>
      </c>
      <c r="R41" s="26">
        <f>SUM(R34:R38)</f>
        <v>2731.79121</v>
      </c>
      <c r="S41" s="26">
        <f>SUM(S34:S38)</f>
        <v>5419.64445</v>
      </c>
      <c r="T41" s="26">
        <f>SUM(T34:T38)</f>
        <v>11466.158919999998</v>
      </c>
    </row>
    <row r="42" spans="2:6" ht="15">
      <c r="B42" s="1"/>
      <c r="C42" s="1"/>
      <c r="D42" s="1"/>
      <c r="E42" s="1"/>
      <c r="F42" s="1"/>
    </row>
    <row r="43" spans="1:6" ht="15">
      <c r="A43" s="30" t="s">
        <v>31</v>
      </c>
      <c r="B43" s="1"/>
      <c r="C43" s="1"/>
      <c r="D43" s="1"/>
      <c r="E43" s="1"/>
      <c r="F43" s="1"/>
    </row>
    <row r="44" spans="2:6" ht="15">
      <c r="B44" s="34" t="s">
        <v>592</v>
      </c>
      <c r="C44" s="1"/>
      <c r="D44" s="1"/>
      <c r="E44" s="1"/>
      <c r="F44" s="1"/>
    </row>
    <row r="45" ht="15">
      <c r="B45" s="43" t="s">
        <v>57</v>
      </c>
    </row>
    <row r="46" ht="15">
      <c r="B46" s="43" t="s">
        <v>58</v>
      </c>
    </row>
    <row r="49" spans="8:19" ht="15.75">
      <c r="H49" s="52"/>
      <c r="I49" s="52"/>
      <c r="J49" s="52"/>
      <c r="K49" s="52"/>
      <c r="L49" s="52"/>
      <c r="M49" s="52"/>
      <c r="N49" s="52"/>
      <c r="O49" s="52"/>
      <c r="P49" s="52"/>
      <c r="Q49" s="52"/>
      <c r="R49" s="52"/>
      <c r="S49" s="52"/>
    </row>
    <row r="51" spans="5:19" ht="15.75">
      <c r="E51" s="12"/>
      <c r="H51" s="12"/>
      <c r="I51" s="12"/>
      <c r="J51" s="12"/>
      <c r="K51" s="12"/>
      <c r="L51" s="12"/>
      <c r="M51" s="12"/>
      <c r="N51" s="12"/>
      <c r="O51" s="12"/>
      <c r="P51" s="12"/>
      <c r="Q51" s="12"/>
      <c r="R51" s="12"/>
      <c r="S51" s="12"/>
    </row>
  </sheetData>
  <printOptions/>
  <pageMargins left="0" right="0" top="1" bottom="1" header="0.5" footer="0.5"/>
  <pageSetup horizontalDpi="300" verticalDpi="300" orientation="landscape" scale="48" r:id="rId3"/>
  <legacyDrawing r:id="rId2"/>
</worksheet>
</file>

<file path=xl/worksheets/sheet9.xml><?xml version="1.0" encoding="utf-8"?>
<worksheet xmlns="http://schemas.openxmlformats.org/spreadsheetml/2006/main" xmlns:r="http://schemas.openxmlformats.org/officeDocument/2006/relationships">
  <sheetPr codeName="Sheet8" transitionEvaluation="1"/>
  <dimension ref="A1:U63"/>
  <sheetViews>
    <sheetView defaultGridColor="0" zoomScale="75" zoomScaleNormal="75" colorId="22" workbookViewId="0" topLeftCell="A1">
      <selection activeCell="F30" sqref="F30"/>
    </sheetView>
  </sheetViews>
  <sheetFormatPr defaultColWidth="9.77734375" defaultRowHeight="15"/>
  <cols>
    <col min="1" max="1" width="9.4453125" style="96" customWidth="1"/>
    <col min="2" max="4" width="9.77734375" style="96" customWidth="1"/>
    <col min="5" max="5" width="10.6640625" style="96" customWidth="1"/>
    <col min="6" max="6" width="9.77734375" style="96" customWidth="1"/>
    <col min="7" max="7" width="12.21484375" style="96" customWidth="1"/>
    <col min="8" max="12" width="12.77734375" style="96" customWidth="1"/>
    <col min="13" max="19" width="14.3359375" style="96" customWidth="1"/>
    <col min="20" max="38" width="12.77734375" style="96" customWidth="1"/>
    <col min="39" max="16384" width="9.77734375" style="96" customWidth="1"/>
  </cols>
  <sheetData>
    <row r="1" spans="1:21" ht="15.75">
      <c r="A1" s="8" t="str">
        <f>Appendix!A11</f>
        <v>PROGRESS ENERGY FLORIDA, INC.</v>
      </c>
      <c r="B1" s="98"/>
      <c r="C1" s="98"/>
      <c r="D1" s="98"/>
      <c r="E1" s="98"/>
      <c r="F1" s="98"/>
      <c r="G1" s="98"/>
      <c r="H1" s="98"/>
      <c r="I1" s="98"/>
      <c r="J1" s="98"/>
      <c r="K1" s="98"/>
      <c r="L1" s="98"/>
      <c r="M1" s="98"/>
      <c r="N1" s="98"/>
      <c r="O1" s="98"/>
      <c r="P1" s="98"/>
      <c r="Q1" s="98"/>
      <c r="R1" s="98"/>
      <c r="S1" s="98"/>
      <c r="T1" s="99" t="s">
        <v>573</v>
      </c>
      <c r="U1" s="100"/>
    </row>
    <row r="2" spans="1:20" ht="15">
      <c r="A2" s="100" t="s">
        <v>0</v>
      </c>
      <c r="B2" s="100"/>
      <c r="C2" s="100"/>
      <c r="D2" s="100"/>
      <c r="E2" s="100"/>
      <c r="F2" s="100"/>
      <c r="G2" s="100"/>
      <c r="H2" s="100"/>
      <c r="I2" s="100"/>
      <c r="J2" s="100"/>
      <c r="K2" s="100"/>
      <c r="L2" s="100"/>
      <c r="M2" s="100"/>
      <c r="N2" s="100"/>
      <c r="O2" s="100"/>
      <c r="P2" s="100"/>
      <c r="Q2" s="100"/>
      <c r="R2" s="100"/>
      <c r="S2" s="100"/>
      <c r="T2" s="101" t="s">
        <v>520</v>
      </c>
    </row>
    <row r="3" spans="1:20" ht="15">
      <c r="A3" s="100" t="str">
        <f>'Form 42 -1A'!A3:I3</f>
        <v>Calculation of the Final True-up Amount</v>
      </c>
      <c r="B3" s="102"/>
      <c r="C3" s="102"/>
      <c r="D3" s="102"/>
      <c r="E3" s="102"/>
      <c r="F3" s="102"/>
      <c r="G3" s="102"/>
      <c r="H3" s="102"/>
      <c r="I3" s="98"/>
      <c r="J3" s="98"/>
      <c r="K3" s="98"/>
      <c r="L3" s="98"/>
      <c r="M3" s="98"/>
      <c r="N3" s="98"/>
      <c r="O3" s="98"/>
      <c r="P3" s="98"/>
      <c r="Q3" s="98"/>
      <c r="R3" s="98"/>
      <c r="S3" s="98"/>
      <c r="T3" s="101"/>
    </row>
    <row r="4" spans="1:19" ht="15.75">
      <c r="A4" s="11" t="str">
        <f>'Form 42 -1A'!A4</f>
        <v>January 2003 through December 2003</v>
      </c>
      <c r="B4" s="98"/>
      <c r="C4" s="98"/>
      <c r="D4" s="98"/>
      <c r="E4" s="98"/>
      <c r="F4" s="98"/>
      <c r="G4" s="98"/>
      <c r="H4" s="98"/>
      <c r="I4" s="98"/>
      <c r="J4" s="98"/>
      <c r="K4" s="98"/>
      <c r="L4" s="98"/>
      <c r="M4" s="98"/>
      <c r="N4" s="98"/>
      <c r="O4" s="98"/>
      <c r="P4" s="98"/>
      <c r="Q4" s="98"/>
      <c r="R4" s="98"/>
      <c r="S4" s="98"/>
    </row>
    <row r="5" spans="1:20" ht="15.75">
      <c r="A5" s="103" t="s">
        <v>1</v>
      </c>
      <c r="B5" s="98"/>
      <c r="C5" s="98"/>
      <c r="D5" s="98"/>
      <c r="E5" s="98"/>
      <c r="F5" s="98"/>
      <c r="G5" s="98"/>
      <c r="H5" s="98"/>
      <c r="I5" s="98"/>
      <c r="J5" s="98"/>
      <c r="K5" s="98"/>
      <c r="L5" s="98"/>
      <c r="M5" s="98"/>
      <c r="N5" s="98"/>
      <c r="O5" s="98"/>
      <c r="P5" s="98"/>
      <c r="Q5" s="98"/>
      <c r="R5" s="98"/>
      <c r="S5" s="98"/>
      <c r="T5" s="100"/>
    </row>
    <row r="6" spans="1:19" ht="15">
      <c r="A6" s="104" t="s">
        <v>59</v>
      </c>
      <c r="B6" s="98"/>
      <c r="C6" s="98"/>
      <c r="D6" s="98"/>
      <c r="E6" s="98"/>
      <c r="F6" s="98"/>
      <c r="G6" s="98"/>
      <c r="H6" s="98"/>
      <c r="I6" s="98"/>
      <c r="J6" s="98"/>
      <c r="K6" s="98"/>
      <c r="L6" s="98"/>
      <c r="M6" s="98"/>
      <c r="N6" s="98"/>
      <c r="O6" s="98"/>
      <c r="P6" s="98"/>
      <c r="Q6" s="98"/>
      <c r="R6" s="98"/>
      <c r="S6" s="98"/>
    </row>
    <row r="7" spans="1:19" ht="15">
      <c r="A7" s="98" t="s">
        <v>524</v>
      </c>
      <c r="B7" s="98"/>
      <c r="C7" s="98"/>
      <c r="D7" s="98"/>
      <c r="E7" s="98"/>
      <c r="F7" s="98"/>
      <c r="G7" s="98"/>
      <c r="H7" s="98"/>
      <c r="I7" s="98"/>
      <c r="J7" s="98"/>
      <c r="K7" s="98"/>
      <c r="L7" s="98"/>
      <c r="M7" s="98"/>
      <c r="N7" s="98"/>
      <c r="O7" s="98"/>
      <c r="P7" s="98"/>
      <c r="Q7" s="98"/>
      <c r="R7" s="98"/>
      <c r="S7" s="98"/>
    </row>
    <row r="8" spans="1:21" ht="15.75">
      <c r="A8" s="97" t="s">
        <v>5</v>
      </c>
      <c r="B8" s="98"/>
      <c r="C8" s="98"/>
      <c r="D8" s="98"/>
      <c r="E8" s="98"/>
      <c r="F8" s="98"/>
      <c r="G8" s="98"/>
      <c r="H8" s="98"/>
      <c r="I8" s="98"/>
      <c r="J8" s="98"/>
      <c r="K8" s="98"/>
      <c r="L8" s="98"/>
      <c r="M8" s="98"/>
      <c r="N8" s="98"/>
      <c r="O8" s="98"/>
      <c r="P8" s="98"/>
      <c r="Q8" s="98"/>
      <c r="R8" s="98"/>
      <c r="S8" s="98"/>
      <c r="T8" s="99"/>
      <c r="U8" s="100"/>
    </row>
    <row r="9" spans="1:12" ht="15">
      <c r="A9" s="100"/>
      <c r="B9" s="100"/>
      <c r="C9" s="100"/>
      <c r="D9" s="100"/>
      <c r="E9" s="100"/>
      <c r="F9" s="100"/>
      <c r="G9" s="100"/>
      <c r="H9" s="100"/>
      <c r="I9" s="100"/>
      <c r="J9" s="100"/>
      <c r="K9" s="100"/>
      <c r="L9" s="100"/>
    </row>
    <row r="10" spans="1:20" ht="15">
      <c r="A10" s="100"/>
      <c r="T10" s="105" t="s">
        <v>60</v>
      </c>
    </row>
    <row r="11" spans="7:20" ht="15">
      <c r="G11" s="105" t="s">
        <v>61</v>
      </c>
      <c r="H11" s="105" t="s">
        <v>561</v>
      </c>
      <c r="I11" s="105" t="s">
        <v>561</v>
      </c>
      <c r="J11" s="105" t="s">
        <v>561</v>
      </c>
      <c r="K11" s="105" t="s">
        <v>561</v>
      </c>
      <c r="L11" s="105" t="s">
        <v>561</v>
      </c>
      <c r="M11" s="105" t="s">
        <v>561</v>
      </c>
      <c r="N11" s="105" t="s">
        <v>561</v>
      </c>
      <c r="O11" s="105" t="s">
        <v>561</v>
      </c>
      <c r="P11" s="105" t="s">
        <v>561</v>
      </c>
      <c r="Q11" s="105" t="s">
        <v>561</v>
      </c>
      <c r="R11" s="105" t="s">
        <v>561</v>
      </c>
      <c r="S11" s="105" t="s">
        <v>561</v>
      </c>
      <c r="T11" s="105" t="s">
        <v>2</v>
      </c>
    </row>
    <row r="12" spans="1:20" ht="15.75" thickBot="1">
      <c r="A12" s="106" t="s">
        <v>3</v>
      </c>
      <c r="C12" s="106" t="s">
        <v>62</v>
      </c>
      <c r="E12" s="100"/>
      <c r="F12" s="100"/>
      <c r="G12" s="107" t="s">
        <v>63</v>
      </c>
      <c r="H12" s="107" t="str">
        <f>'Form 42 2A'!H10</f>
        <v>January 03</v>
      </c>
      <c r="I12" s="107" t="str">
        <f>'Form 42 2A'!I10</f>
        <v>February 03</v>
      </c>
      <c r="J12" s="107" t="str">
        <f>'Form 42 2A'!J10</f>
        <v>March 03</v>
      </c>
      <c r="K12" s="107" t="str">
        <f>'Form 42 2A'!K10</f>
        <v>April 03</v>
      </c>
      <c r="L12" s="107" t="str">
        <f>'Form 42 2A'!L10</f>
        <v>May 03</v>
      </c>
      <c r="M12" s="107" t="str">
        <f>'Form 42 2A'!M10</f>
        <v>June 03</v>
      </c>
      <c r="N12" s="107" t="str">
        <f>'Form 42 2A'!N10</f>
        <v>July 03</v>
      </c>
      <c r="O12" s="107" t="str">
        <f>'Form 42 2A'!O10</f>
        <v>August 03</v>
      </c>
      <c r="P12" s="107" t="str">
        <f>'Form 42 2A'!P10</f>
        <v>September 03</v>
      </c>
      <c r="Q12" s="107" t="str">
        <f>'Form 42 2A'!Q10</f>
        <v>October 03</v>
      </c>
      <c r="R12" s="107" t="str">
        <f>'Form 42 2A'!R10</f>
        <v>November 03</v>
      </c>
      <c r="S12" s="107" t="str">
        <f>'Form 42 2A'!S10</f>
        <v>December 03</v>
      </c>
      <c r="T12" s="107" t="s">
        <v>8</v>
      </c>
    </row>
    <row r="13" spans="1:4" ht="15">
      <c r="A13" s="108"/>
      <c r="B13" s="108"/>
      <c r="C13" s="108"/>
      <c r="D13" s="109"/>
    </row>
    <row r="14" spans="1:2" ht="15">
      <c r="A14" s="101" t="s">
        <v>35</v>
      </c>
      <c r="B14" s="96" t="s">
        <v>64</v>
      </c>
    </row>
    <row r="15" spans="1:20" ht="15">
      <c r="A15" s="108"/>
      <c r="B15" s="108" t="s">
        <v>65</v>
      </c>
      <c r="C15" s="108"/>
      <c r="D15" s="108"/>
      <c r="E15" s="108"/>
      <c r="F15" s="108"/>
      <c r="G15" s="108"/>
      <c r="H15" s="110">
        <v>0</v>
      </c>
      <c r="I15" s="110">
        <v>0</v>
      </c>
      <c r="J15" s="110">
        <v>0</v>
      </c>
      <c r="K15" s="110">
        <v>0</v>
      </c>
      <c r="L15" s="110">
        <v>0</v>
      </c>
      <c r="M15" s="110">
        <v>0</v>
      </c>
      <c r="N15" s="110">
        <v>0</v>
      </c>
      <c r="O15" s="111">
        <v>80590</v>
      </c>
      <c r="P15" s="111">
        <v>60759</v>
      </c>
      <c r="Q15" s="111">
        <v>71838</v>
      </c>
      <c r="R15" s="111">
        <v>76876.88</v>
      </c>
      <c r="S15" s="111">
        <v>-29100</v>
      </c>
      <c r="T15" s="110"/>
    </row>
    <row r="16" spans="2:19" ht="15">
      <c r="B16" s="96" t="s">
        <v>66</v>
      </c>
      <c r="H16" s="96">
        <v>0</v>
      </c>
      <c r="I16" s="96">
        <v>0</v>
      </c>
      <c r="J16" s="96">
        <v>0</v>
      </c>
      <c r="K16" s="96">
        <v>0</v>
      </c>
      <c r="L16" s="96">
        <v>0</v>
      </c>
      <c r="M16" s="96">
        <v>0</v>
      </c>
      <c r="N16" s="96">
        <v>0</v>
      </c>
      <c r="O16" s="96">
        <v>0</v>
      </c>
      <c r="P16" s="96">
        <v>0</v>
      </c>
      <c r="Q16" s="96">
        <v>0</v>
      </c>
      <c r="R16" s="96">
        <v>0</v>
      </c>
      <c r="S16" s="112">
        <v>0</v>
      </c>
    </row>
    <row r="17" spans="2:19" ht="15">
      <c r="B17" s="96" t="s">
        <v>67</v>
      </c>
      <c r="H17" s="96">
        <v>0</v>
      </c>
      <c r="I17" s="96">
        <v>0</v>
      </c>
      <c r="J17" s="96">
        <v>0</v>
      </c>
      <c r="K17" s="96">
        <v>0</v>
      </c>
      <c r="L17" s="96">
        <v>0</v>
      </c>
      <c r="M17" s="96">
        <v>0</v>
      </c>
      <c r="N17" s="96">
        <v>0</v>
      </c>
      <c r="O17" s="96">
        <v>0</v>
      </c>
      <c r="P17" s="96">
        <v>0</v>
      </c>
      <c r="Q17" s="96">
        <v>0</v>
      </c>
      <c r="R17" s="96">
        <v>0</v>
      </c>
      <c r="S17" s="96">
        <v>0</v>
      </c>
    </row>
    <row r="18" spans="2:19" ht="15">
      <c r="B18" s="96" t="s">
        <v>536</v>
      </c>
      <c r="H18" s="96">
        <v>0</v>
      </c>
      <c r="I18" s="96">
        <v>0</v>
      </c>
      <c r="J18" s="96">
        <v>0</v>
      </c>
      <c r="K18" s="96">
        <v>0</v>
      </c>
      <c r="L18" s="96">
        <v>0</v>
      </c>
      <c r="M18" s="96">
        <v>0</v>
      </c>
      <c r="N18" s="96">
        <v>0</v>
      </c>
      <c r="O18" s="96">
        <v>0</v>
      </c>
      <c r="P18" s="96">
        <v>0</v>
      </c>
      <c r="Q18" s="96">
        <v>0</v>
      </c>
      <c r="R18" s="96">
        <v>0</v>
      </c>
      <c r="S18" s="96">
        <v>0</v>
      </c>
    </row>
    <row r="19" ht="15"/>
    <row r="20" spans="1:19" ht="15">
      <c r="A20" s="99" t="s">
        <v>36</v>
      </c>
      <c r="B20" s="108" t="s">
        <v>537</v>
      </c>
      <c r="C20" s="108"/>
      <c r="D20" s="108"/>
      <c r="E20" s="108"/>
      <c r="F20" s="108"/>
      <c r="G20" s="110">
        <v>0</v>
      </c>
      <c r="H20" s="96">
        <v>0</v>
      </c>
      <c r="I20" s="96">
        <v>0</v>
      </c>
      <c r="J20" s="96">
        <v>0</v>
      </c>
      <c r="K20" s="96">
        <v>0</v>
      </c>
      <c r="L20" s="96">
        <v>0</v>
      </c>
      <c r="M20" s="96">
        <v>0</v>
      </c>
      <c r="N20" s="96">
        <v>0</v>
      </c>
      <c r="O20" s="96">
        <v>0</v>
      </c>
      <c r="P20" s="96">
        <v>0</v>
      </c>
      <c r="Q20" s="96">
        <v>0</v>
      </c>
      <c r="R20" s="96">
        <v>0</v>
      </c>
      <c r="S20" s="96">
        <v>0</v>
      </c>
    </row>
    <row r="21" spans="1:19" ht="15">
      <c r="A21" s="101" t="s">
        <v>38</v>
      </c>
      <c r="B21" s="108" t="s">
        <v>549</v>
      </c>
      <c r="D21" s="105"/>
      <c r="G21" s="96">
        <v>0</v>
      </c>
      <c r="H21" s="96">
        <v>0</v>
      </c>
      <c r="I21" s="96">
        <v>0</v>
      </c>
      <c r="J21" s="96">
        <v>0</v>
      </c>
      <c r="K21" s="96">
        <v>0</v>
      </c>
      <c r="L21" s="96">
        <v>0</v>
      </c>
      <c r="M21" s="96">
        <v>0</v>
      </c>
      <c r="N21" s="96">
        <v>0</v>
      </c>
      <c r="O21" s="96">
        <v>0</v>
      </c>
      <c r="P21" s="96">
        <v>0</v>
      </c>
      <c r="Q21" s="96">
        <v>0</v>
      </c>
      <c r="R21" s="96">
        <v>0</v>
      </c>
      <c r="S21" s="96">
        <v>0</v>
      </c>
    </row>
    <row r="22" spans="1:19" ht="15">
      <c r="A22" s="99" t="s">
        <v>39</v>
      </c>
      <c r="B22" s="108" t="s">
        <v>71</v>
      </c>
      <c r="C22" s="108"/>
      <c r="D22" s="108"/>
      <c r="E22" s="108"/>
      <c r="F22" s="108"/>
      <c r="G22" s="113">
        <v>0</v>
      </c>
      <c r="H22" s="113">
        <v>0</v>
      </c>
      <c r="I22" s="113">
        <v>0</v>
      </c>
      <c r="J22" s="113">
        <v>0</v>
      </c>
      <c r="K22" s="113">
        <v>0</v>
      </c>
      <c r="L22" s="113">
        <v>0</v>
      </c>
      <c r="M22" s="113">
        <v>0</v>
      </c>
      <c r="N22" s="113">
        <v>0</v>
      </c>
      <c r="O22" s="141">
        <f>O15</f>
        <v>80590</v>
      </c>
      <c r="P22" s="141">
        <f>O22+P15</f>
        <v>141349</v>
      </c>
      <c r="Q22" s="141">
        <f>P22+Q15</f>
        <v>213187</v>
      </c>
      <c r="R22" s="141">
        <f>Q22+R15</f>
        <v>290063.88</v>
      </c>
      <c r="S22" s="141">
        <f>R22+S15</f>
        <v>260963.88</v>
      </c>
    </row>
    <row r="23" spans="1:20" ht="15">
      <c r="A23" s="99" t="s">
        <v>40</v>
      </c>
      <c r="B23" s="108" t="s">
        <v>543</v>
      </c>
      <c r="C23" s="108"/>
      <c r="D23" s="108"/>
      <c r="E23" s="108"/>
      <c r="F23" s="108"/>
      <c r="G23" s="114">
        <f aca="true" t="shared" si="0" ref="G23:S23">G20+G21+G22</f>
        <v>0</v>
      </c>
      <c r="H23" s="115">
        <f t="shared" si="0"/>
        <v>0</v>
      </c>
      <c r="I23" s="115">
        <f t="shared" si="0"/>
        <v>0</v>
      </c>
      <c r="J23" s="115">
        <f t="shared" si="0"/>
        <v>0</v>
      </c>
      <c r="K23" s="115">
        <f t="shared" si="0"/>
        <v>0</v>
      </c>
      <c r="L23" s="115">
        <f t="shared" si="0"/>
        <v>0</v>
      </c>
      <c r="M23" s="115">
        <f t="shared" si="0"/>
        <v>0</v>
      </c>
      <c r="N23" s="115">
        <f t="shared" si="0"/>
        <v>0</v>
      </c>
      <c r="O23" s="115">
        <f t="shared" si="0"/>
        <v>80590</v>
      </c>
      <c r="P23" s="115">
        <f t="shared" si="0"/>
        <v>141349</v>
      </c>
      <c r="Q23" s="115">
        <f t="shared" si="0"/>
        <v>213187</v>
      </c>
      <c r="R23" s="115">
        <f t="shared" si="0"/>
        <v>290063.88</v>
      </c>
      <c r="S23" s="115">
        <f t="shared" si="0"/>
        <v>260963.88</v>
      </c>
      <c r="T23" s="116"/>
    </row>
    <row r="24" ht="15"/>
    <row r="25" spans="1:19" ht="15">
      <c r="A25" s="101" t="s">
        <v>42</v>
      </c>
      <c r="B25" s="96" t="s">
        <v>73</v>
      </c>
      <c r="H25" s="96">
        <f aca="true" t="shared" si="1" ref="H25:S25">ROUND((+G23+H23)/2,0)</f>
        <v>0</v>
      </c>
      <c r="I25" s="96">
        <f t="shared" si="1"/>
        <v>0</v>
      </c>
      <c r="J25" s="96">
        <f t="shared" si="1"/>
        <v>0</v>
      </c>
      <c r="K25" s="96">
        <f t="shared" si="1"/>
        <v>0</v>
      </c>
      <c r="L25" s="96">
        <f t="shared" si="1"/>
        <v>0</v>
      </c>
      <c r="M25" s="96">
        <f t="shared" si="1"/>
        <v>0</v>
      </c>
      <c r="N25" s="96">
        <f t="shared" si="1"/>
        <v>0</v>
      </c>
      <c r="O25" s="96">
        <f t="shared" si="1"/>
        <v>40295</v>
      </c>
      <c r="P25" s="96">
        <f t="shared" si="1"/>
        <v>110970</v>
      </c>
      <c r="Q25" s="96">
        <f t="shared" si="1"/>
        <v>177268</v>
      </c>
      <c r="R25" s="96">
        <f t="shared" si="1"/>
        <v>251625</v>
      </c>
      <c r="S25" s="96">
        <f t="shared" si="1"/>
        <v>275514</v>
      </c>
    </row>
    <row r="26" ht="15"/>
    <row r="27" spans="1:2" ht="15">
      <c r="A27" s="101" t="s">
        <v>43</v>
      </c>
      <c r="B27" s="96" t="s">
        <v>74</v>
      </c>
    </row>
    <row r="28" spans="1:20" ht="15">
      <c r="A28" s="108"/>
      <c r="B28" s="96" t="s">
        <v>538</v>
      </c>
      <c r="C28" s="108"/>
      <c r="D28" s="108"/>
      <c r="E28" s="108"/>
      <c r="F28" s="129">
        <v>0.1075</v>
      </c>
      <c r="G28" s="108"/>
      <c r="H28" s="108">
        <f>H25*$F$28/12</f>
        <v>0</v>
      </c>
      <c r="I28" s="108">
        <f aca="true" t="shared" si="2" ref="I28:S28">I25*$F$28/12</f>
        <v>0</v>
      </c>
      <c r="J28" s="108">
        <f t="shared" si="2"/>
        <v>0</v>
      </c>
      <c r="K28" s="108">
        <f t="shared" si="2"/>
        <v>0</v>
      </c>
      <c r="L28" s="108">
        <f t="shared" si="2"/>
        <v>0</v>
      </c>
      <c r="M28" s="108">
        <f t="shared" si="2"/>
        <v>0</v>
      </c>
      <c r="N28" s="108">
        <f t="shared" si="2"/>
        <v>0</v>
      </c>
      <c r="O28" s="108">
        <f t="shared" si="2"/>
        <v>360.9760416666666</v>
      </c>
      <c r="P28" s="108">
        <f t="shared" si="2"/>
        <v>994.1062499999999</v>
      </c>
      <c r="Q28" s="108">
        <f t="shared" si="2"/>
        <v>1588.0258333333334</v>
      </c>
      <c r="R28" s="108">
        <f t="shared" si="2"/>
        <v>2254.140625</v>
      </c>
      <c r="S28" s="108">
        <f t="shared" si="2"/>
        <v>2468.1462500000002</v>
      </c>
      <c r="T28" s="110">
        <f>SUM(H28:S28)</f>
        <v>7665.395</v>
      </c>
    </row>
    <row r="29" spans="2:20" ht="15">
      <c r="B29" s="96" t="s">
        <v>565</v>
      </c>
      <c r="F29" s="130">
        <v>0.0257</v>
      </c>
      <c r="H29" s="108">
        <f>H25*$F$29/12</f>
        <v>0</v>
      </c>
      <c r="I29" s="108">
        <f aca="true" t="shared" si="3" ref="I29:S29">I25*$F$29/12</f>
        <v>0</v>
      </c>
      <c r="J29" s="108">
        <f t="shared" si="3"/>
        <v>0</v>
      </c>
      <c r="K29" s="108">
        <f t="shared" si="3"/>
        <v>0</v>
      </c>
      <c r="L29" s="108">
        <f t="shared" si="3"/>
        <v>0</v>
      </c>
      <c r="M29" s="108">
        <f t="shared" si="3"/>
        <v>0</v>
      </c>
      <c r="N29" s="108">
        <f t="shared" si="3"/>
        <v>0</v>
      </c>
      <c r="O29" s="108">
        <f t="shared" si="3"/>
        <v>86.29845833333333</v>
      </c>
      <c r="P29" s="108">
        <f t="shared" si="3"/>
        <v>237.66075</v>
      </c>
      <c r="Q29" s="108">
        <f t="shared" si="3"/>
        <v>379.64896666666664</v>
      </c>
      <c r="R29" s="108">
        <f t="shared" si="3"/>
        <v>538.896875</v>
      </c>
      <c r="S29" s="108">
        <f t="shared" si="3"/>
        <v>590.05915</v>
      </c>
      <c r="T29" s="96">
        <f>SUM(H29:S29)</f>
        <v>1832.5642</v>
      </c>
    </row>
    <row r="30" ht="15"/>
    <row r="31" spans="1:2" ht="15">
      <c r="A31" s="101" t="s">
        <v>44</v>
      </c>
      <c r="B31" s="96" t="s">
        <v>77</v>
      </c>
    </row>
    <row r="32" spans="2:20" ht="15">
      <c r="B32" s="76" t="s">
        <v>574</v>
      </c>
      <c r="C32" s="76"/>
      <c r="D32" s="128">
        <v>0.036</v>
      </c>
      <c r="E32" s="76"/>
      <c r="H32" s="96">
        <f>H20*$D$32/12</f>
        <v>0</v>
      </c>
      <c r="I32" s="96">
        <f aca="true" t="shared" si="4" ref="I32:S32">I20*$D$32/12</f>
        <v>0</v>
      </c>
      <c r="J32" s="96">
        <f t="shared" si="4"/>
        <v>0</v>
      </c>
      <c r="K32" s="96">
        <f t="shared" si="4"/>
        <v>0</v>
      </c>
      <c r="L32" s="96">
        <f t="shared" si="4"/>
        <v>0</v>
      </c>
      <c r="M32" s="96">
        <f t="shared" si="4"/>
        <v>0</v>
      </c>
      <c r="N32" s="96">
        <f t="shared" si="4"/>
        <v>0</v>
      </c>
      <c r="O32" s="96">
        <f t="shared" si="4"/>
        <v>0</v>
      </c>
      <c r="P32" s="96">
        <f t="shared" si="4"/>
        <v>0</v>
      </c>
      <c r="Q32" s="96">
        <f t="shared" si="4"/>
        <v>0</v>
      </c>
      <c r="R32" s="96">
        <f t="shared" si="4"/>
        <v>0</v>
      </c>
      <c r="S32" s="96">
        <f t="shared" si="4"/>
        <v>0</v>
      </c>
      <c r="T32" s="96">
        <f>SUM(H32:S32)</f>
        <v>0</v>
      </c>
    </row>
    <row r="33" spans="2:20" ht="15">
      <c r="B33" s="96" t="s">
        <v>539</v>
      </c>
      <c r="H33" s="96">
        <v>0</v>
      </c>
      <c r="I33" s="96">
        <v>0</v>
      </c>
      <c r="J33" s="96">
        <v>0</v>
      </c>
      <c r="K33" s="96">
        <v>0</v>
      </c>
      <c r="L33" s="96">
        <v>0</v>
      </c>
      <c r="M33" s="96">
        <v>0</v>
      </c>
      <c r="N33" s="96">
        <v>0</v>
      </c>
      <c r="O33" s="96">
        <v>0</v>
      </c>
      <c r="P33" s="96">
        <v>0</v>
      </c>
      <c r="Q33" s="96">
        <v>0</v>
      </c>
      <c r="R33" s="96">
        <v>0</v>
      </c>
      <c r="S33" s="96">
        <v>0</v>
      </c>
      <c r="T33" s="96">
        <f>SUM(H33:S33)</f>
        <v>0</v>
      </c>
    </row>
    <row r="34" spans="2:20" ht="15">
      <c r="B34" s="96" t="s">
        <v>80</v>
      </c>
      <c r="H34" s="105" t="s">
        <v>491</v>
      </c>
      <c r="I34" s="105" t="s">
        <v>491</v>
      </c>
      <c r="J34" s="105" t="s">
        <v>491</v>
      </c>
      <c r="K34" s="105" t="s">
        <v>491</v>
      </c>
      <c r="L34" s="105" t="s">
        <v>491</v>
      </c>
      <c r="M34" s="105" t="s">
        <v>491</v>
      </c>
      <c r="N34" s="105" t="s">
        <v>491</v>
      </c>
      <c r="O34" s="105" t="s">
        <v>491</v>
      </c>
      <c r="P34" s="105" t="s">
        <v>491</v>
      </c>
      <c r="Q34" s="105" t="s">
        <v>491</v>
      </c>
      <c r="R34" s="105" t="s">
        <v>491</v>
      </c>
      <c r="S34" s="105" t="s">
        <v>491</v>
      </c>
      <c r="T34" s="105" t="s">
        <v>491</v>
      </c>
    </row>
    <row r="35" spans="2:20" ht="15">
      <c r="B35" s="96" t="s">
        <v>547</v>
      </c>
      <c r="H35" s="117">
        <f aca="true" t="shared" si="5" ref="H35:P35">(((H20+H21)*0.89)*0.0183381)/12+(((H20+H21)*0.11)*0.0196598)/12</f>
        <v>0</v>
      </c>
      <c r="I35" s="117">
        <f t="shared" si="5"/>
        <v>0</v>
      </c>
      <c r="J35" s="117">
        <f t="shared" si="5"/>
        <v>0</v>
      </c>
      <c r="K35" s="117">
        <f t="shared" si="5"/>
        <v>0</v>
      </c>
      <c r="L35" s="117">
        <f t="shared" si="5"/>
        <v>0</v>
      </c>
      <c r="M35" s="117">
        <f t="shared" si="5"/>
        <v>0</v>
      </c>
      <c r="N35" s="117">
        <f t="shared" si="5"/>
        <v>0</v>
      </c>
      <c r="O35" s="117">
        <f t="shared" si="5"/>
        <v>0</v>
      </c>
      <c r="P35" s="117">
        <f t="shared" si="5"/>
        <v>0</v>
      </c>
      <c r="Q35" s="117">
        <f>(((Q20+Q21)*0.89)*0.0183381)/12+(((Q20+Q21)*0.11)*0.0196598)/12</f>
        <v>0</v>
      </c>
      <c r="R35" s="117">
        <f>(((R20+R21)*0.89)*0.0183381)/12+(((R20+R21)*0.11)*0.0196598)/12</f>
        <v>0</v>
      </c>
      <c r="S35" s="117">
        <f>(((S20+S21)*0.89)*0.0183381)/12+(((S20+S21)*0.11)*0.0196598)/12</f>
        <v>0</v>
      </c>
      <c r="T35" s="96">
        <f>SUM(H35:S35)</f>
        <v>0</v>
      </c>
    </row>
    <row r="36" spans="1:20" ht="15">
      <c r="A36" s="108"/>
      <c r="B36" s="108" t="s">
        <v>540</v>
      </c>
      <c r="C36" s="108"/>
      <c r="D36" s="108"/>
      <c r="E36" s="108"/>
      <c r="F36" s="108"/>
      <c r="G36" s="108"/>
      <c r="H36" s="113">
        <v>0</v>
      </c>
      <c r="I36" s="113">
        <v>0</v>
      </c>
      <c r="J36" s="113">
        <v>0</v>
      </c>
      <c r="K36" s="113">
        <v>0</v>
      </c>
      <c r="L36" s="113">
        <v>0</v>
      </c>
      <c r="M36" s="113">
        <v>0</v>
      </c>
      <c r="N36" s="113">
        <v>0</v>
      </c>
      <c r="O36" s="113">
        <v>0</v>
      </c>
      <c r="P36" s="113">
        <v>0</v>
      </c>
      <c r="Q36" s="113">
        <v>0</v>
      </c>
      <c r="R36" s="113">
        <v>0</v>
      </c>
      <c r="S36" s="113">
        <v>0</v>
      </c>
      <c r="T36" s="113">
        <f>SUM(H36:S36)</f>
        <v>0</v>
      </c>
    </row>
    <row r="37" ht="15"/>
    <row r="38" spans="1:20" ht="15">
      <c r="A38" s="101" t="s">
        <v>45</v>
      </c>
      <c r="B38" s="96" t="s">
        <v>83</v>
      </c>
      <c r="H38" s="96">
        <f aca="true" t="shared" si="6" ref="H38:S38">ROUND(+H28+H29+H32+H33+H34+H35+H36,0)</f>
        <v>0</v>
      </c>
      <c r="I38" s="96">
        <f t="shared" si="6"/>
        <v>0</v>
      </c>
      <c r="J38" s="96">
        <f t="shared" si="6"/>
        <v>0</v>
      </c>
      <c r="K38" s="96">
        <f t="shared" si="6"/>
        <v>0</v>
      </c>
      <c r="L38" s="96">
        <f t="shared" si="6"/>
        <v>0</v>
      </c>
      <c r="M38" s="96">
        <f t="shared" si="6"/>
        <v>0</v>
      </c>
      <c r="N38" s="96">
        <f t="shared" si="6"/>
        <v>0</v>
      </c>
      <c r="O38" s="96">
        <f t="shared" si="6"/>
        <v>447</v>
      </c>
      <c r="P38" s="96">
        <f t="shared" si="6"/>
        <v>1232</v>
      </c>
      <c r="Q38" s="96">
        <f t="shared" si="6"/>
        <v>1968</v>
      </c>
      <c r="R38" s="96">
        <f t="shared" si="6"/>
        <v>2793</v>
      </c>
      <c r="S38" s="96">
        <f t="shared" si="6"/>
        <v>3058</v>
      </c>
      <c r="T38" s="96">
        <f>SUM(H38:S38)</f>
        <v>9498</v>
      </c>
    </row>
    <row r="39" spans="2:20" ht="15">
      <c r="B39" s="96" t="s">
        <v>84</v>
      </c>
      <c r="H39" s="96">
        <f aca="true" t="shared" si="7" ref="H39:P39">ROUND(+H38*0,0)</f>
        <v>0</v>
      </c>
      <c r="I39" s="96">
        <f t="shared" si="7"/>
        <v>0</v>
      </c>
      <c r="J39" s="96">
        <f t="shared" si="7"/>
        <v>0</v>
      </c>
      <c r="K39" s="96">
        <f t="shared" si="7"/>
        <v>0</v>
      </c>
      <c r="L39" s="96">
        <f t="shared" si="7"/>
        <v>0</v>
      </c>
      <c r="M39" s="96">
        <f t="shared" si="7"/>
        <v>0</v>
      </c>
      <c r="N39" s="96">
        <f t="shared" si="7"/>
        <v>0</v>
      </c>
      <c r="O39" s="96">
        <f t="shared" si="7"/>
        <v>0</v>
      </c>
      <c r="P39" s="96">
        <f t="shared" si="7"/>
        <v>0</v>
      </c>
      <c r="Q39" s="96">
        <f>ROUND(+Q38*0,0)</f>
        <v>0</v>
      </c>
      <c r="R39" s="96">
        <f>ROUND(+R38*0,0)</f>
        <v>0</v>
      </c>
      <c r="S39" s="96">
        <f>ROUND(+S38*0,0)</f>
        <v>0</v>
      </c>
      <c r="T39" s="96">
        <f>SUM(H39:S39)</f>
        <v>0</v>
      </c>
    </row>
    <row r="40" spans="2:20" ht="15">
      <c r="B40" s="96" t="s">
        <v>85</v>
      </c>
      <c r="H40" s="96">
        <f aca="true" t="shared" si="8" ref="H40:P40">ROUND(+H38*1,0)</f>
        <v>0</v>
      </c>
      <c r="I40" s="96">
        <f t="shared" si="8"/>
        <v>0</v>
      </c>
      <c r="J40" s="96">
        <f t="shared" si="8"/>
        <v>0</v>
      </c>
      <c r="K40" s="96">
        <f t="shared" si="8"/>
        <v>0</v>
      </c>
      <c r="L40" s="96">
        <f t="shared" si="8"/>
        <v>0</v>
      </c>
      <c r="M40" s="96">
        <f t="shared" si="8"/>
        <v>0</v>
      </c>
      <c r="N40" s="96">
        <f t="shared" si="8"/>
        <v>0</v>
      </c>
      <c r="O40" s="96">
        <f t="shared" si="8"/>
        <v>447</v>
      </c>
      <c r="P40" s="96">
        <f t="shared" si="8"/>
        <v>1232</v>
      </c>
      <c r="Q40" s="96">
        <f>ROUND(+Q38*1,0)</f>
        <v>1968</v>
      </c>
      <c r="R40" s="96">
        <f>ROUND(+R38*1,0)</f>
        <v>2793</v>
      </c>
      <c r="S40" s="96">
        <f>ROUND(+S38*1,0)</f>
        <v>3058</v>
      </c>
      <c r="T40" s="96">
        <f>SUM(H40:S40)</f>
        <v>9498</v>
      </c>
    </row>
    <row r="41" ht="15"/>
    <row r="42" spans="1:20" ht="15">
      <c r="A42" s="99" t="s">
        <v>86</v>
      </c>
      <c r="B42" s="108" t="s">
        <v>87</v>
      </c>
      <c r="C42" s="108"/>
      <c r="D42" s="108"/>
      <c r="E42" s="108"/>
      <c r="F42" s="108"/>
      <c r="G42" s="118"/>
      <c r="H42" s="119" t="s">
        <v>491</v>
      </c>
      <c r="I42" s="119" t="s">
        <v>491</v>
      </c>
      <c r="J42" s="119" t="s">
        <v>491</v>
      </c>
      <c r="K42" s="119" t="s">
        <v>491</v>
      </c>
      <c r="L42" s="119" t="s">
        <v>491</v>
      </c>
      <c r="M42" s="119" t="s">
        <v>491</v>
      </c>
      <c r="N42" s="119" t="s">
        <v>491</v>
      </c>
      <c r="O42" s="119" t="s">
        <v>491</v>
      </c>
      <c r="P42" s="119" t="s">
        <v>491</v>
      </c>
      <c r="Q42" s="119" t="s">
        <v>491</v>
      </c>
      <c r="R42" s="119" t="s">
        <v>491</v>
      </c>
      <c r="S42" s="119" t="s">
        <v>491</v>
      </c>
      <c r="T42" s="118"/>
    </row>
    <row r="43" spans="1:20" ht="15">
      <c r="A43" s="99" t="s">
        <v>88</v>
      </c>
      <c r="B43" s="108" t="s">
        <v>493</v>
      </c>
      <c r="C43" s="108"/>
      <c r="D43" s="108"/>
      <c r="E43" s="108"/>
      <c r="F43" s="108"/>
      <c r="G43" s="118"/>
      <c r="H43" s="118">
        <v>0</v>
      </c>
      <c r="I43" s="118">
        <v>0</v>
      </c>
      <c r="J43" s="118">
        <v>0</v>
      </c>
      <c r="K43" s="118">
        <v>0</v>
      </c>
      <c r="L43" s="118">
        <v>0</v>
      </c>
      <c r="M43" s="118">
        <v>0</v>
      </c>
      <c r="N43" s="118">
        <v>0</v>
      </c>
      <c r="O43" s="120">
        <v>0.86574</v>
      </c>
      <c r="P43" s="120">
        <v>0.86574</v>
      </c>
      <c r="Q43" s="120">
        <v>0.86574</v>
      </c>
      <c r="R43" s="120">
        <v>0.86574</v>
      </c>
      <c r="S43" s="120">
        <v>0.86574</v>
      </c>
      <c r="T43" s="118"/>
    </row>
    <row r="45" spans="1:20" ht="15">
      <c r="A45" s="101" t="s">
        <v>90</v>
      </c>
      <c r="B45" s="96" t="s">
        <v>541</v>
      </c>
      <c r="H45" s="96">
        <f aca="true" t="shared" si="9" ref="H45:S45">ROUND((+H39*H42),0)</f>
        <v>0</v>
      </c>
      <c r="I45" s="96">
        <f t="shared" si="9"/>
        <v>0</v>
      </c>
      <c r="J45" s="96">
        <f t="shared" si="9"/>
        <v>0</v>
      </c>
      <c r="K45" s="96">
        <f t="shared" si="9"/>
        <v>0</v>
      </c>
      <c r="L45" s="96">
        <f t="shared" si="9"/>
        <v>0</v>
      </c>
      <c r="M45" s="96">
        <f t="shared" si="9"/>
        <v>0</v>
      </c>
      <c r="N45" s="96">
        <f t="shared" si="9"/>
        <v>0</v>
      </c>
      <c r="O45" s="96">
        <f t="shared" si="9"/>
        <v>0</v>
      </c>
      <c r="P45" s="96">
        <f t="shared" si="9"/>
        <v>0</v>
      </c>
      <c r="Q45" s="96">
        <f t="shared" si="9"/>
        <v>0</v>
      </c>
      <c r="R45" s="96">
        <f t="shared" si="9"/>
        <v>0</v>
      </c>
      <c r="S45" s="96">
        <f t="shared" si="9"/>
        <v>0</v>
      </c>
      <c r="T45" s="96">
        <f>SUM(H45:S45)</f>
        <v>0</v>
      </c>
    </row>
    <row r="46" spans="1:20" ht="15">
      <c r="A46" s="99" t="s">
        <v>92</v>
      </c>
      <c r="B46" s="108" t="s">
        <v>542</v>
      </c>
      <c r="C46" s="108"/>
      <c r="D46" s="108"/>
      <c r="E46" s="108"/>
      <c r="F46" s="108"/>
      <c r="G46" s="108"/>
      <c r="H46" s="113">
        <f aca="true" t="shared" si="10" ref="H46:S46">(+H40*H43)</f>
        <v>0</v>
      </c>
      <c r="I46" s="113">
        <f t="shared" si="10"/>
        <v>0</v>
      </c>
      <c r="J46" s="113">
        <f t="shared" si="10"/>
        <v>0</v>
      </c>
      <c r="K46" s="113">
        <f t="shared" si="10"/>
        <v>0</v>
      </c>
      <c r="L46" s="113">
        <f t="shared" si="10"/>
        <v>0</v>
      </c>
      <c r="M46" s="113">
        <f t="shared" si="10"/>
        <v>0</v>
      </c>
      <c r="N46" s="113">
        <f t="shared" si="10"/>
        <v>0</v>
      </c>
      <c r="O46" s="113">
        <f t="shared" si="10"/>
        <v>386.98578</v>
      </c>
      <c r="P46" s="113">
        <f t="shared" si="10"/>
        <v>1066.59168</v>
      </c>
      <c r="Q46" s="113">
        <f t="shared" si="10"/>
        <v>1703.77632</v>
      </c>
      <c r="R46" s="113">
        <f t="shared" si="10"/>
        <v>2418.0118199999997</v>
      </c>
      <c r="S46" s="113">
        <f t="shared" si="10"/>
        <v>2647.4329199999997</v>
      </c>
      <c r="T46" s="113">
        <f>SUM(H46:S46)</f>
        <v>8222.798519999998</v>
      </c>
    </row>
    <row r="47" spans="1:20" ht="15.75" thickBot="1">
      <c r="A47" s="99" t="s">
        <v>94</v>
      </c>
      <c r="B47" s="108" t="s">
        <v>95</v>
      </c>
      <c r="C47" s="108"/>
      <c r="D47" s="108"/>
      <c r="E47" s="108"/>
      <c r="F47" s="108"/>
      <c r="G47" s="108"/>
      <c r="H47" s="121">
        <f aca="true" t="shared" si="11" ref="H47:S47">H45+H46</f>
        <v>0</v>
      </c>
      <c r="I47" s="121">
        <f t="shared" si="11"/>
        <v>0</v>
      </c>
      <c r="J47" s="121">
        <f t="shared" si="11"/>
        <v>0</v>
      </c>
      <c r="K47" s="121">
        <f t="shared" si="11"/>
        <v>0</v>
      </c>
      <c r="L47" s="121">
        <f t="shared" si="11"/>
        <v>0</v>
      </c>
      <c r="M47" s="121">
        <f t="shared" si="11"/>
        <v>0</v>
      </c>
      <c r="N47" s="121">
        <f t="shared" si="11"/>
        <v>0</v>
      </c>
      <c r="O47" s="121">
        <f t="shared" si="11"/>
        <v>386.98578</v>
      </c>
      <c r="P47" s="121">
        <f t="shared" si="11"/>
        <v>1066.59168</v>
      </c>
      <c r="Q47" s="121">
        <f t="shared" si="11"/>
        <v>1703.77632</v>
      </c>
      <c r="R47" s="121">
        <f t="shared" si="11"/>
        <v>2418.0118199999997</v>
      </c>
      <c r="S47" s="121">
        <f t="shared" si="11"/>
        <v>2647.4329199999997</v>
      </c>
      <c r="T47" s="121">
        <f>SUM(T45:T46)</f>
        <v>8222.798519999998</v>
      </c>
    </row>
    <row r="49" ht="15">
      <c r="A49" s="122" t="s">
        <v>31</v>
      </c>
    </row>
    <row r="50" spans="1:2" ht="15">
      <c r="A50" s="101" t="s">
        <v>96</v>
      </c>
      <c r="B50" s="96" t="s">
        <v>594</v>
      </c>
    </row>
    <row r="51" spans="1:2" ht="15">
      <c r="A51" s="101" t="s">
        <v>98</v>
      </c>
      <c r="B51" s="96" t="s">
        <v>595</v>
      </c>
    </row>
    <row r="52" spans="1:2" ht="15">
      <c r="A52" s="101" t="s">
        <v>100</v>
      </c>
      <c r="B52" s="96" t="s">
        <v>544</v>
      </c>
    </row>
    <row r="53" spans="1:2" ht="15">
      <c r="A53" s="123" t="s">
        <v>109</v>
      </c>
      <c r="B53" s="96" t="s">
        <v>564</v>
      </c>
    </row>
    <row r="54" spans="1:2" ht="15">
      <c r="A54" s="123" t="s">
        <v>531</v>
      </c>
      <c r="B54" s="96" t="s">
        <v>559</v>
      </c>
    </row>
    <row r="55" spans="1:2" ht="15">
      <c r="A55" s="124" t="s">
        <v>532</v>
      </c>
      <c r="B55" s="125" t="s">
        <v>555</v>
      </c>
    </row>
    <row r="56" spans="1:2" ht="15">
      <c r="A56" s="123" t="s">
        <v>533</v>
      </c>
      <c r="B56" s="96" t="s">
        <v>596</v>
      </c>
    </row>
    <row r="57" spans="1:2" ht="15">
      <c r="A57" s="123" t="s">
        <v>534</v>
      </c>
      <c r="B57" s="96" t="s">
        <v>545</v>
      </c>
    </row>
    <row r="58" spans="1:2" ht="15">
      <c r="A58" s="123" t="s">
        <v>535</v>
      </c>
      <c r="B58" s="96" t="s">
        <v>101</v>
      </c>
    </row>
    <row r="59" spans="1:2" ht="15">
      <c r="A59" s="123" t="s">
        <v>546</v>
      </c>
      <c r="B59" s="96" t="s">
        <v>548</v>
      </c>
    </row>
    <row r="60" ht="15">
      <c r="A60" s="122"/>
    </row>
    <row r="61" ht="15">
      <c r="A61" s="122" t="s">
        <v>528</v>
      </c>
    </row>
    <row r="62" spans="1:2" ht="15">
      <c r="A62" s="105" t="s">
        <v>530</v>
      </c>
      <c r="B62" s="96" t="s">
        <v>529</v>
      </c>
    </row>
    <row r="63" ht="15">
      <c r="A63" s="126"/>
    </row>
  </sheetData>
  <printOptions/>
  <pageMargins left="0" right="0" top="0.75" bottom="0.25" header="0.5" footer="0.5"/>
  <pageSetup horizontalDpi="300" verticalDpi="300" orientation="landscape" scale="43" r:id="rId3"/>
  <headerFooter alignWithMargins="0">
    <oddFooter>&amp;C&amp;R</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Tampa Electric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TECO</dc:creator>
  <cp:keywords/>
  <dc:description/>
  <cp:lastModifiedBy>hgs</cp:lastModifiedBy>
  <cp:lastPrinted>2004-04-01T14:33:18Z</cp:lastPrinted>
  <dcterms:created xsi:type="dcterms:W3CDTF">1997-07-08T16:45:31Z</dcterms:created>
  <dcterms:modified xsi:type="dcterms:W3CDTF">2004-04-01T14:57:14Z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1821750300</vt:i4>
  </property>
  <property fmtid="{D5CDD505-2E9C-101B-9397-08002B2CF9AE}" pid="3" name="_EmailSubject">
    <vt:lpwstr>ECRC_2003TU_Filing_FINAL_Perko.xls</vt:lpwstr>
  </property>
  <property fmtid="{D5CDD505-2E9C-101B-9397-08002B2CF9AE}" pid="4" name="_AuthorEmail">
    <vt:lpwstr>Heidi.Burg@pgnmail.com</vt:lpwstr>
  </property>
  <property fmtid="{D5CDD505-2E9C-101B-9397-08002B2CF9AE}" pid="5" name="_AuthorEmailDisplayName">
    <vt:lpwstr>Burg, Heidi</vt:lpwstr>
  </property>
  <property fmtid="{D5CDD505-2E9C-101B-9397-08002B2CF9AE}" pid="6" name="_ReviewingToolsShownOnce">
    <vt:lpwstr/>
  </property>
</Properties>
</file>