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05" tabRatio="842" activeTab="0"/>
  </bookViews>
  <sheets>
    <sheet name="Unit &amp; Fin Data-input" sheetId="1" r:id="rId1"/>
    <sheet name="O&amp;M escalators-input " sheetId="2" r:id="rId2"/>
    <sheet name="Fuel prices-input" sheetId="3" r:id="rId3"/>
    <sheet name="Emission costs-input" sheetId="4" r:id="rId4"/>
    <sheet name="Capital costs-input" sheetId="5" r:id="rId5"/>
    <sheet name=" O&amp;M costs" sheetId="6" r:id="rId6"/>
    <sheet name="Levelized Cost" sheetId="7" r:id="rId7"/>
    <sheet name="Chart Data" sheetId="8" r:id="rId8"/>
    <sheet name="Chart $MWh" sheetId="9" r:id="rId9"/>
  </sheets>
  <definedNames>
    <definedName name="AFUDCRate">#REF!</definedName>
    <definedName name="Cost_Debt">#REF!</definedName>
    <definedName name="dr">'Unit &amp; Fin Data-input'!$C$38</definedName>
    <definedName name="fuel">'Fuel prices-input'!$B$13:$H$64</definedName>
    <definedName name="fuel1">'Fuel prices-input'!$B$14:$H$64</definedName>
    <definedName name="fuelprice">'Fuel prices-input'!$A$14:$H$64</definedName>
    <definedName name="lev_fuel" localSheetId="3">'Emission costs-input'!#REF!</definedName>
    <definedName name="lev_fuel">'Fuel prices-input'!#REF!</definedName>
    <definedName name="_xlnm.Print_Area" localSheetId="5">' O&amp;M costs'!$A$8:$F$65</definedName>
    <definedName name="_xlnm.Print_Area" localSheetId="3">'Emission costs-input'!$A$8:$E$67</definedName>
    <definedName name="_xlnm.Print_Area" localSheetId="2">'Fuel prices-input'!$A$8:$E$64</definedName>
    <definedName name="_xlnm.Print_Area" localSheetId="6">'Levelized Cost'!$A$8:$T$66</definedName>
    <definedName name="_xlnm.Print_Area" localSheetId="1">'O&amp;M escalators-input '!$A$8:$V$64</definedName>
    <definedName name="_xlnm.Print_Area" localSheetId="0">'Unit &amp; Fin Data-input'!$A$8:$G$45</definedName>
    <definedName name="Tax_Rate">#REF!</definedName>
    <definedName name="WCDebt">#REF!</definedName>
  </definedNames>
  <calcPr fullCalcOnLoad="1"/>
</workbook>
</file>

<file path=xl/sharedStrings.xml><?xml version="1.0" encoding="utf-8"?>
<sst xmlns="http://schemas.openxmlformats.org/spreadsheetml/2006/main" count="209" uniqueCount="127">
  <si>
    <t>Gas</t>
  </si>
  <si>
    <t>Capacity</t>
  </si>
  <si>
    <t>Factor</t>
  </si>
  <si>
    <t>Levelized</t>
  </si>
  <si>
    <t>(%)</t>
  </si>
  <si>
    <t xml:space="preserve"> </t>
  </si>
  <si>
    <t>Technology</t>
  </si>
  <si>
    <t>Fuel</t>
  </si>
  <si>
    <t>Fuel  Type Number (see fuel price pages)</t>
  </si>
  <si>
    <t>Geographic location (for Gas)</t>
  </si>
  <si>
    <t>(1)</t>
  </si>
  <si>
    <t>Gas Transportation Cost $/MMBTU</t>
  </si>
  <si>
    <t>Transportation Cost $/KW</t>
  </si>
  <si>
    <t>Base Operation  (MW) annual average rating</t>
  </si>
  <si>
    <t>Base Op 'Heat Rate, 75 deg. F  (BTU/KWH)</t>
  </si>
  <si>
    <t>Fixed O&amp;M ($/KW-yr) see note</t>
  </si>
  <si>
    <t xml:space="preserve">Capital Replace ($/kW-Yr) </t>
  </si>
  <si>
    <t xml:space="preserve">VOM ($/MWh) </t>
  </si>
  <si>
    <t>Nox emission rate (lb/mmbtu)</t>
  </si>
  <si>
    <t>SO2 emission rate (lb/mmbtu)</t>
  </si>
  <si>
    <t>CO2 emission rate (lb/mmbtu)</t>
  </si>
  <si>
    <t>Hg emission rate (lb/ trillion btu)</t>
  </si>
  <si>
    <t>Discount rate</t>
  </si>
  <si>
    <t>Note:</t>
  </si>
  <si>
    <t>Screening Curve Analysis : O&amp;M Escalators</t>
  </si>
  <si>
    <t>Cost escalation</t>
  </si>
  <si>
    <t>Year</t>
  </si>
  <si>
    <t>FOM escalators (CPH)</t>
  </si>
  <si>
    <t>VOM escalators (PPI)</t>
  </si>
  <si>
    <t>Cap Rep escalators (PPI)</t>
  </si>
  <si>
    <t>Fuel prices $/MMBTU nominal</t>
  </si>
  <si>
    <t>Nox Emission Cost in $ per ton</t>
  </si>
  <si>
    <t>SO2 Emission Cost in $ per ton</t>
  </si>
  <si>
    <t>CO2 Emission Cost in $ per ton</t>
  </si>
  <si>
    <t>Hg Emission Cost in $ per pound</t>
  </si>
  <si>
    <t>FOM $/kW</t>
  </si>
  <si>
    <t>CAP REP $/KW</t>
  </si>
  <si>
    <t>VOM $/KW at 100% CF</t>
  </si>
  <si>
    <t>Book Life</t>
  </si>
  <si>
    <t>Discount Factor:</t>
  </si>
  <si>
    <t>Fixed Costs</t>
  </si>
  <si>
    <t>Variable Costs</t>
  </si>
  <si>
    <t>O&amp;M Costs</t>
  </si>
  <si>
    <t>Financial Data</t>
  </si>
  <si>
    <t>Fixed</t>
  </si>
  <si>
    <t>Capital</t>
  </si>
  <si>
    <t xml:space="preserve"> NOx</t>
  </si>
  <si>
    <t xml:space="preserve"> SO2 </t>
  </si>
  <si>
    <t xml:space="preserve"> CO2</t>
  </si>
  <si>
    <t xml:space="preserve"> Hg</t>
  </si>
  <si>
    <t xml:space="preserve">Variable </t>
  </si>
  <si>
    <t>Operating</t>
  </si>
  <si>
    <t xml:space="preserve"> O&amp;M</t>
  </si>
  <si>
    <t xml:space="preserve"> Repl </t>
  </si>
  <si>
    <t xml:space="preserve"> Transportation</t>
  </si>
  <si>
    <t xml:space="preserve"> Emission</t>
  </si>
  <si>
    <t xml:space="preserve"> Costs</t>
  </si>
  <si>
    <t xml:space="preserve">O&amp;M </t>
  </si>
  <si>
    <t>Total</t>
  </si>
  <si>
    <t xml:space="preserve"> Year</t>
  </si>
  <si>
    <t>$000</t>
  </si>
  <si>
    <t>Heat Rate</t>
  </si>
  <si>
    <t>Fixed O&amp;M ($/KW-yr)</t>
  </si>
  <si>
    <t>Gas Transportation</t>
  </si>
  <si>
    <t>Book Life (from EDM) or length of proposal</t>
  </si>
  <si>
    <t>book life</t>
  </si>
  <si>
    <t>in-service year</t>
  </si>
  <si>
    <t>counter</t>
  </si>
  <si>
    <t>(hide col)</t>
  </si>
  <si>
    <t>costs in entered in year $s</t>
  </si>
  <si>
    <t>in-service date</t>
  </si>
  <si>
    <t>NPV i/s year</t>
  </si>
  <si>
    <t>Unit Operating and Cost Data</t>
  </si>
  <si>
    <t>Operating and Cost Data</t>
  </si>
  <si>
    <t>Interim step Unit 1</t>
  </si>
  <si>
    <t>interim step Unit 1</t>
  </si>
  <si>
    <t>Cumulative esc Unit 1</t>
  </si>
  <si>
    <t>Interim step Unit 2</t>
  </si>
  <si>
    <t>interim step Unit 2</t>
  </si>
  <si>
    <t>I/S Year of Units for comparison</t>
  </si>
  <si>
    <t>the i/s year of the analysis.</t>
  </si>
  <si>
    <t>The costs in this page  for units can be input in different years and the costs will be automatically adjusted to</t>
  </si>
  <si>
    <t>Levelized $/KW i/s year</t>
  </si>
  <si>
    <t>.</t>
  </si>
  <si>
    <t>Base   (MW) (blended summer/winter)</t>
  </si>
  <si>
    <t>source:</t>
  </si>
  <si>
    <t>Capacity payment ($/kw month)</t>
  </si>
  <si>
    <t>N</t>
  </si>
  <si>
    <t>rev req or cap pay</t>
  </si>
  <si>
    <t>Gas MMBTU/day (e.g 200,000 per 3x1 CC)</t>
  </si>
  <si>
    <t xml:space="preserve">Capital Revenue Requirements (nominal $000) </t>
  </si>
  <si>
    <t>Emission prices $/ton nominal</t>
  </si>
  <si>
    <t>Costs entered in year $ (FOM and Cap. Repl.)</t>
  </si>
  <si>
    <t>in year $s:</t>
  </si>
  <si>
    <t>$/kW</t>
  </si>
  <si>
    <t>do not remove</t>
  </si>
  <si>
    <t>$/MWh</t>
  </si>
  <si>
    <t>PV</t>
  </si>
  <si>
    <t>Solar</t>
  </si>
  <si>
    <t xml:space="preserve">Fuel Source: </t>
  </si>
  <si>
    <t xml:space="preserve">Capital Cost $/kW ac = </t>
  </si>
  <si>
    <t>Rating summer kW =</t>
  </si>
  <si>
    <t>used EDM to calculate rev. req.</t>
  </si>
  <si>
    <t>Roof Top Solar C/I</t>
  </si>
  <si>
    <t>Roof Top Solar Commercial Industrial (C/I)</t>
  </si>
  <si>
    <t>1) A typical levelized cost calculation, such as this one, does not account for numerous system cost impacts that must be accounted for in order to obtain a complete picture of the true cost</t>
  </si>
  <si>
    <t>impact of resource options.</t>
  </si>
  <si>
    <t>3) Roof Top Solar's average capacity factor in FPL's service territory is projected to be 25% or lower.</t>
  </si>
  <si>
    <t>2) Roof Top Solar is a non-firm resource and cannot be directly compared to firm resources (such as Turkey Point 6&amp;7).</t>
  </si>
  <si>
    <t>Notes:</t>
  </si>
  <si>
    <t>Table Staff-18e</t>
  </si>
  <si>
    <t>2014 ICF ENV II</t>
  </si>
  <si>
    <t>Data Tables Used in Chart</t>
  </si>
  <si>
    <t>NPV 2014</t>
  </si>
  <si>
    <t>Florida Power &amp; Light Company</t>
  </si>
  <si>
    <t>Docket No. 140009-EI</t>
  </si>
  <si>
    <t>Staff's Second Set of Interrogatories</t>
  </si>
  <si>
    <t>Interrogatory No. 18</t>
  </si>
  <si>
    <t>Attachment No. 5</t>
  </si>
  <si>
    <t>Tab 1 of 9</t>
  </si>
  <si>
    <t>Tab 2 of 9</t>
  </si>
  <si>
    <t>Tab 3 of 9</t>
  </si>
  <si>
    <t>Tab 4 of 9</t>
  </si>
  <si>
    <t>Tab 5 of 9</t>
  </si>
  <si>
    <t>Tab 6 of 9</t>
  </si>
  <si>
    <t>Tab 7 of 9</t>
  </si>
  <si>
    <t>Tab 8 of 9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</si>
</sst>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General_)"/>
    <numFmt numFmtId="173" formatCode="hh:mm\ AM/PM_)"/>
    <numFmt numFmtId="174" formatCode="0.0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_)"/>
    <numFmt numFmtId="179" formatCode="#,##0.0_);\(#,##0.0\)"/>
    <numFmt numFmtId="180" formatCode="0.000%"/>
    <numFmt numFmtId="181" formatCode="&quot;$&quot;#,##0.0_);[Red]\(&quot;$&quot;#,##0.0\)"/>
    <numFmt numFmtId="182" formatCode="#,##0.000"/>
    <numFmt numFmtId="183" formatCode="0.E+00"/>
    <numFmt numFmtId="184" formatCode="#,##0.00000"/>
    <numFmt numFmtId="185" formatCode="#,##0.0000"/>
    <numFmt numFmtId="186" formatCode="#,##0.00000000"/>
    <numFmt numFmtId="187" formatCode="#,##0.0000000"/>
    <numFmt numFmtId="188" formatCode="#,##0.000000"/>
    <numFmt numFmtId="189" formatCode="#,##0.000000000"/>
    <numFmt numFmtId="190" formatCode="&quot;$&quot;#,##0.0000_);[Red]\(&quot;$&quot;#,##0.0000\)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0_);\(0\)"/>
    <numFmt numFmtId="196" formatCode="[$-409]dddd\,\ mmmm\ dd\,\ yyyy"/>
    <numFmt numFmtId="197" formatCode="_(* #,##0.000_);_(* \(#,##0.000\);_(* &quot;-&quot;???_);_(@_)"/>
    <numFmt numFmtId="198" formatCode="_(* #,##0.0_);_(* \(#,##0.0\);_(* &quot;-&quot;?_);_(@_)"/>
    <numFmt numFmtId="199" formatCode="&quot;$&quot;#,##0.00"/>
    <numFmt numFmtId="200" formatCode="&quot;$&quot;#,##0"/>
    <numFmt numFmtId="201" formatCode="0.0%"/>
    <numFmt numFmtId="202" formatCode="#,##0.000_);[Red]\(#,##0.000\)"/>
    <numFmt numFmtId="203" formatCode="[$-409]mmmm\-yy;@"/>
    <numFmt numFmtId="204" formatCode="#,##0.0000_);[Red]\(#,##0.0000\)"/>
    <numFmt numFmtId="205" formatCode="#,##0.0_);[Red]\(#,##0.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64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5">
    <xf numFmtId="168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168" fontId="0" fillId="0" borderId="0">
      <alignment horizontal="left" wrapText="1"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168" fontId="0" fillId="0" borderId="0">
      <alignment horizontal="left" wrapText="1"/>
      <protection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64"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8" fontId="5" fillId="0" borderId="10" xfId="0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/>
      <protection/>
    </xf>
    <xf numFmtId="1" fontId="5" fillId="0" borderId="12" xfId="0" applyNumberFormat="1" applyFont="1" applyFill="1" applyBorder="1" applyAlignment="1" applyProtection="1">
      <alignment horizontal="center"/>
      <protection/>
    </xf>
    <xf numFmtId="1" fontId="5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>
      <alignment/>
    </xf>
    <xf numFmtId="0" fontId="4" fillId="0" borderId="12" xfId="0" applyNumberFormat="1" applyFont="1" applyFill="1" applyBorder="1" applyAlignment="1">
      <alignment horizontal="center"/>
    </xf>
    <xf numFmtId="168" fontId="4" fillId="0" borderId="10" xfId="0" applyFont="1" applyFill="1" applyBorder="1" applyAlignment="1" applyProtection="1">
      <alignment horizontal="center" wrapText="1"/>
      <protection/>
    </xf>
    <xf numFmtId="1" fontId="4" fillId="0" borderId="12" xfId="0" applyNumberFormat="1" applyFon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/>
    </xf>
    <xf numFmtId="168" fontId="4" fillId="0" borderId="0" xfId="0" applyFont="1" applyFill="1" applyBorder="1" applyAlignment="1" applyProtection="1">
      <alignment horizontal="right"/>
      <protection/>
    </xf>
    <xf numFmtId="168" fontId="4" fillId="0" borderId="0" xfId="0" applyFont="1" applyFill="1" applyBorder="1" applyAlignment="1" applyProtection="1" quotePrefix="1">
      <alignment horizontal="right"/>
      <protection/>
    </xf>
    <xf numFmtId="0" fontId="7" fillId="0" borderId="0" xfId="0" applyNumberFormat="1" applyFont="1" applyFill="1" applyAlignment="1">
      <alignment/>
    </xf>
    <xf numFmtId="168" fontId="4" fillId="0" borderId="14" xfId="0" applyFont="1" applyFill="1" applyBorder="1" applyAlignment="1" applyProtection="1" quotePrefix="1">
      <alignment horizontal="right"/>
      <protection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1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3" fontId="9" fillId="0" borderId="0" xfId="0" applyNumberFormat="1" applyFont="1" applyAlignment="1">
      <alignment/>
    </xf>
    <xf numFmtId="195" fontId="9" fillId="0" borderId="0" xfId="0" applyNumberFormat="1" applyFont="1" applyBorder="1" applyAlignment="1">
      <alignment horizontal="center"/>
    </xf>
    <xf numFmtId="195" fontId="9" fillId="0" borderId="0" xfId="0" applyNumberFormat="1" applyFont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168" fontId="10" fillId="0" borderId="0" xfId="0" applyFont="1" applyFill="1" applyBorder="1" applyAlignment="1" applyProtection="1">
      <alignment horizontal="center" wrapText="1"/>
      <protection/>
    </xf>
    <xf numFmtId="176" fontId="9" fillId="0" borderId="0" xfId="61" applyNumberFormat="1" applyFont="1" applyFill="1" applyAlignment="1">
      <alignment/>
    </xf>
    <xf numFmtId="171" fontId="9" fillId="0" borderId="0" xfId="0" applyNumberFormat="1" applyFont="1" applyAlignment="1">
      <alignment horizontal="center"/>
    </xf>
    <xf numFmtId="3" fontId="9" fillId="0" borderId="0" xfId="61" applyNumberFormat="1" applyFont="1" applyAlignment="1">
      <alignment horizontal="center"/>
    </xf>
    <xf numFmtId="184" fontId="9" fillId="0" borderId="0" xfId="61" applyNumberFormat="1" applyFont="1" applyAlignment="1">
      <alignment horizontal="center"/>
    </xf>
    <xf numFmtId="1" fontId="10" fillId="0" borderId="0" xfId="0" applyNumberFormat="1" applyFont="1" applyFill="1" applyBorder="1" applyAlignment="1" applyProtection="1">
      <alignment horizontal="center"/>
      <protection/>
    </xf>
    <xf numFmtId="176" fontId="9" fillId="0" borderId="0" xfId="61" applyNumberFormat="1" applyFont="1" applyFill="1" applyBorder="1" applyAlignment="1">
      <alignment/>
    </xf>
    <xf numFmtId="176" fontId="9" fillId="0" borderId="0" xfId="61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176" fontId="9" fillId="0" borderId="0" xfId="61" applyNumberFormat="1" applyFont="1" applyBorder="1" applyAlignment="1">
      <alignment/>
    </xf>
    <xf numFmtId="176" fontId="9" fillId="0" borderId="0" xfId="61" applyNumberFormat="1" applyFont="1" applyFill="1" applyAlignment="1">
      <alignment horizontal="right"/>
    </xf>
    <xf numFmtId="176" fontId="9" fillId="0" borderId="0" xfId="0" applyNumberFormat="1" applyFont="1" applyFill="1" applyAlignment="1">
      <alignment horizontal="center"/>
    </xf>
    <xf numFmtId="8" fontId="9" fillId="0" borderId="0" xfId="0" applyNumberFormat="1" applyFont="1" applyAlignment="1">
      <alignment horizontal="center"/>
    </xf>
    <xf numFmtId="176" fontId="4" fillId="0" borderId="15" xfId="61" applyNumberFormat="1" applyFont="1" applyFill="1" applyBorder="1" applyAlignment="1">
      <alignment horizontal="center"/>
    </xf>
    <xf numFmtId="176" fontId="4" fillId="0" borderId="16" xfId="61" applyNumberFormat="1" applyFont="1" applyFill="1" applyBorder="1" applyAlignment="1">
      <alignment horizontal="center"/>
    </xf>
    <xf numFmtId="176" fontId="5" fillId="0" borderId="11" xfId="61" applyNumberFormat="1" applyFont="1" applyFill="1" applyBorder="1" applyAlignment="1" applyProtection="1">
      <alignment horizontal="center"/>
      <protection/>
    </xf>
    <xf numFmtId="176" fontId="5" fillId="33" borderId="11" xfId="61" applyNumberFormat="1" applyFont="1" applyFill="1" applyBorder="1" applyAlignment="1" applyProtection="1">
      <alignment horizontal="center"/>
      <protection/>
    </xf>
    <xf numFmtId="176" fontId="5" fillId="0" borderId="12" xfId="61" applyNumberFormat="1" applyFont="1" applyFill="1" applyBorder="1" applyAlignment="1" applyProtection="1">
      <alignment horizontal="center"/>
      <protection/>
    </xf>
    <xf numFmtId="176" fontId="5" fillId="33" borderId="12" xfId="61" applyNumberFormat="1" applyFont="1" applyFill="1" applyBorder="1" applyAlignment="1" applyProtection="1">
      <alignment horizontal="center"/>
      <protection/>
    </xf>
    <xf numFmtId="176" fontId="5" fillId="0" borderId="10" xfId="61" applyNumberFormat="1" applyFont="1" applyFill="1" applyBorder="1" applyAlignment="1" applyProtection="1">
      <alignment horizontal="center"/>
      <protection/>
    </xf>
    <xf numFmtId="176" fontId="5" fillId="33" borderId="10" xfId="61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49" fontId="5" fillId="0" borderId="0" xfId="61" applyNumberFormat="1" applyFont="1" applyBorder="1" applyAlignment="1">
      <alignment horizontal="center"/>
    </xf>
    <xf numFmtId="6" fontId="5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76" fontId="9" fillId="0" borderId="0" xfId="61" applyNumberFormat="1" applyFont="1" applyFill="1" applyBorder="1" applyAlignment="1">
      <alignment horizontal="right"/>
    </xf>
    <xf numFmtId="176" fontId="4" fillId="0" borderId="0" xfId="61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>
      <alignment horizontal="center"/>
    </xf>
    <xf numFmtId="176" fontId="4" fillId="0" borderId="13" xfId="61" applyNumberFormat="1" applyFont="1" applyFill="1" applyBorder="1" applyAlignment="1" applyProtection="1">
      <alignment horizontal="center"/>
      <protection/>
    </xf>
    <xf numFmtId="176" fontId="4" fillId="0" borderId="17" xfId="61" applyNumberFormat="1" applyFont="1" applyFill="1" applyBorder="1" applyAlignment="1" applyProtection="1">
      <alignment horizontal="center"/>
      <protection/>
    </xf>
    <xf numFmtId="168" fontId="4" fillId="0" borderId="17" xfId="0" applyFont="1" applyFill="1" applyBorder="1" applyAlignment="1" applyProtection="1">
      <alignment horizontal="center" wrapText="1"/>
      <protection/>
    </xf>
    <xf numFmtId="168" fontId="4" fillId="0" borderId="16" xfId="0" applyFont="1" applyFill="1" applyBorder="1" applyAlignment="1" applyProtection="1">
      <alignment horizontal="center" wrapText="1"/>
      <protection/>
    </xf>
    <xf numFmtId="182" fontId="4" fillId="0" borderId="0" xfId="61" applyNumberFormat="1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1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 horizontal="center"/>
      <protection/>
    </xf>
    <xf numFmtId="3" fontId="9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1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/>
      <protection/>
    </xf>
    <xf numFmtId="0" fontId="5" fillId="0" borderId="0" xfId="0" applyNumberFormat="1" applyFont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9" xfId="0" applyNumberFormat="1" applyFont="1" applyBorder="1" applyAlignment="1" applyProtection="1">
      <alignment/>
      <protection/>
    </xf>
    <xf numFmtId="0" fontId="4" fillId="0" borderId="14" xfId="0" applyNumberFormat="1" applyFont="1" applyBorder="1" applyAlignment="1" applyProtection="1">
      <alignment horizontal="right"/>
      <protection/>
    </xf>
    <xf numFmtId="1" fontId="4" fillId="0" borderId="20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5" xfId="0" applyNumberFormat="1" applyFont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9" fillId="0" borderId="13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3" fontId="4" fillId="0" borderId="0" xfId="61" applyNumberFormat="1" applyFont="1" applyBorder="1" applyAlignment="1" applyProtection="1">
      <alignment horizontal="center"/>
      <protection/>
    </xf>
    <xf numFmtId="1" fontId="4" fillId="0" borderId="12" xfId="61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/>
      <protection/>
    </xf>
    <xf numFmtId="0" fontId="4" fillId="0" borderId="21" xfId="0" applyNumberFormat="1" applyFont="1" applyBorder="1" applyAlignment="1" applyProtection="1">
      <alignment horizontal="right"/>
      <protection/>
    </xf>
    <xf numFmtId="2" fontId="4" fillId="0" borderId="16" xfId="0" applyNumberFormat="1" applyFont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1" fontId="4" fillId="0" borderId="15" xfId="0" applyNumberFormat="1" applyFont="1" applyBorder="1" applyAlignment="1" applyProtection="1">
      <alignment/>
      <protection/>
    </xf>
    <xf numFmtId="3" fontId="4" fillId="0" borderId="12" xfId="61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3" fontId="4" fillId="0" borderId="21" xfId="61" applyNumberFormat="1" applyFont="1" applyBorder="1" applyAlignment="1" applyProtection="1">
      <alignment horizontal="center"/>
      <protection/>
    </xf>
    <xf numFmtId="176" fontId="4" fillId="0" borderId="21" xfId="61" applyNumberFormat="1" applyFont="1" applyFill="1" applyBorder="1" applyAlignment="1" applyProtection="1">
      <alignment horizontal="center"/>
      <protection/>
    </xf>
    <xf numFmtId="3" fontId="4" fillId="0" borderId="10" xfId="61" applyNumberFormat="1" applyFont="1" applyFill="1" applyBorder="1" applyAlignment="1" applyProtection="1">
      <alignment horizontal="center"/>
      <protection/>
    </xf>
    <xf numFmtId="176" fontId="9" fillId="0" borderId="0" xfId="61" applyNumberFormat="1" applyFont="1" applyAlignment="1" applyProtection="1">
      <alignment horizontal="center"/>
      <protection/>
    </xf>
    <xf numFmtId="176" fontId="9" fillId="0" borderId="0" xfId="61" applyNumberFormat="1" applyFont="1" applyFill="1" applyAlignment="1" applyProtection="1">
      <alignment horizontal="center"/>
      <protection/>
    </xf>
    <xf numFmtId="0" fontId="4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right"/>
      <protection/>
    </xf>
    <xf numFmtId="8" fontId="4" fillId="0" borderId="0" xfId="0" applyNumberFormat="1" applyFont="1" applyAlignment="1" applyProtection="1">
      <alignment/>
      <protection/>
    </xf>
    <xf numFmtId="176" fontId="4" fillId="0" borderId="0" xfId="61" applyNumberFormat="1" applyFont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174" fontId="4" fillId="0" borderId="0" xfId="0" applyNumberFormat="1" applyFont="1" applyAlignment="1">
      <alignment horizontal="center"/>
    </xf>
    <xf numFmtId="176" fontId="4" fillId="0" borderId="0" xfId="61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176" fontId="10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quotePrefix="1">
      <alignment horizontal="center"/>
    </xf>
    <xf numFmtId="0" fontId="14" fillId="34" borderId="0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/>
    </xf>
    <xf numFmtId="0" fontId="14" fillId="34" borderId="0" xfId="0" applyNumberFormat="1" applyFont="1" applyFill="1" applyBorder="1" applyAlignment="1">
      <alignment horizontal="center"/>
    </xf>
    <xf numFmtId="168" fontId="5" fillId="0" borderId="0" xfId="0" applyFont="1" applyFill="1" applyBorder="1" applyAlignment="1" applyProtection="1">
      <alignment horizontal="left"/>
      <protection/>
    </xf>
    <xf numFmtId="168" fontId="4" fillId="0" borderId="0" xfId="0" applyFont="1" applyFill="1" applyBorder="1" applyAlignment="1" applyProtection="1">
      <alignment horizontal="center" vertical="center" wrapText="1"/>
      <protection locked="0"/>
    </xf>
    <xf numFmtId="168" fontId="5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168" fontId="5" fillId="0" borderId="0" xfId="0" applyFont="1" applyFill="1" applyBorder="1" applyAlignment="1">
      <alignment horizontal="left"/>
    </xf>
    <xf numFmtId="168" fontId="4" fillId="0" borderId="0" xfId="0" applyFont="1" applyFill="1" applyBorder="1" applyAlignment="1" applyProtection="1">
      <alignment horizontal="center"/>
      <protection locked="0"/>
    </xf>
    <xf numFmtId="1" fontId="4" fillId="34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8" fontId="4" fillId="34" borderId="0" xfId="0" applyFont="1" applyFill="1" applyBorder="1" applyAlignment="1" applyProtection="1" quotePrefix="1">
      <alignment horizontal="center"/>
      <protection locked="0"/>
    </xf>
    <xf numFmtId="168" fontId="4" fillId="0" borderId="0" xfId="0" applyFont="1" applyFill="1" applyBorder="1" applyAlignment="1" applyProtection="1" quotePrefix="1">
      <alignment horizontal="center"/>
      <protection locked="0"/>
    </xf>
    <xf numFmtId="168" fontId="5" fillId="0" borderId="0" xfId="0" applyFont="1" applyFill="1" applyBorder="1" applyAlignment="1" applyProtection="1">
      <alignment horizontal="center"/>
      <protection locked="0"/>
    </xf>
    <xf numFmtId="3" fontId="4" fillId="34" borderId="0" xfId="61" applyNumberFormat="1" applyFont="1" applyFill="1" applyBorder="1" applyAlignment="1" applyProtection="1" quotePrefix="1">
      <alignment horizontal="center"/>
      <protection locked="0"/>
    </xf>
    <xf numFmtId="3" fontId="4" fillId="0" borderId="0" xfId="61" applyNumberFormat="1" applyFont="1" applyFill="1" applyBorder="1" applyAlignment="1" applyProtection="1" quotePrefix="1">
      <alignment horizontal="center"/>
      <protection locked="0"/>
    </xf>
    <xf numFmtId="4" fontId="4" fillId="34" borderId="0" xfId="61" applyNumberFormat="1" applyFont="1" applyFill="1" applyBorder="1" applyAlignment="1" applyProtection="1" quotePrefix="1">
      <alignment horizontal="center"/>
      <protection locked="0"/>
    </xf>
    <xf numFmtId="2" fontId="4" fillId="0" borderId="0" xfId="0" applyNumberFormat="1" applyFont="1" applyFill="1" applyBorder="1" applyAlignment="1" applyProtection="1" quotePrefix="1">
      <alignment horizontal="center"/>
      <protection locked="0"/>
    </xf>
    <xf numFmtId="168" fontId="5" fillId="33" borderId="0" xfId="0" applyFont="1" applyFill="1" applyBorder="1" applyAlignment="1">
      <alignment horizontal="left"/>
    </xf>
    <xf numFmtId="2" fontId="4" fillId="33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4" fillId="34" borderId="0" xfId="62" applyNumberFormat="1" applyFont="1" applyFill="1" applyBorder="1" applyAlignment="1" applyProtection="1">
      <alignment horizontal="center"/>
      <protection locked="0"/>
    </xf>
    <xf numFmtId="3" fontId="4" fillId="0" borderId="0" xfId="62" applyNumberFormat="1" applyFont="1" applyFill="1" applyBorder="1" applyAlignment="1" applyProtection="1">
      <alignment horizontal="center"/>
      <protection locked="0"/>
    </xf>
    <xf numFmtId="168" fontId="5" fillId="0" borderId="0" xfId="0" applyFont="1" applyFill="1" applyBorder="1" applyAlignment="1" applyProtection="1" quotePrefix="1">
      <alignment horizontal="left"/>
      <protection/>
    </xf>
    <xf numFmtId="2" fontId="4" fillId="34" borderId="0" xfId="0" applyNumberFormat="1" applyFont="1" applyFill="1" applyBorder="1" applyAlignment="1" applyProtection="1">
      <alignment horizontal="center"/>
      <protection locked="0"/>
    </xf>
    <xf numFmtId="171" fontId="4" fillId="34" borderId="0" xfId="0" applyNumberFormat="1" applyFont="1" applyFill="1" applyBorder="1" applyAlignment="1" applyProtection="1">
      <alignment horizontal="center"/>
      <protection locked="0"/>
    </xf>
    <xf numFmtId="171" fontId="4" fillId="0" borderId="0" xfId="0" applyNumberFormat="1" applyFont="1" applyFill="1" applyBorder="1" applyAlignment="1" applyProtection="1">
      <alignment horizontal="center"/>
      <protection locked="0"/>
    </xf>
    <xf numFmtId="1" fontId="4" fillId="34" borderId="0" xfId="0" applyNumberFormat="1" applyFont="1" applyFill="1" applyBorder="1" applyAlignment="1" applyProtection="1">
      <alignment horizontal="center"/>
      <protection locked="0"/>
    </xf>
    <xf numFmtId="174" fontId="4" fillId="34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5" fillId="34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18" xfId="0" applyNumberFormat="1" applyFont="1" applyFill="1" applyBorder="1" applyAlignment="1" applyProtection="1">
      <alignment horizontal="center" wrapText="1"/>
      <protection locked="0"/>
    </xf>
    <xf numFmtId="0" fontId="5" fillId="0" borderId="22" xfId="0" applyNumberFormat="1" applyFont="1" applyFill="1" applyBorder="1" applyAlignment="1" applyProtection="1">
      <alignment horizontal="center" wrapText="1"/>
      <protection locked="0"/>
    </xf>
    <xf numFmtId="0" fontId="5" fillId="0" borderId="23" xfId="0" applyNumberFormat="1" applyFont="1" applyFill="1" applyBorder="1" applyAlignment="1" applyProtection="1">
      <alignment horizontal="center" wrapText="1"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171" fontId="4" fillId="34" borderId="13" xfId="0" applyNumberFormat="1" applyFont="1" applyFill="1" applyBorder="1" applyAlignment="1" applyProtection="1">
      <alignment horizontal="center"/>
      <protection locked="0"/>
    </xf>
    <xf numFmtId="171" fontId="4" fillId="34" borderId="12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 quotePrefix="1">
      <alignment horizontal="center"/>
      <protection locked="0"/>
    </xf>
    <xf numFmtId="0" fontId="12" fillId="0" borderId="15" xfId="0" applyNumberFormat="1" applyFont="1" applyFill="1" applyBorder="1" applyAlignment="1" applyProtection="1" quotePrefix="1">
      <alignment horizontal="center"/>
      <protection locked="0"/>
    </xf>
    <xf numFmtId="2" fontId="4" fillId="0" borderId="13" xfId="0" applyNumberFormat="1" applyFont="1" applyFill="1" applyBorder="1" applyAlignment="1" applyProtection="1" quotePrefix="1">
      <alignment horizontal="center"/>
      <protection/>
    </xf>
    <xf numFmtId="2" fontId="4" fillId="0" borderId="0" xfId="0" applyNumberFormat="1" applyFont="1" applyFill="1" applyBorder="1" applyAlignment="1" applyProtection="1" quotePrefix="1">
      <alignment horizontal="center"/>
      <protection/>
    </xf>
    <xf numFmtId="2" fontId="4" fillId="0" borderId="15" xfId="0" applyNumberFormat="1" applyFont="1" applyFill="1" applyBorder="1" applyAlignment="1" applyProtection="1" quotePrefix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 quotePrefix="1">
      <alignment horizontal="center"/>
      <protection/>
    </xf>
    <xf numFmtId="0" fontId="12" fillId="0" borderId="15" xfId="0" applyNumberFormat="1" applyFont="1" applyFill="1" applyBorder="1" applyAlignment="1" applyProtection="1" quotePrefix="1">
      <alignment horizontal="center"/>
      <protection/>
    </xf>
    <xf numFmtId="2" fontId="12" fillId="0" borderId="0" xfId="0" applyNumberFormat="1" applyFont="1" applyFill="1" applyBorder="1" applyAlignment="1" applyProtection="1" quotePrefix="1">
      <alignment horizontal="center"/>
      <protection locked="0"/>
    </xf>
    <xf numFmtId="2" fontId="12" fillId="0" borderId="15" xfId="0" applyNumberFormat="1" applyFont="1" applyFill="1" applyBorder="1" applyAlignment="1" applyProtection="1" quotePrefix="1">
      <alignment horizontal="center"/>
      <protection locked="0"/>
    </xf>
    <xf numFmtId="2" fontId="12" fillId="0" borderId="0" xfId="0" applyNumberFormat="1" applyFont="1" applyFill="1" applyBorder="1" applyAlignment="1" applyProtection="1" quotePrefix="1">
      <alignment horizontal="center"/>
      <protection/>
    </xf>
    <xf numFmtId="2" fontId="12" fillId="0" borderId="15" xfId="0" applyNumberFormat="1" applyFont="1" applyFill="1" applyBorder="1" applyAlignment="1" applyProtection="1" quotePrefix="1">
      <alignment horizontal="center"/>
      <protection/>
    </xf>
    <xf numFmtId="171" fontId="4" fillId="34" borderId="17" xfId="0" applyNumberFormat="1" applyFont="1" applyFill="1" applyBorder="1" applyAlignment="1" applyProtection="1">
      <alignment horizontal="center"/>
      <protection locked="0"/>
    </xf>
    <xf numFmtId="171" fontId="4" fillId="34" borderId="10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174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 applyProtection="1" quotePrefix="1">
      <alignment horizontal="center"/>
      <protection/>
    </xf>
    <xf numFmtId="2" fontId="4" fillId="0" borderId="21" xfId="0" applyNumberFormat="1" applyFont="1" applyFill="1" applyBorder="1" applyAlignment="1" applyProtection="1" quotePrefix="1">
      <alignment horizontal="center"/>
      <protection/>
    </xf>
    <xf numFmtId="2" fontId="4" fillId="0" borderId="16" xfId="0" applyNumberFormat="1" applyFont="1" applyFill="1" applyBorder="1" applyAlignment="1" applyProtection="1" quotePrefix="1">
      <alignment horizontal="center"/>
      <protection/>
    </xf>
    <xf numFmtId="0" fontId="16" fillId="0" borderId="0" xfId="0" applyNumberFormat="1" applyFont="1" applyFill="1" applyBorder="1" applyAlignment="1">
      <alignment/>
    </xf>
    <xf numFmtId="0" fontId="17" fillId="0" borderId="0" xfId="0" applyNumberFormat="1" applyFont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 wrapText="1"/>
    </xf>
    <xf numFmtId="1" fontId="5" fillId="0" borderId="21" xfId="0" applyNumberFormat="1" applyFont="1" applyBorder="1" applyAlignment="1">
      <alignment horizontal="center"/>
    </xf>
    <xf numFmtId="174" fontId="4" fillId="34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71" fontId="4" fillId="0" borderId="0" xfId="0" applyNumberFormat="1" applyFont="1" applyAlignment="1">
      <alignment/>
    </xf>
    <xf numFmtId="14" fontId="4" fillId="0" borderId="0" xfId="0" applyNumberFormat="1" applyFont="1" applyFill="1" applyAlignment="1">
      <alignment/>
    </xf>
    <xf numFmtId="1" fontId="4" fillId="0" borderId="0" xfId="77" applyNumberFormat="1" applyFont="1" applyFill="1" applyAlignment="1">
      <alignment horizontal="center"/>
      <protection/>
    </xf>
    <xf numFmtId="199" fontId="4" fillId="0" borderId="0" xfId="63" applyNumberFormat="1" applyFont="1" applyFill="1" applyAlignment="1">
      <alignment horizontal="center"/>
    </xf>
    <xf numFmtId="199" fontId="4" fillId="0" borderId="0" xfId="0" applyNumberFormat="1" applyFont="1" applyFill="1" applyAlignment="1">
      <alignment/>
    </xf>
    <xf numFmtId="171" fontId="4" fillId="0" borderId="0" xfId="0" applyNumberFormat="1" applyFont="1" applyFill="1" applyAlignment="1">
      <alignment/>
    </xf>
    <xf numFmtId="0" fontId="4" fillId="0" borderId="0" xfId="76" applyFont="1" applyFill="1" applyAlignment="1">
      <alignment horizontal="center"/>
      <protection/>
    </xf>
    <xf numFmtId="0" fontId="17" fillId="0" borderId="0" xfId="76" applyFont="1" applyAlignment="1">
      <alignment horizontal="center"/>
      <protection/>
    </xf>
    <xf numFmtId="0" fontId="20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22" fillId="34" borderId="0" xfId="0" applyNumberFormat="1" applyFont="1" applyFill="1" applyBorder="1" applyAlignment="1">
      <alignment/>
    </xf>
    <xf numFmtId="0" fontId="5" fillId="0" borderId="21" xfId="0" applyNumberFormat="1" applyFont="1" applyFill="1" applyBorder="1" applyAlignment="1">
      <alignment horizontal="center" wrapText="1"/>
    </xf>
    <xf numFmtId="0" fontId="5" fillId="0" borderId="21" xfId="0" applyNumberFormat="1" applyFont="1" applyBorder="1" applyAlignment="1">
      <alignment horizontal="center" wrapText="1"/>
    </xf>
    <xf numFmtId="3" fontId="4" fillId="34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4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5" fillId="0" borderId="13" xfId="0" applyNumberFormat="1" applyFont="1" applyBorder="1" applyAlignment="1" applyProtection="1">
      <alignment/>
      <protection/>
    </xf>
    <xf numFmtId="1" fontId="5" fillId="0" borderId="15" xfId="0" applyNumberFormat="1" applyFont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 wrapText="1"/>
      <protection locked="0"/>
    </xf>
    <xf numFmtId="0" fontId="5" fillId="0" borderId="21" xfId="0" applyNumberFormat="1" applyFont="1" applyFill="1" applyBorder="1" applyAlignment="1" applyProtection="1">
      <alignment horizontal="center" wrapText="1"/>
      <protection locked="0"/>
    </xf>
    <xf numFmtId="0" fontId="5" fillId="0" borderId="16" xfId="0" applyNumberFormat="1" applyFont="1" applyBorder="1" applyAlignment="1" applyProtection="1">
      <alignment horizontal="center" wrapText="1"/>
      <protection locked="0"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Border="1" applyAlignment="1" applyProtection="1">
      <alignment horizontal="center"/>
      <protection/>
    </xf>
    <xf numFmtId="3" fontId="4" fillId="35" borderId="15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right"/>
      <protection/>
    </xf>
    <xf numFmtId="3" fontId="12" fillId="0" borderId="0" xfId="0" applyNumberFormat="1" applyFont="1" applyFill="1" applyBorder="1" applyAlignment="1" applyProtection="1">
      <alignment horizontal="center"/>
      <protection/>
    </xf>
    <xf numFmtId="3" fontId="4" fillId="0" borderId="0" xfId="61" applyNumberFormat="1" applyFont="1" applyFill="1" applyBorder="1" applyAlignment="1" applyProtection="1">
      <alignment horizontal="center"/>
      <protection locked="0"/>
    </xf>
    <xf numFmtId="176" fontId="4" fillId="0" borderId="0" xfId="61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0" fontId="7" fillId="0" borderId="13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 locked="0"/>
    </xf>
    <xf numFmtId="3" fontId="4" fillId="0" borderId="0" xfId="61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Border="1" applyAlignment="1" applyProtection="1">
      <alignment horizontal="center"/>
      <protection/>
    </xf>
    <xf numFmtId="0" fontId="7" fillId="0" borderId="0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/>
    </xf>
    <xf numFmtId="0" fontId="8" fillId="0" borderId="19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 wrapText="1"/>
    </xf>
    <xf numFmtId="0" fontId="18" fillId="0" borderId="0" xfId="0" applyNumberFormat="1" applyFont="1" applyFill="1" applyBorder="1" applyAlignment="1">
      <alignment horizontal="center" wrapText="1"/>
    </xf>
    <xf numFmtId="0" fontId="18" fillId="0" borderId="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12" fillId="0" borderId="14" xfId="0" applyNumberFormat="1" applyFont="1" applyFill="1" applyBorder="1" applyAlignment="1" quotePrefix="1">
      <alignment horizontal="center"/>
    </xf>
    <xf numFmtId="174" fontId="4" fillId="0" borderId="14" xfId="0" applyNumberFormat="1" applyFont="1" applyFill="1" applyBorder="1" applyAlignment="1">
      <alignment horizontal="center"/>
    </xf>
    <xf numFmtId="174" fontId="4" fillId="0" borderId="2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quotePrefix="1">
      <alignment horizontal="center"/>
    </xf>
    <xf numFmtId="174" fontId="4" fillId="0" borderId="15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4" fillId="0" borderId="17" xfId="0" applyNumberFormat="1" applyFont="1" applyFill="1" applyBorder="1" applyAlignment="1">
      <alignment horizontal="center"/>
    </xf>
    <xf numFmtId="174" fontId="4" fillId="0" borderId="21" xfId="0" applyNumberFormat="1" applyFont="1" applyFill="1" applyBorder="1" applyAlignment="1">
      <alignment horizontal="center"/>
    </xf>
    <xf numFmtId="174" fontId="4" fillId="0" borderId="16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 applyProtection="1">
      <alignment/>
      <protection/>
    </xf>
    <xf numFmtId="3" fontId="4" fillId="0" borderId="15" xfId="62" applyNumberFormat="1" applyFont="1" applyFill="1" applyBorder="1" applyAlignment="1" applyProtection="1">
      <alignment horizontal="right"/>
      <protection/>
    </xf>
    <xf numFmtId="2" fontId="4" fillId="0" borderId="20" xfId="0" applyNumberFormat="1" applyFont="1" applyFill="1" applyBorder="1" applyAlignment="1" applyProtection="1">
      <alignment horizontal="right"/>
      <protection/>
    </xf>
    <xf numFmtId="2" fontId="4" fillId="0" borderId="15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>
      <alignment horizontal="center"/>
    </xf>
    <xf numFmtId="49" fontId="5" fillId="0" borderId="0" xfId="61" applyNumberFormat="1" applyFont="1" applyBorder="1" applyAlignment="1" applyProtection="1">
      <alignment horizontal="center"/>
      <protection/>
    </xf>
    <xf numFmtId="49" fontId="5" fillId="0" borderId="15" xfId="61" applyNumberFormat="1" applyFont="1" applyBorder="1" applyAlignment="1" applyProtection="1">
      <alignment horizontal="center"/>
      <protection/>
    </xf>
    <xf numFmtId="0" fontId="4" fillId="0" borderId="19" xfId="0" applyNumberFormat="1" applyFont="1" applyFill="1" applyBorder="1" applyAlignment="1" applyProtection="1">
      <alignment horizontal="center"/>
      <protection/>
    </xf>
    <xf numFmtId="3" fontId="4" fillId="0" borderId="14" xfId="61" applyNumberFormat="1" applyFont="1" applyBorder="1" applyAlignment="1" applyProtection="1">
      <alignment horizontal="center"/>
      <protection/>
    </xf>
    <xf numFmtId="49" fontId="5" fillId="0" borderId="13" xfId="61" applyNumberFormat="1" applyFont="1" applyBorder="1" applyAlignment="1" applyProtection="1">
      <alignment horizontal="center"/>
      <protection/>
    </xf>
    <xf numFmtId="176" fontId="4" fillId="0" borderId="19" xfId="61" applyNumberFormat="1" applyFont="1" applyFill="1" applyBorder="1" applyAlignment="1" applyProtection="1">
      <alignment horizontal="center"/>
      <protection/>
    </xf>
    <xf numFmtId="176" fontId="4" fillId="0" borderId="14" xfId="61" applyNumberFormat="1" applyFont="1" applyFill="1" applyBorder="1" applyAlignment="1" applyProtection="1">
      <alignment horizontal="center"/>
      <protection/>
    </xf>
    <xf numFmtId="49" fontId="5" fillId="0" borderId="12" xfId="61" applyNumberFormat="1" applyFont="1" applyBorder="1" applyAlignment="1" applyProtection="1">
      <alignment horizontal="center"/>
      <protection/>
    </xf>
    <xf numFmtId="1" fontId="4" fillId="0" borderId="11" xfId="61" applyNumberFormat="1" applyFont="1" applyFill="1" applyBorder="1" applyAlignment="1" applyProtection="1">
      <alignment horizontal="center"/>
      <protection/>
    </xf>
    <xf numFmtId="3" fontId="4" fillId="0" borderId="14" xfId="61" applyNumberFormat="1" applyFont="1" applyFill="1" applyBorder="1" applyAlignment="1" applyProtection="1">
      <alignment horizontal="center"/>
      <protection/>
    </xf>
    <xf numFmtId="0" fontId="24" fillId="0" borderId="21" xfId="0" applyNumberFormat="1" applyFont="1" applyBorder="1" applyAlignment="1" applyProtection="1">
      <alignment horizontal="right"/>
      <protection/>
    </xf>
    <xf numFmtId="1" fontId="24" fillId="0" borderId="16" xfId="0" applyNumberFormat="1" applyFont="1" applyBorder="1" applyAlignment="1" applyProtection="1">
      <alignment/>
      <protection/>
    </xf>
    <xf numFmtId="2" fontId="9" fillId="0" borderId="0" xfId="0" applyNumberFormat="1" applyFont="1" applyFill="1" applyBorder="1" applyAlignment="1">
      <alignment horizontal="center"/>
    </xf>
    <xf numFmtId="3" fontId="4" fillId="34" borderId="0" xfId="61" applyNumberFormat="1" applyFont="1" applyFill="1" applyBorder="1" applyAlignment="1">
      <alignment horizontal="center"/>
    </xf>
    <xf numFmtId="49" fontId="5" fillId="0" borderId="21" xfId="61" applyNumberFormat="1" applyFont="1" applyBorder="1" applyAlignment="1" applyProtection="1">
      <alignment horizontal="center"/>
      <protection/>
    </xf>
    <xf numFmtId="3" fontId="5" fillId="0" borderId="0" xfId="0" applyNumberFormat="1" applyFont="1" applyFill="1" applyAlignment="1" applyProtection="1">
      <alignment horizontal="center"/>
      <protection/>
    </xf>
    <xf numFmtId="3" fontId="4" fillId="0" borderId="0" xfId="61" applyNumberFormat="1" applyFont="1" applyFill="1" applyAlignment="1" applyProtection="1">
      <alignment horizontal="center"/>
      <protection/>
    </xf>
    <xf numFmtId="3" fontId="4" fillId="0" borderId="0" xfId="61" applyNumberFormat="1" applyFont="1" applyAlignment="1" applyProtection="1">
      <alignment horizontal="center"/>
      <protection/>
    </xf>
    <xf numFmtId="0" fontId="12" fillId="0" borderId="21" xfId="0" applyNumberFormat="1" applyFont="1" applyFill="1" applyBorder="1" applyAlignment="1" quotePrefix="1">
      <alignment horizontal="center"/>
    </xf>
    <xf numFmtId="0" fontId="17" fillId="0" borderId="0" xfId="0" applyNumberFormat="1" applyFont="1" applyFill="1" applyBorder="1" applyAlignment="1">
      <alignment horizontal="left"/>
    </xf>
    <xf numFmtId="1" fontId="8" fillId="0" borderId="20" xfId="0" applyNumberFormat="1" applyFont="1" applyFill="1" applyBorder="1" applyAlignment="1">
      <alignment horizontal="center"/>
    </xf>
    <xf numFmtId="10" fontId="4" fillId="0" borderId="15" xfId="0" applyNumberFormat="1" applyFont="1" applyBorder="1" applyAlignment="1" applyProtection="1">
      <alignment/>
      <protection/>
    </xf>
    <xf numFmtId="10" fontId="4" fillId="34" borderId="0" xfId="0" applyNumberFormat="1" applyFont="1" applyFill="1" applyBorder="1" applyAlignment="1">
      <alignment horizontal="center"/>
    </xf>
    <xf numFmtId="171" fontId="4" fillId="34" borderId="11" xfId="0" applyNumberFormat="1" applyFont="1" applyFill="1" applyBorder="1" applyAlignment="1" applyProtection="1">
      <alignment horizontal="center"/>
      <protection locked="0"/>
    </xf>
    <xf numFmtId="3" fontId="4" fillId="35" borderId="16" xfId="0" applyNumberFormat="1" applyFont="1" applyFill="1" applyBorder="1" applyAlignment="1" applyProtection="1">
      <alignment horizontal="center"/>
      <protection locked="0"/>
    </xf>
    <xf numFmtId="3" fontId="7" fillId="36" borderId="24" xfId="0" applyNumberFormat="1" applyFont="1" applyFill="1" applyBorder="1" applyAlignment="1" applyProtection="1">
      <alignment horizontal="center"/>
      <protection locked="0"/>
    </xf>
    <xf numFmtId="0" fontId="4" fillId="36" borderId="24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Alignment="1">
      <alignment horizontal="left"/>
    </xf>
    <xf numFmtId="3" fontId="4" fillId="0" borderId="0" xfId="0" applyNumberFormat="1" applyFont="1" applyAlignment="1" applyProtection="1">
      <alignment horizontal="center"/>
      <protection locked="0"/>
    </xf>
    <xf numFmtId="185" fontId="4" fillId="34" borderId="0" xfId="0" applyNumberFormat="1" applyFont="1" applyFill="1" applyBorder="1" applyAlignment="1" applyProtection="1">
      <alignment horizontal="center"/>
      <protection locked="0"/>
    </xf>
    <xf numFmtId="185" fontId="4" fillId="0" borderId="15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Alignment="1">
      <alignment horizontal="left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5" fillId="0" borderId="0" xfId="0" applyNumberFormat="1" applyFont="1" applyAlignment="1" applyProtection="1">
      <alignment horizontal="left"/>
      <protection locked="0"/>
    </xf>
    <xf numFmtId="0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25" fillId="0" borderId="0" xfId="0" applyNumberFormat="1" applyFont="1" applyAlignment="1">
      <alignment vertical="center"/>
    </xf>
    <xf numFmtId="0" fontId="17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16" fillId="0" borderId="21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 applyProtection="1">
      <alignment horizontal="right"/>
      <protection locked="0"/>
    </xf>
    <xf numFmtId="0" fontId="8" fillId="0" borderId="19" xfId="0" applyNumberFormat="1" applyFont="1" applyFill="1" applyBorder="1" applyAlignment="1" applyProtection="1">
      <alignment horizontal="center"/>
      <protection/>
    </xf>
    <xf numFmtId="0" fontId="8" fillId="0" borderId="14" xfId="0" applyNumberFormat="1" applyFont="1" applyFill="1" applyBorder="1" applyAlignment="1" applyProtection="1">
      <alignment horizontal="center"/>
      <protection/>
    </xf>
    <xf numFmtId="0" fontId="8" fillId="0" borderId="2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Alignment="1" applyProtection="1">
      <alignment horizontal="right"/>
      <protection locked="0"/>
    </xf>
    <xf numFmtId="0" fontId="16" fillId="0" borderId="21" xfId="0" applyNumberFormat="1" applyFont="1" applyFill="1" applyBorder="1" applyAlignment="1">
      <alignment horizontal="center"/>
    </xf>
    <xf numFmtId="0" fontId="5" fillId="0" borderId="22" xfId="0" applyNumberFormat="1" applyFont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>
      <alignment horizontal="center"/>
    </xf>
    <xf numFmtId="0" fontId="5" fillId="0" borderId="18" xfId="0" applyNumberFormat="1" applyFont="1" applyBorder="1" applyAlignment="1" applyProtection="1">
      <alignment horizontal="center"/>
      <protection/>
    </xf>
    <xf numFmtId="0" fontId="5" fillId="0" borderId="23" xfId="0" applyNumberFormat="1" applyFont="1" applyBorder="1" applyAlignment="1" applyProtection="1">
      <alignment horizontal="center"/>
      <protection/>
    </xf>
    <xf numFmtId="0" fontId="5" fillId="0" borderId="21" xfId="0" applyNumberFormat="1" applyFont="1" applyBorder="1" applyAlignment="1" applyProtection="1">
      <alignment horizontal="center"/>
      <protection/>
    </xf>
    <xf numFmtId="1" fontId="16" fillId="0" borderId="25" xfId="0" applyNumberFormat="1" applyFont="1" applyFill="1" applyBorder="1" applyAlignment="1">
      <alignment horizontal="center"/>
    </xf>
    <xf numFmtId="0" fontId="5" fillId="0" borderId="0" xfId="0" applyNumberFormat="1" applyFont="1" applyAlignment="1" applyProtection="1">
      <alignment horizontal="center"/>
      <protection/>
    </xf>
    <xf numFmtId="0" fontId="5" fillId="0" borderId="19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</cellXfs>
  <cellStyles count="71">
    <cellStyle name="Normal" xfId="0"/>
    <cellStyle name="_CC Oil" xfId="15"/>
    <cellStyle name="_DSO Oil" xfId="16"/>
    <cellStyle name="_FLCC Oil" xfId="17"/>
    <cellStyle name="_FLPEGT Oil" xfId="18"/>
    <cellStyle name="_FMCT Oil" xfId="19"/>
    <cellStyle name="_GTDW_DataTemplate" xfId="20"/>
    <cellStyle name="_Gulfstream Gas" xfId="21"/>
    <cellStyle name="_MR .7 Oil" xfId="22"/>
    <cellStyle name="_MR 1 Oil" xfId="23"/>
    <cellStyle name="_MRCT Oil" xfId="24"/>
    <cellStyle name="_MT Gulfstream Gas" xfId="25"/>
    <cellStyle name="_MT Oil" xfId="26"/>
    <cellStyle name="_OLCT Oil" xfId="27"/>
    <cellStyle name="_PE Oil" xfId="28"/>
    <cellStyle name="_PN Oil" xfId="29"/>
    <cellStyle name="_RV Oil" xfId="30"/>
    <cellStyle name="_SHCT Oil" xfId="31"/>
    <cellStyle name="_SN Oil" xfId="32"/>
    <cellStyle name="_TP Oil" xfId="33"/>
    <cellStyle name="20% - Accent1" xfId="34"/>
    <cellStyle name="20% - Accent2" xfId="35"/>
    <cellStyle name="20% - Accent3" xfId="36"/>
    <cellStyle name="20% - Accent4" xfId="37"/>
    <cellStyle name="20% - Accent5" xfId="38"/>
    <cellStyle name="20% - Accent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_060415 RAP Fuel Price Forecast Template - Case 1 (Historical Spread)" xfId="76"/>
    <cellStyle name="Normal_Sheet1" xfId="77"/>
    <cellStyle name="Note" xfId="78"/>
    <cellStyle name="Output" xfId="79"/>
    <cellStyle name="Percent" xfId="80"/>
    <cellStyle name="Style 1" xfId="81"/>
    <cellStyle name="Title" xfId="82"/>
    <cellStyle name="Total" xfId="83"/>
    <cellStyle name="Warning Text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Roof Top Solar Commercial Industrial Levelized Cost
 $/MWh</a:t>
            </a:r>
          </a:p>
        </c:rich>
      </c:tx>
      <c:layout>
        <c:manualLayout>
          <c:xMode val="factor"/>
          <c:yMode val="factor"/>
          <c:x val="-0.006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295"/>
          <c:w val="0.91425"/>
          <c:h val="0.827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Data'!$B$12</c:f>
              <c:strCache>
                <c:ptCount val="1"/>
                <c:pt idx="0">
                  <c:v>Roof Top Solar C/I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Data'!$A$17:$A$36</c:f>
              <c:numCach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'Chart Data'!$C$17:$C$36</c:f>
              <c:numCache>
                <c:ptCount val="20"/>
                <c:pt idx="0">
                  <c:v>1696.9955100736213</c:v>
                </c:pt>
                <c:pt idx="1">
                  <c:v>848.4977550368106</c:v>
                </c:pt>
                <c:pt idx="2">
                  <c:v>565.6651700245404</c:v>
                </c:pt>
                <c:pt idx="3">
                  <c:v>424.2488775184053</c:v>
                </c:pt>
                <c:pt idx="4">
                  <c:v>339.3991020147243</c:v>
                </c:pt>
              </c:numCache>
            </c:numRef>
          </c:val>
          <c:smooth val="0"/>
        </c:ser>
        <c:marker val="1"/>
        <c:axId val="16050605"/>
        <c:axId val="10237718"/>
      </c:lineChart>
      <c:catAx>
        <c:axId val="16050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Capacity Factor (%)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37718"/>
        <c:crosses val="autoZero"/>
        <c:auto val="1"/>
        <c:lblOffset val="100"/>
        <c:tickLblSkip val="1"/>
        <c:noMultiLvlLbl val="0"/>
      </c:catAx>
      <c:valAx>
        <c:axId val="10237718"/>
        <c:scaling>
          <c:orientation val="minMax"/>
          <c:max val="2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506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0.1485</cdr:x>
      <cdr:y>0.19075</cdr:y>
    </cdr:from>
    <cdr:to>
      <cdr:x>0.929</cdr:x>
      <cdr:y>0.31575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85875" y="1123950"/>
          <a:ext cx="676275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Notes: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1) A typical levelized cost calculation, such as this one, does not acount for numerous system cost impacs that must be accounted for in order to obtain a complete picture of the true cost impact of resource options. 2) Roof Top Solar is a non-firm resource and cannot be directly compared to form resources (such as Turkey Point 6&amp;7). 3) Roof Top Solar's average capacity factor in FPL's service territory is projected to be 25% or lower.</a:t>
          </a:r>
        </a:p>
      </cdr:txBody>
    </cdr:sp>
  </cdr:relSizeAnchor>
  <cdr:relSizeAnchor xmlns:cdr="http://schemas.openxmlformats.org/drawingml/2006/chartDrawing">
    <cdr:from>
      <cdr:x>0.02</cdr:x>
      <cdr:y>0.02725</cdr:y>
    </cdr:from>
    <cdr:to>
      <cdr:x>0.1485</cdr:x>
      <cdr:y>0.07725</cdr:y>
    </cdr:to>
    <cdr:sp>
      <cdr:nvSpPr>
        <cdr:cNvPr id="2" name="Text Box 2"/>
        <cdr:cNvSpPr txBox="1">
          <a:spLocks noChangeArrowheads="1"/>
        </cdr:cNvSpPr>
      </cdr:nvSpPr>
      <cdr:spPr>
        <a:xfrm>
          <a:off x="171450" y="15240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Table Staff-18e</a:t>
          </a:r>
        </a:p>
      </cdr:txBody>
    </cdr:sp>
  </cdr:relSizeAnchor>
  <cdr:relSizeAnchor xmlns:cdr="http://schemas.openxmlformats.org/drawingml/2006/chartDrawing">
    <cdr:from>
      <cdr:x>0.82175</cdr:x>
      <cdr:y>0.02725</cdr:y>
    </cdr:from>
    <cdr:to>
      <cdr:x>0.97075</cdr:x>
      <cdr:y>0.07725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7115175" y="152400"/>
          <a:ext cx="1295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0.7405</cdr:x>
      <cdr:y>0</cdr:y>
    </cdr:from>
    <cdr:to>
      <cdr:x>1</cdr:x>
      <cdr:y>0.1615</cdr:y>
    </cdr:to>
    <cdr:sp>
      <cdr:nvSpPr>
        <cdr:cNvPr id="4" name="TextBox 1"/>
        <cdr:cNvSpPr txBox="1">
          <a:spLocks noChangeArrowheads="1"/>
        </cdr:cNvSpPr>
      </cdr:nvSpPr>
      <cdr:spPr>
        <a:xfrm>
          <a:off x="6410325" y="0"/>
          <a:ext cx="224790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Florida Power &amp; Light Company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Docket No. 140009-EI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Staff's Second Set of Interrogatories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Interrogatory No. 18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Attachment No. 5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 9 of 9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A3" sqref="A3"/>
    </sheetView>
  </sheetViews>
  <sheetFormatPr defaultColWidth="9.140625" defaultRowHeight="16.5" customHeight="1"/>
  <cols>
    <col min="1" max="1" width="9.140625" style="122" customWidth="1"/>
    <col min="2" max="2" width="44.140625" style="57" customWidth="1"/>
    <col min="3" max="3" width="18.00390625" style="57" customWidth="1"/>
    <col min="4" max="4" width="18.28125" style="57" customWidth="1"/>
    <col min="5" max="16384" width="9.140625" style="57" customWidth="1"/>
  </cols>
  <sheetData>
    <row r="1" s="135" customFormat="1" ht="16.5" customHeight="1">
      <c r="B1" s="341" t="s">
        <v>114</v>
      </c>
    </row>
    <row r="2" s="135" customFormat="1" ht="16.5" customHeight="1">
      <c r="B2" s="341" t="s">
        <v>115</v>
      </c>
    </row>
    <row r="3" s="135" customFormat="1" ht="16.5" customHeight="1">
      <c r="B3" s="341" t="s">
        <v>116</v>
      </c>
    </row>
    <row r="4" s="135" customFormat="1" ht="16.5" customHeight="1">
      <c r="B4" s="341" t="s">
        <v>117</v>
      </c>
    </row>
    <row r="5" s="135" customFormat="1" ht="16.5" customHeight="1">
      <c r="B5" s="341" t="s">
        <v>118</v>
      </c>
    </row>
    <row r="6" s="135" customFormat="1" ht="16.5" customHeight="1">
      <c r="B6" s="341" t="s">
        <v>119</v>
      </c>
    </row>
    <row r="7" s="135" customFormat="1" ht="16.5" customHeight="1"/>
    <row r="8" spans="1:5" ht="16.5" customHeight="1">
      <c r="A8" s="318" t="s">
        <v>110</v>
      </c>
      <c r="B8" s="20"/>
      <c r="C8" s="342"/>
      <c r="D8" s="342"/>
      <c r="E8" s="342"/>
    </row>
    <row r="9" spans="2:4" ht="16.5" customHeight="1">
      <c r="B9" s="15"/>
      <c r="D9" s="14"/>
    </row>
    <row r="10" ht="12.75"/>
    <row r="11" ht="16.5" customHeight="1">
      <c r="B11" s="139" t="s">
        <v>72</v>
      </c>
    </row>
    <row r="12" ht="16.5" customHeight="1">
      <c r="B12" s="139"/>
    </row>
    <row r="13" spans="2:5" ht="12.75">
      <c r="B13" s="140"/>
      <c r="C13" s="16" t="s">
        <v>103</v>
      </c>
      <c r="D13" s="16"/>
      <c r="E13" s="141"/>
    </row>
    <row r="14" spans="1:5" ht="12.75">
      <c r="A14" s="142"/>
      <c r="B14" s="140"/>
      <c r="C14" s="143"/>
      <c r="D14" s="144"/>
      <c r="E14" s="141"/>
    </row>
    <row r="15" spans="1:5" ht="16.5" customHeight="1">
      <c r="A15" s="142"/>
      <c r="B15" s="145" t="s">
        <v>73</v>
      </c>
      <c r="C15" s="146"/>
      <c r="D15" s="144"/>
      <c r="E15" s="141"/>
    </row>
    <row r="16" spans="2:5" ht="12.75">
      <c r="B16" s="147" t="s">
        <v>6</v>
      </c>
      <c r="C16" s="146" t="s">
        <v>97</v>
      </c>
      <c r="D16" s="148"/>
      <c r="E16" s="141"/>
    </row>
    <row r="17" spans="2:5" ht="5.25" customHeight="1">
      <c r="B17" s="149"/>
      <c r="C17" s="150"/>
      <c r="D17" s="151"/>
      <c r="E17" s="141"/>
    </row>
    <row r="18" spans="2:5" ht="16.5" customHeight="1">
      <c r="B18" s="152" t="s">
        <v>7</v>
      </c>
      <c r="C18" s="146" t="s">
        <v>98</v>
      </c>
      <c r="D18" s="153"/>
      <c r="E18" s="141"/>
    </row>
    <row r="19" spans="2:5" ht="16.5" customHeight="1">
      <c r="B19" s="152" t="s">
        <v>8</v>
      </c>
      <c r="C19" s="154">
        <v>1</v>
      </c>
      <c r="D19" s="155"/>
      <c r="E19" s="141"/>
    </row>
    <row r="20" spans="2:5" ht="18.75" customHeight="1" hidden="1">
      <c r="B20" s="152" t="s">
        <v>9</v>
      </c>
      <c r="C20" s="156" t="s">
        <v>10</v>
      </c>
      <c r="D20" s="157"/>
      <c r="E20" s="158"/>
    </row>
    <row r="21" spans="2:5" ht="16.5" customHeight="1">
      <c r="B21" s="140" t="s">
        <v>89</v>
      </c>
      <c r="C21" s="159">
        <v>0</v>
      </c>
      <c r="D21" s="160"/>
      <c r="E21" s="158"/>
    </row>
    <row r="22" spans="2:5" ht="16.5" customHeight="1">
      <c r="B22" s="140" t="s">
        <v>11</v>
      </c>
      <c r="C22" s="161">
        <v>0</v>
      </c>
      <c r="D22" s="162"/>
      <c r="E22" s="158"/>
    </row>
    <row r="23" spans="2:5" ht="16.5" customHeight="1">
      <c r="B23" s="147" t="s">
        <v>12</v>
      </c>
      <c r="C23" s="162">
        <f>C22*C21*365/C25/1000</f>
        <v>0</v>
      </c>
      <c r="D23" s="162"/>
      <c r="E23" s="158"/>
    </row>
    <row r="24" spans="2:5" ht="5.25" customHeight="1">
      <c r="B24" s="163"/>
      <c r="C24" s="164"/>
      <c r="D24" s="165"/>
      <c r="E24" s="165"/>
    </row>
    <row r="25" spans="2:5" ht="16.5" customHeight="1">
      <c r="B25" s="166" t="s">
        <v>13</v>
      </c>
      <c r="C25" s="330">
        <v>0.0268</v>
      </c>
      <c r="D25" s="168"/>
      <c r="E25" s="168"/>
    </row>
    <row r="26" spans="2:5" ht="16.5" customHeight="1">
      <c r="B26" s="147" t="s">
        <v>14</v>
      </c>
      <c r="C26" s="169">
        <v>0</v>
      </c>
      <c r="D26" s="170"/>
      <c r="E26" s="170"/>
    </row>
    <row r="27" spans="2:5" ht="16.5" customHeight="1">
      <c r="B27" s="147" t="s">
        <v>86</v>
      </c>
      <c r="C27" s="169" t="s">
        <v>87</v>
      </c>
      <c r="D27" s="170"/>
      <c r="E27" s="170"/>
    </row>
    <row r="28" spans="2:5" ht="16.5" customHeight="1">
      <c r="B28" s="171" t="s">
        <v>15</v>
      </c>
      <c r="C28" s="175">
        <v>0</v>
      </c>
      <c r="D28" s="170"/>
      <c r="E28" s="158"/>
    </row>
    <row r="29" spans="2:6" ht="16.5" customHeight="1">
      <c r="B29" s="171" t="s">
        <v>16</v>
      </c>
      <c r="C29" s="167">
        <f>1306*1.03</f>
        <v>1345.18</v>
      </c>
      <c r="D29" s="165"/>
      <c r="E29" s="165"/>
      <c r="F29" s="326"/>
    </row>
    <row r="30" spans="2:5" ht="16.5" customHeight="1">
      <c r="B30" s="152" t="s">
        <v>17</v>
      </c>
      <c r="C30" s="172">
        <v>0</v>
      </c>
      <c r="D30" s="165"/>
      <c r="E30" s="165"/>
    </row>
    <row r="31" spans="2:5" ht="5.25" customHeight="1">
      <c r="B31" s="163"/>
      <c r="C31" s="164"/>
      <c r="D31" s="165"/>
      <c r="E31" s="165"/>
    </row>
    <row r="32" spans="2:5" ht="16.5" customHeight="1">
      <c r="B32" s="152" t="s">
        <v>18</v>
      </c>
      <c r="C32" s="173">
        <v>0</v>
      </c>
      <c r="D32" s="174"/>
      <c r="E32" s="165"/>
    </row>
    <row r="33" spans="2:5" ht="16.5" customHeight="1">
      <c r="B33" s="152" t="s">
        <v>19</v>
      </c>
      <c r="C33" s="173">
        <v>0</v>
      </c>
      <c r="D33" s="174"/>
      <c r="E33" s="165"/>
    </row>
    <row r="34" spans="2:5" ht="16.5" customHeight="1">
      <c r="B34" s="152" t="s">
        <v>20</v>
      </c>
      <c r="C34" s="175">
        <v>0</v>
      </c>
      <c r="D34" s="174"/>
      <c r="E34" s="165"/>
    </row>
    <row r="35" spans="2:5" ht="16.5" customHeight="1">
      <c r="B35" s="152" t="s">
        <v>21</v>
      </c>
      <c r="C35" s="176">
        <v>0</v>
      </c>
      <c r="D35" s="174"/>
      <c r="E35" s="165"/>
    </row>
    <row r="36" spans="2:4" ht="5.25" customHeight="1">
      <c r="B36" s="177"/>
      <c r="C36" s="178"/>
      <c r="D36" s="179"/>
    </row>
    <row r="37" ht="16.5" customHeight="1">
      <c r="B37" s="145" t="s">
        <v>43</v>
      </c>
    </row>
    <row r="38" spans="2:3" ht="15.75" customHeight="1">
      <c r="B38" s="140" t="s">
        <v>22</v>
      </c>
      <c r="C38" s="321">
        <v>0.0754</v>
      </c>
    </row>
    <row r="39" spans="2:3" ht="16.5" customHeight="1">
      <c r="B39" s="140" t="s">
        <v>79</v>
      </c>
      <c r="C39" s="180">
        <v>2022</v>
      </c>
    </row>
    <row r="40" spans="2:5" ht="16.5" customHeight="1">
      <c r="B40" s="147" t="s">
        <v>64</v>
      </c>
      <c r="C40" s="175">
        <v>31</v>
      </c>
      <c r="D40" s="151"/>
      <c r="E40" s="141"/>
    </row>
    <row r="41" spans="2:4" ht="16.5" customHeight="1">
      <c r="B41" s="140" t="s">
        <v>92</v>
      </c>
      <c r="C41" s="180">
        <v>2014</v>
      </c>
      <c r="D41" s="181"/>
    </row>
    <row r="42" spans="2:4" ht="16.5" customHeight="1">
      <c r="B42" s="140"/>
      <c r="C42" s="181"/>
      <c r="D42" s="181"/>
    </row>
    <row r="43" ht="16.5" customHeight="1">
      <c r="C43" s="155"/>
    </row>
    <row r="44" spans="1:2" ht="16.5" customHeight="1">
      <c r="A44" s="182" t="s">
        <v>23</v>
      </c>
      <c r="B44" s="183" t="s">
        <v>81</v>
      </c>
    </row>
    <row r="45" ht="16.5" customHeight="1">
      <c r="B45" s="183" t="s">
        <v>80</v>
      </c>
    </row>
  </sheetData>
  <sheetProtection/>
  <mergeCells count="1">
    <mergeCell ref="C8:E8"/>
  </mergeCells>
  <printOptions horizontalCentered="1"/>
  <pageMargins left="0" right="0" top="0.5" bottom="0" header="0.5" footer="0.5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.421875" style="184" customWidth="1"/>
    <col min="2" max="2" width="13.00390625" style="184" customWidth="1"/>
    <col min="3" max="3" width="13.8515625" style="185" customWidth="1"/>
    <col min="4" max="4" width="13.57421875" style="184" customWidth="1"/>
    <col min="5" max="5" width="15.57421875" style="185" customWidth="1"/>
    <col min="6" max="6" width="1.7109375" style="185" customWidth="1"/>
    <col min="7" max="7" width="11.57421875" style="184" hidden="1" customWidth="1"/>
    <col min="8" max="8" width="14.28125" style="184" hidden="1" customWidth="1"/>
    <col min="9" max="9" width="16.28125" style="184" hidden="1" customWidth="1"/>
    <col min="10" max="10" width="11.57421875" style="184" hidden="1" customWidth="1"/>
    <col min="11" max="11" width="14.28125" style="184" hidden="1" customWidth="1"/>
    <col min="12" max="12" width="16.28125" style="184" hidden="1" customWidth="1"/>
    <col min="13" max="13" width="11.57421875" style="184" customWidth="1"/>
    <col min="14" max="14" width="14.28125" style="184" customWidth="1"/>
    <col min="15" max="15" width="16.28125" style="184" customWidth="1"/>
    <col min="16" max="16" width="0" style="184" hidden="1" customWidth="1"/>
    <col min="17" max="17" width="11.57421875" style="184" hidden="1" customWidth="1"/>
    <col min="18" max="18" width="14.28125" style="184" hidden="1" customWidth="1"/>
    <col min="19" max="19" width="16.28125" style="184" hidden="1" customWidth="1"/>
    <col min="20" max="20" width="11.57421875" style="184" hidden="1" customWidth="1"/>
    <col min="21" max="21" width="14.28125" style="184" hidden="1" customWidth="1"/>
    <col min="22" max="22" width="16.28125" style="184" hidden="1" customWidth="1"/>
    <col min="23" max="16384" width="9.140625" style="184" customWidth="1"/>
  </cols>
  <sheetData>
    <row r="1" s="340" customFormat="1" ht="15">
      <c r="B1" s="341" t="s">
        <v>114</v>
      </c>
    </row>
    <row r="2" s="340" customFormat="1" ht="15">
      <c r="B2" s="341" t="s">
        <v>115</v>
      </c>
    </row>
    <row r="3" s="340" customFormat="1" ht="15">
      <c r="B3" s="341" t="s">
        <v>116</v>
      </c>
    </row>
    <row r="4" s="340" customFormat="1" ht="15">
      <c r="B4" s="341" t="s">
        <v>117</v>
      </c>
    </row>
    <row r="5" s="340" customFormat="1" ht="15">
      <c r="B5" s="341" t="s">
        <v>118</v>
      </c>
    </row>
    <row r="6" s="340" customFormat="1" ht="15">
      <c r="B6" s="341" t="s">
        <v>120</v>
      </c>
    </row>
    <row r="7" s="340" customFormat="1" ht="12.75"/>
    <row r="8" spans="1:22" ht="15.75">
      <c r="A8" s="318" t="s">
        <v>110</v>
      </c>
      <c r="B8" s="20"/>
      <c r="D8" s="183"/>
      <c r="E8" s="183"/>
      <c r="F8" s="186"/>
      <c r="I8" s="187"/>
      <c r="L8" s="187"/>
      <c r="N8" s="345"/>
      <c r="O8" s="345"/>
      <c r="S8" s="187"/>
      <c r="V8" s="187"/>
    </row>
    <row r="9" spans="2:22" ht="18.75">
      <c r="B9" s="70"/>
      <c r="D9" s="70"/>
      <c r="E9" s="186"/>
      <c r="F9" s="186"/>
      <c r="I9" s="187"/>
      <c r="L9" s="187"/>
      <c r="O9" s="187"/>
      <c r="S9" s="187"/>
      <c r="V9" s="187"/>
    </row>
    <row r="10" spans="2:22" ht="18.75">
      <c r="B10" s="188" t="s">
        <v>24</v>
      </c>
      <c r="E10" s="186"/>
      <c r="F10" s="186"/>
      <c r="I10" s="187"/>
      <c r="L10" s="187"/>
      <c r="O10" s="187"/>
      <c r="S10" s="187"/>
      <c r="V10" s="187"/>
    </row>
    <row r="11" ht="13.5">
      <c r="F11" s="186"/>
    </row>
    <row r="12" spans="2:22" ht="15.75">
      <c r="B12" s="189" t="s">
        <v>25</v>
      </c>
      <c r="F12" s="186"/>
      <c r="G12" s="343"/>
      <c r="H12" s="343"/>
      <c r="I12" s="343"/>
      <c r="J12" s="343"/>
      <c r="K12" s="343"/>
      <c r="L12" s="343"/>
      <c r="Q12" s="343"/>
      <c r="R12" s="343"/>
      <c r="S12" s="343"/>
      <c r="T12" s="343"/>
      <c r="U12" s="343"/>
      <c r="V12" s="343"/>
    </row>
    <row r="13" spans="6:22" ht="15.75">
      <c r="F13" s="186"/>
      <c r="G13" s="344" t="s">
        <v>74</v>
      </c>
      <c r="H13" s="344"/>
      <c r="I13" s="344"/>
      <c r="J13" s="344" t="s">
        <v>75</v>
      </c>
      <c r="K13" s="344"/>
      <c r="L13" s="344"/>
      <c r="M13" s="344" t="s">
        <v>76</v>
      </c>
      <c r="N13" s="344"/>
      <c r="O13" s="344"/>
      <c r="Q13" s="344" t="s">
        <v>77</v>
      </c>
      <c r="R13" s="344"/>
      <c r="S13" s="344"/>
      <c r="T13" s="344" t="s">
        <v>78</v>
      </c>
      <c r="U13" s="344"/>
      <c r="V13" s="344"/>
    </row>
    <row r="14" spans="2:22" ht="37.5" customHeight="1">
      <c r="B14" s="190" t="s">
        <v>26</v>
      </c>
      <c r="C14" s="191" t="s">
        <v>27</v>
      </c>
      <c r="D14" s="192" t="s">
        <v>28</v>
      </c>
      <c r="E14" s="193" t="s">
        <v>29</v>
      </c>
      <c r="F14" s="186"/>
      <c r="G14" s="191" t="s">
        <v>27</v>
      </c>
      <c r="H14" s="192" t="s">
        <v>28</v>
      </c>
      <c r="I14" s="193" t="s">
        <v>29</v>
      </c>
      <c r="J14" s="191" t="s">
        <v>27</v>
      </c>
      <c r="K14" s="192" t="s">
        <v>28</v>
      </c>
      <c r="L14" s="193" t="s">
        <v>29</v>
      </c>
      <c r="M14" s="191" t="s">
        <v>27</v>
      </c>
      <c r="N14" s="192" t="s">
        <v>28</v>
      </c>
      <c r="O14" s="193" t="s">
        <v>29</v>
      </c>
      <c r="Q14" s="191" t="s">
        <v>27</v>
      </c>
      <c r="R14" s="192" t="s">
        <v>28</v>
      </c>
      <c r="S14" s="193" t="s">
        <v>29</v>
      </c>
      <c r="T14" s="191" t="s">
        <v>27</v>
      </c>
      <c r="U14" s="192" t="s">
        <v>28</v>
      </c>
      <c r="V14" s="193" t="s">
        <v>29</v>
      </c>
    </row>
    <row r="15" spans="1:22" ht="13.5">
      <c r="A15" s="194"/>
      <c r="B15" s="185">
        <v>2014</v>
      </c>
      <c r="C15" s="195">
        <v>1.025</v>
      </c>
      <c r="D15" s="195">
        <v>1.025</v>
      </c>
      <c r="E15" s="322">
        <v>1.025</v>
      </c>
      <c r="F15" s="186"/>
      <c r="G15" s="197">
        <f>IF($B15&lt;='Unit &amp; Fin Data-input'!$C$41,1,'O&amp;M escalators-input '!$C15)</f>
        <v>1</v>
      </c>
      <c r="H15" s="197">
        <f>IF($B15&lt;='Unit &amp; Fin Data-input'!$C$41,1,'O&amp;M escalators-input '!$D15)</f>
        <v>1</v>
      </c>
      <c r="I15" s="197">
        <f>IF($B15&lt;='Unit &amp; Fin Data-input'!$C$41,1,'O&amp;M escalators-input '!$E15)</f>
        <v>1</v>
      </c>
      <c r="J15" s="197">
        <f>G15</f>
        <v>1</v>
      </c>
      <c r="K15" s="197">
        <f>H15</f>
        <v>1</v>
      </c>
      <c r="L15" s="198">
        <f>I15</f>
        <v>1</v>
      </c>
      <c r="M15" s="199">
        <f>IF($B15&lt;'Unit &amp; Fin Data-input'!$C$41,0,'O&amp;M escalators-input '!J15)</f>
        <v>1</v>
      </c>
      <c r="N15" s="200">
        <f>IF($B15&lt;'Unit &amp; Fin Data-input'!$C$41,0,'O&amp;M escalators-input '!K15)</f>
        <v>1</v>
      </c>
      <c r="O15" s="201">
        <f>IF($B15&lt;'Unit &amp; Fin Data-input'!$C$41,0,'O&amp;M escalators-input '!L15)</f>
        <v>1</v>
      </c>
      <c r="P15" s="202"/>
      <c r="Q15" s="203" t="e">
        <f>IF($B15&lt;='Unit &amp; Fin Data-input'!#REF!,1,'O&amp;M escalators-input '!$C15)</f>
        <v>#REF!</v>
      </c>
      <c r="R15" s="203" t="e">
        <f>IF($B15&lt;='Unit &amp; Fin Data-input'!#REF!,1,'O&amp;M escalators-input '!$D15)</f>
        <v>#REF!</v>
      </c>
      <c r="S15" s="203" t="e">
        <f>IF($B15&lt;='Unit &amp; Fin Data-input'!#REF!,1,'O&amp;M escalators-input '!$E15)</f>
        <v>#REF!</v>
      </c>
      <c r="T15" s="203" t="e">
        <f>Q15</f>
        <v>#REF!</v>
      </c>
      <c r="U15" s="203" t="e">
        <f>R15</f>
        <v>#REF!</v>
      </c>
      <c r="V15" s="204" t="e">
        <f>S15</f>
        <v>#REF!</v>
      </c>
    </row>
    <row r="16" spans="1:22" ht="13.5">
      <c r="A16" s="194"/>
      <c r="B16" s="185">
        <f>B15+1</f>
        <v>2015</v>
      </c>
      <c r="C16" s="195">
        <v>1.025</v>
      </c>
      <c r="D16" s="195">
        <v>1.025</v>
      </c>
      <c r="E16" s="196">
        <v>1.025</v>
      </c>
      <c r="F16" s="186"/>
      <c r="G16" s="197">
        <f>IF($B16&lt;='Unit &amp; Fin Data-input'!$C$41,1,'O&amp;M escalators-input '!$C16)</f>
        <v>1.025</v>
      </c>
      <c r="H16" s="197">
        <f>IF($B16&lt;='Unit &amp; Fin Data-input'!$C$41,1,'O&amp;M escalators-input '!$D16)</f>
        <v>1.025</v>
      </c>
      <c r="I16" s="197">
        <f>IF($B16&lt;='Unit &amp; Fin Data-input'!$C$41,1,'O&amp;M escalators-input '!$E16)</f>
        <v>1.025</v>
      </c>
      <c r="J16" s="205">
        <f aca="true" t="shared" si="0" ref="J16:J47">J15*G16</f>
        <v>1.025</v>
      </c>
      <c r="K16" s="205">
        <f aca="true" t="shared" si="1" ref="K16:K47">K15*H16</f>
        <v>1.025</v>
      </c>
      <c r="L16" s="206">
        <f aca="true" t="shared" si="2" ref="L16:L47">L15*I16</f>
        <v>1.025</v>
      </c>
      <c r="M16" s="199">
        <f>IF($B16&lt;'Unit &amp; Fin Data-input'!$C$41,0,'O&amp;M escalators-input '!J16)</f>
        <v>1.025</v>
      </c>
      <c r="N16" s="200">
        <f>IF($B16&lt;'Unit &amp; Fin Data-input'!$C$41,0,'O&amp;M escalators-input '!K16)</f>
        <v>1.025</v>
      </c>
      <c r="O16" s="201">
        <f>IF($B16&lt;'Unit &amp; Fin Data-input'!$C$41,0,'O&amp;M escalators-input '!L16)</f>
        <v>1.025</v>
      </c>
      <c r="P16" s="202"/>
      <c r="Q16" s="203" t="e">
        <f>IF($B16&lt;='Unit &amp; Fin Data-input'!#REF!,1,'O&amp;M escalators-input '!$C16)</f>
        <v>#REF!</v>
      </c>
      <c r="R16" s="203" t="e">
        <f>IF($B16&lt;='Unit &amp; Fin Data-input'!#REF!,1,'O&amp;M escalators-input '!$D16)</f>
        <v>#REF!</v>
      </c>
      <c r="S16" s="203" t="e">
        <f>IF($B16&lt;='Unit &amp; Fin Data-input'!#REF!,1,'O&amp;M escalators-input '!$E16)</f>
        <v>#REF!</v>
      </c>
      <c r="T16" s="207" t="e">
        <f aca="true" t="shared" si="3" ref="T16:T47">T15*Q16</f>
        <v>#REF!</v>
      </c>
      <c r="U16" s="207" t="e">
        <f aca="true" t="shared" si="4" ref="U16:U47">U15*R16</f>
        <v>#REF!</v>
      </c>
      <c r="V16" s="208" t="e">
        <f aca="true" t="shared" si="5" ref="V16:V47">V15*S16</f>
        <v>#REF!</v>
      </c>
    </row>
    <row r="17" spans="1:22" ht="13.5">
      <c r="A17" s="194"/>
      <c r="B17" s="185">
        <f aca="true" t="shared" si="6" ref="B17:B64">B16+1</f>
        <v>2016</v>
      </c>
      <c r="C17" s="195">
        <v>1.025</v>
      </c>
      <c r="D17" s="195">
        <v>1.025</v>
      </c>
      <c r="E17" s="196">
        <v>1.025</v>
      </c>
      <c r="F17" s="186"/>
      <c r="G17" s="197">
        <f>IF($B17&lt;='Unit &amp; Fin Data-input'!$C$41,1,'O&amp;M escalators-input '!$C17)</f>
        <v>1.025</v>
      </c>
      <c r="H17" s="197">
        <f>IF($B17&lt;='Unit &amp; Fin Data-input'!$C$41,1,'O&amp;M escalators-input '!$D17)</f>
        <v>1.025</v>
      </c>
      <c r="I17" s="197">
        <f>IF($B17&lt;='Unit &amp; Fin Data-input'!$C$41,1,'O&amp;M escalators-input '!$E17)</f>
        <v>1.025</v>
      </c>
      <c r="J17" s="205">
        <f t="shared" si="0"/>
        <v>1.050625</v>
      </c>
      <c r="K17" s="205">
        <f t="shared" si="1"/>
        <v>1.050625</v>
      </c>
      <c r="L17" s="206">
        <f t="shared" si="2"/>
        <v>1.050625</v>
      </c>
      <c r="M17" s="199">
        <f>IF($B17&lt;'Unit &amp; Fin Data-input'!$C$41,0,'O&amp;M escalators-input '!J17)</f>
        <v>1.050625</v>
      </c>
      <c r="N17" s="200">
        <f>IF($B17&lt;'Unit &amp; Fin Data-input'!$C$41,0,'O&amp;M escalators-input '!K17)</f>
        <v>1.050625</v>
      </c>
      <c r="O17" s="201">
        <f>IF($B17&lt;'Unit &amp; Fin Data-input'!$C$41,0,'O&amp;M escalators-input '!L17)</f>
        <v>1.050625</v>
      </c>
      <c r="P17" s="202"/>
      <c r="Q17" s="203" t="e">
        <f>IF($B17&lt;='Unit &amp; Fin Data-input'!#REF!,1,'O&amp;M escalators-input '!$C17)</f>
        <v>#REF!</v>
      </c>
      <c r="R17" s="203" t="e">
        <f>IF($B17&lt;='Unit &amp; Fin Data-input'!#REF!,1,'O&amp;M escalators-input '!$D17)</f>
        <v>#REF!</v>
      </c>
      <c r="S17" s="203" t="e">
        <f>IF($B17&lt;='Unit &amp; Fin Data-input'!#REF!,1,'O&amp;M escalators-input '!$E17)</f>
        <v>#REF!</v>
      </c>
      <c r="T17" s="207" t="e">
        <f t="shared" si="3"/>
        <v>#REF!</v>
      </c>
      <c r="U17" s="207" t="e">
        <f t="shared" si="4"/>
        <v>#REF!</v>
      </c>
      <c r="V17" s="208" t="e">
        <f t="shared" si="5"/>
        <v>#REF!</v>
      </c>
    </row>
    <row r="18" spans="1:22" ht="13.5">
      <c r="A18" s="194"/>
      <c r="B18" s="185">
        <f t="shared" si="6"/>
        <v>2017</v>
      </c>
      <c r="C18" s="195">
        <v>1.025</v>
      </c>
      <c r="D18" s="195">
        <v>1.025</v>
      </c>
      <c r="E18" s="196">
        <v>1.025</v>
      </c>
      <c r="F18" s="186"/>
      <c r="G18" s="197">
        <f>IF($B18&lt;='Unit &amp; Fin Data-input'!$C$41,1,'O&amp;M escalators-input '!$C18)</f>
        <v>1.025</v>
      </c>
      <c r="H18" s="197">
        <f>IF($B18&lt;='Unit &amp; Fin Data-input'!$C$41,1,'O&amp;M escalators-input '!$D18)</f>
        <v>1.025</v>
      </c>
      <c r="I18" s="197">
        <f>IF($B18&lt;='Unit &amp; Fin Data-input'!$C$41,1,'O&amp;M escalators-input '!$E18)</f>
        <v>1.025</v>
      </c>
      <c r="J18" s="205">
        <f t="shared" si="0"/>
        <v>1.0768906249999999</v>
      </c>
      <c r="K18" s="205">
        <f t="shared" si="1"/>
        <v>1.0768906249999999</v>
      </c>
      <c r="L18" s="206">
        <f t="shared" si="2"/>
        <v>1.0768906249999999</v>
      </c>
      <c r="M18" s="199">
        <f>IF($B18&lt;'Unit &amp; Fin Data-input'!$C$41,0,'O&amp;M escalators-input '!J18)</f>
        <v>1.0768906249999999</v>
      </c>
      <c r="N18" s="200">
        <f>IF($B18&lt;'Unit &amp; Fin Data-input'!$C$41,0,'O&amp;M escalators-input '!K18)</f>
        <v>1.0768906249999999</v>
      </c>
      <c r="O18" s="201">
        <f>IF($B18&lt;'Unit &amp; Fin Data-input'!$C$41,0,'O&amp;M escalators-input '!L18)</f>
        <v>1.0768906249999999</v>
      </c>
      <c r="P18" s="202"/>
      <c r="Q18" s="203" t="e">
        <f>IF($B18&lt;='Unit &amp; Fin Data-input'!#REF!,1,'O&amp;M escalators-input '!$C18)</f>
        <v>#REF!</v>
      </c>
      <c r="R18" s="203" t="e">
        <f>IF($B18&lt;='Unit &amp; Fin Data-input'!#REF!,1,'O&amp;M escalators-input '!$D18)</f>
        <v>#REF!</v>
      </c>
      <c r="S18" s="203" t="e">
        <f>IF($B18&lt;='Unit &amp; Fin Data-input'!#REF!,1,'O&amp;M escalators-input '!$E18)</f>
        <v>#REF!</v>
      </c>
      <c r="T18" s="207" t="e">
        <f t="shared" si="3"/>
        <v>#REF!</v>
      </c>
      <c r="U18" s="207" t="e">
        <f t="shared" si="4"/>
        <v>#REF!</v>
      </c>
      <c r="V18" s="208" t="e">
        <f t="shared" si="5"/>
        <v>#REF!</v>
      </c>
    </row>
    <row r="19" spans="2:22" ht="13.5">
      <c r="B19" s="185">
        <f t="shared" si="6"/>
        <v>2018</v>
      </c>
      <c r="C19" s="195">
        <v>1.025</v>
      </c>
      <c r="D19" s="195">
        <v>1.025</v>
      </c>
      <c r="E19" s="196">
        <v>1.025</v>
      </c>
      <c r="F19" s="186"/>
      <c r="G19" s="197">
        <f>IF($B19&lt;='Unit &amp; Fin Data-input'!$C$41,1,'O&amp;M escalators-input '!$C19)</f>
        <v>1.025</v>
      </c>
      <c r="H19" s="197">
        <f>IF($B19&lt;='Unit &amp; Fin Data-input'!$C$41,1,'O&amp;M escalators-input '!$D19)</f>
        <v>1.025</v>
      </c>
      <c r="I19" s="197">
        <f>IF($B19&lt;='Unit &amp; Fin Data-input'!$C$41,1,'O&amp;M escalators-input '!$E19)</f>
        <v>1.025</v>
      </c>
      <c r="J19" s="205">
        <f t="shared" si="0"/>
        <v>1.1038128906249998</v>
      </c>
      <c r="K19" s="205">
        <f t="shared" si="1"/>
        <v>1.1038128906249998</v>
      </c>
      <c r="L19" s="206">
        <f t="shared" si="2"/>
        <v>1.1038128906249998</v>
      </c>
      <c r="M19" s="199">
        <f>IF($B19&lt;'Unit &amp; Fin Data-input'!$C$41,0,'O&amp;M escalators-input '!J19)</f>
        <v>1.1038128906249998</v>
      </c>
      <c r="N19" s="200">
        <f>IF($B19&lt;'Unit &amp; Fin Data-input'!$C$41,0,'O&amp;M escalators-input '!K19)</f>
        <v>1.1038128906249998</v>
      </c>
      <c r="O19" s="201">
        <f>IF($B19&lt;'Unit &amp; Fin Data-input'!$C$41,0,'O&amp;M escalators-input '!L19)</f>
        <v>1.1038128906249998</v>
      </c>
      <c r="P19" s="202"/>
      <c r="Q19" s="203" t="e">
        <f>IF($B19&lt;='Unit &amp; Fin Data-input'!#REF!,1,'O&amp;M escalators-input '!$C19)</f>
        <v>#REF!</v>
      </c>
      <c r="R19" s="203" t="e">
        <f>IF($B19&lt;='Unit &amp; Fin Data-input'!#REF!,1,'O&amp;M escalators-input '!$D19)</f>
        <v>#REF!</v>
      </c>
      <c r="S19" s="203" t="e">
        <f>IF($B19&lt;='Unit &amp; Fin Data-input'!#REF!,1,'O&amp;M escalators-input '!$E19)</f>
        <v>#REF!</v>
      </c>
      <c r="T19" s="207" t="e">
        <f t="shared" si="3"/>
        <v>#REF!</v>
      </c>
      <c r="U19" s="207" t="e">
        <f t="shared" si="4"/>
        <v>#REF!</v>
      </c>
      <c r="V19" s="208" t="e">
        <f t="shared" si="5"/>
        <v>#REF!</v>
      </c>
    </row>
    <row r="20" spans="2:22" ht="13.5">
      <c r="B20" s="185">
        <f t="shared" si="6"/>
        <v>2019</v>
      </c>
      <c r="C20" s="195">
        <v>1.025</v>
      </c>
      <c r="D20" s="195">
        <v>1.025</v>
      </c>
      <c r="E20" s="196">
        <v>1.025</v>
      </c>
      <c r="F20" s="186"/>
      <c r="G20" s="197">
        <f>IF($B20&lt;='Unit &amp; Fin Data-input'!$C$41,1,'O&amp;M escalators-input '!$C20)</f>
        <v>1.025</v>
      </c>
      <c r="H20" s="197">
        <f>IF($B20&lt;='Unit &amp; Fin Data-input'!$C$41,1,'O&amp;M escalators-input '!$D20)</f>
        <v>1.025</v>
      </c>
      <c r="I20" s="197">
        <f>IF($B20&lt;='Unit &amp; Fin Data-input'!$C$41,1,'O&amp;M escalators-input '!$E20)</f>
        <v>1.025</v>
      </c>
      <c r="J20" s="205">
        <f t="shared" si="0"/>
        <v>1.1314082128906247</v>
      </c>
      <c r="K20" s="205">
        <f t="shared" si="1"/>
        <v>1.1314082128906247</v>
      </c>
      <c r="L20" s="206">
        <f t="shared" si="2"/>
        <v>1.1314082128906247</v>
      </c>
      <c r="M20" s="199">
        <f>IF($B20&lt;'Unit &amp; Fin Data-input'!$C$41,0,'O&amp;M escalators-input '!J20)</f>
        <v>1.1314082128906247</v>
      </c>
      <c r="N20" s="200">
        <f>IF($B20&lt;'Unit &amp; Fin Data-input'!$C$41,0,'O&amp;M escalators-input '!K20)</f>
        <v>1.1314082128906247</v>
      </c>
      <c r="O20" s="201">
        <f>IF($B20&lt;'Unit &amp; Fin Data-input'!$C$41,0,'O&amp;M escalators-input '!L20)</f>
        <v>1.1314082128906247</v>
      </c>
      <c r="P20" s="202"/>
      <c r="Q20" s="203" t="e">
        <f>IF($B20&lt;='Unit &amp; Fin Data-input'!#REF!,1,'O&amp;M escalators-input '!$C20)</f>
        <v>#REF!</v>
      </c>
      <c r="R20" s="203" t="e">
        <f>IF($B20&lt;='Unit &amp; Fin Data-input'!#REF!,1,'O&amp;M escalators-input '!$D20)</f>
        <v>#REF!</v>
      </c>
      <c r="S20" s="203" t="e">
        <f>IF($B20&lt;='Unit &amp; Fin Data-input'!#REF!,1,'O&amp;M escalators-input '!$E20)</f>
        <v>#REF!</v>
      </c>
      <c r="T20" s="207" t="e">
        <f t="shared" si="3"/>
        <v>#REF!</v>
      </c>
      <c r="U20" s="207" t="e">
        <f t="shared" si="4"/>
        <v>#REF!</v>
      </c>
      <c r="V20" s="208" t="e">
        <f t="shared" si="5"/>
        <v>#REF!</v>
      </c>
    </row>
    <row r="21" spans="2:22" ht="13.5">
      <c r="B21" s="185">
        <f t="shared" si="6"/>
        <v>2020</v>
      </c>
      <c r="C21" s="195">
        <v>1.025</v>
      </c>
      <c r="D21" s="195">
        <v>1.025</v>
      </c>
      <c r="E21" s="196">
        <v>1.025</v>
      </c>
      <c r="F21" s="186"/>
      <c r="G21" s="197">
        <f>IF($B21&lt;='Unit &amp; Fin Data-input'!$C$41,1,'O&amp;M escalators-input '!$C21)</f>
        <v>1.025</v>
      </c>
      <c r="H21" s="197">
        <f>IF($B21&lt;='Unit &amp; Fin Data-input'!$C$41,1,'O&amp;M escalators-input '!$D21)</f>
        <v>1.025</v>
      </c>
      <c r="I21" s="197">
        <f>IF($B21&lt;='Unit &amp; Fin Data-input'!$C$41,1,'O&amp;M escalators-input '!$E21)</f>
        <v>1.025</v>
      </c>
      <c r="J21" s="205">
        <f t="shared" si="0"/>
        <v>1.1596934182128902</v>
      </c>
      <c r="K21" s="205">
        <f t="shared" si="1"/>
        <v>1.1596934182128902</v>
      </c>
      <c r="L21" s="206">
        <f t="shared" si="2"/>
        <v>1.1596934182128902</v>
      </c>
      <c r="M21" s="199">
        <f>IF($B21&lt;'Unit &amp; Fin Data-input'!$C$41,0,'O&amp;M escalators-input '!J21)</f>
        <v>1.1596934182128902</v>
      </c>
      <c r="N21" s="200">
        <f>IF($B21&lt;'Unit &amp; Fin Data-input'!$C$41,0,'O&amp;M escalators-input '!K21)</f>
        <v>1.1596934182128902</v>
      </c>
      <c r="O21" s="201">
        <f>IF($B21&lt;'Unit &amp; Fin Data-input'!$C$41,0,'O&amp;M escalators-input '!L21)</f>
        <v>1.1596934182128902</v>
      </c>
      <c r="P21" s="202"/>
      <c r="Q21" s="203" t="e">
        <f>IF($B21&lt;='Unit &amp; Fin Data-input'!#REF!,1,'O&amp;M escalators-input '!$C21)</f>
        <v>#REF!</v>
      </c>
      <c r="R21" s="203" t="e">
        <f>IF($B21&lt;='Unit &amp; Fin Data-input'!#REF!,1,'O&amp;M escalators-input '!$D21)</f>
        <v>#REF!</v>
      </c>
      <c r="S21" s="203" t="e">
        <f>IF($B21&lt;='Unit &amp; Fin Data-input'!#REF!,1,'O&amp;M escalators-input '!$E21)</f>
        <v>#REF!</v>
      </c>
      <c r="T21" s="207" t="e">
        <f t="shared" si="3"/>
        <v>#REF!</v>
      </c>
      <c r="U21" s="207" t="e">
        <f t="shared" si="4"/>
        <v>#REF!</v>
      </c>
      <c r="V21" s="208" t="e">
        <f t="shared" si="5"/>
        <v>#REF!</v>
      </c>
    </row>
    <row r="22" spans="2:22" ht="13.5">
      <c r="B22" s="185">
        <f t="shared" si="6"/>
        <v>2021</v>
      </c>
      <c r="C22" s="195">
        <v>1.025</v>
      </c>
      <c r="D22" s="195">
        <v>1.025</v>
      </c>
      <c r="E22" s="196">
        <v>1.025</v>
      </c>
      <c r="F22" s="186"/>
      <c r="G22" s="197">
        <f>IF($B22&lt;='Unit &amp; Fin Data-input'!$C$41,1,'O&amp;M escalators-input '!$C22)</f>
        <v>1.025</v>
      </c>
      <c r="H22" s="197">
        <f>IF($B22&lt;='Unit &amp; Fin Data-input'!$C$41,1,'O&amp;M escalators-input '!$D22)</f>
        <v>1.025</v>
      </c>
      <c r="I22" s="197">
        <f>IF($B22&lt;='Unit &amp; Fin Data-input'!$C$41,1,'O&amp;M escalators-input '!$E22)</f>
        <v>1.025</v>
      </c>
      <c r="J22" s="205">
        <f t="shared" si="0"/>
        <v>1.1886857536682123</v>
      </c>
      <c r="K22" s="205">
        <f t="shared" si="1"/>
        <v>1.1886857536682123</v>
      </c>
      <c r="L22" s="206">
        <f t="shared" si="2"/>
        <v>1.1886857536682123</v>
      </c>
      <c r="M22" s="199">
        <f>IF($B22&lt;'Unit &amp; Fin Data-input'!$C$41,0,'O&amp;M escalators-input '!J22)</f>
        <v>1.1886857536682123</v>
      </c>
      <c r="N22" s="200">
        <f>IF($B22&lt;'Unit &amp; Fin Data-input'!$C$41,0,'O&amp;M escalators-input '!K22)</f>
        <v>1.1886857536682123</v>
      </c>
      <c r="O22" s="201">
        <f>IF($B22&lt;'Unit &amp; Fin Data-input'!$C$41,0,'O&amp;M escalators-input '!L22)</f>
        <v>1.1886857536682123</v>
      </c>
      <c r="P22" s="202"/>
      <c r="Q22" s="203" t="e">
        <f>IF($B22&lt;='Unit &amp; Fin Data-input'!#REF!,1,'O&amp;M escalators-input '!$C22)</f>
        <v>#REF!</v>
      </c>
      <c r="R22" s="203" t="e">
        <f>IF($B22&lt;='Unit &amp; Fin Data-input'!#REF!,1,'O&amp;M escalators-input '!$D22)</f>
        <v>#REF!</v>
      </c>
      <c r="S22" s="203" t="e">
        <f>IF($B22&lt;='Unit &amp; Fin Data-input'!#REF!,1,'O&amp;M escalators-input '!$E22)</f>
        <v>#REF!</v>
      </c>
      <c r="T22" s="207" t="e">
        <f t="shared" si="3"/>
        <v>#REF!</v>
      </c>
      <c r="U22" s="207" t="e">
        <f t="shared" si="4"/>
        <v>#REF!</v>
      </c>
      <c r="V22" s="208" t="e">
        <f t="shared" si="5"/>
        <v>#REF!</v>
      </c>
    </row>
    <row r="23" spans="2:22" ht="13.5">
      <c r="B23" s="185">
        <f t="shared" si="6"/>
        <v>2022</v>
      </c>
      <c r="C23" s="195">
        <v>1.025</v>
      </c>
      <c r="D23" s="195">
        <v>1.025</v>
      </c>
      <c r="E23" s="196">
        <v>1.025</v>
      </c>
      <c r="F23" s="186"/>
      <c r="G23" s="197">
        <f>IF($B23&lt;='Unit &amp; Fin Data-input'!$C$41,1,'O&amp;M escalators-input '!$C23)</f>
        <v>1.025</v>
      </c>
      <c r="H23" s="197">
        <f>IF($B23&lt;='Unit &amp; Fin Data-input'!$C$41,1,'O&amp;M escalators-input '!$D23)</f>
        <v>1.025</v>
      </c>
      <c r="I23" s="197">
        <f>IF($B23&lt;='Unit &amp; Fin Data-input'!$C$41,1,'O&amp;M escalators-input '!$E23)</f>
        <v>1.025</v>
      </c>
      <c r="J23" s="205">
        <f t="shared" si="0"/>
        <v>1.2184028975099175</v>
      </c>
      <c r="K23" s="205">
        <f t="shared" si="1"/>
        <v>1.2184028975099175</v>
      </c>
      <c r="L23" s="206">
        <f t="shared" si="2"/>
        <v>1.2184028975099175</v>
      </c>
      <c r="M23" s="199">
        <f>IF($B23&lt;'Unit &amp; Fin Data-input'!$C$41,0,'O&amp;M escalators-input '!J23)</f>
        <v>1.2184028975099175</v>
      </c>
      <c r="N23" s="200">
        <f>IF($B23&lt;'Unit &amp; Fin Data-input'!$C$41,0,'O&amp;M escalators-input '!K23)</f>
        <v>1.2184028975099175</v>
      </c>
      <c r="O23" s="201">
        <f>IF($B23&lt;'Unit &amp; Fin Data-input'!$C$41,0,'O&amp;M escalators-input '!L23)</f>
        <v>1.2184028975099175</v>
      </c>
      <c r="P23" s="202"/>
      <c r="Q23" s="203" t="e">
        <f>IF($B23&lt;='Unit &amp; Fin Data-input'!#REF!,1,'O&amp;M escalators-input '!$C23)</f>
        <v>#REF!</v>
      </c>
      <c r="R23" s="203" t="e">
        <f>IF($B23&lt;='Unit &amp; Fin Data-input'!#REF!,1,'O&amp;M escalators-input '!$D23)</f>
        <v>#REF!</v>
      </c>
      <c r="S23" s="203" t="e">
        <f>IF($B23&lt;='Unit &amp; Fin Data-input'!#REF!,1,'O&amp;M escalators-input '!$E23)</f>
        <v>#REF!</v>
      </c>
      <c r="T23" s="207" t="e">
        <f t="shared" si="3"/>
        <v>#REF!</v>
      </c>
      <c r="U23" s="207" t="e">
        <f t="shared" si="4"/>
        <v>#REF!</v>
      </c>
      <c r="V23" s="208" t="e">
        <f t="shared" si="5"/>
        <v>#REF!</v>
      </c>
    </row>
    <row r="24" spans="2:22" ht="13.5">
      <c r="B24" s="185">
        <f t="shared" si="6"/>
        <v>2023</v>
      </c>
      <c r="C24" s="195">
        <v>1.025</v>
      </c>
      <c r="D24" s="195">
        <v>1.025</v>
      </c>
      <c r="E24" s="196">
        <v>1.025</v>
      </c>
      <c r="F24" s="186"/>
      <c r="G24" s="197">
        <f>IF($B24&lt;='Unit &amp; Fin Data-input'!$C$41,1,'O&amp;M escalators-input '!$C24)</f>
        <v>1.025</v>
      </c>
      <c r="H24" s="197">
        <f>IF($B24&lt;='Unit &amp; Fin Data-input'!$C$41,1,'O&amp;M escalators-input '!$D24)</f>
        <v>1.025</v>
      </c>
      <c r="I24" s="197">
        <f>IF($B24&lt;='Unit &amp; Fin Data-input'!$C$41,1,'O&amp;M escalators-input '!$E24)</f>
        <v>1.025</v>
      </c>
      <c r="J24" s="205">
        <f t="shared" si="0"/>
        <v>1.2488629699476652</v>
      </c>
      <c r="K24" s="205">
        <f t="shared" si="1"/>
        <v>1.2488629699476652</v>
      </c>
      <c r="L24" s="206">
        <f t="shared" si="2"/>
        <v>1.2488629699476652</v>
      </c>
      <c r="M24" s="199">
        <f>IF($B24&lt;'Unit &amp; Fin Data-input'!$C$41,0,'O&amp;M escalators-input '!J24)</f>
        <v>1.2488629699476652</v>
      </c>
      <c r="N24" s="200">
        <f>IF($B24&lt;'Unit &amp; Fin Data-input'!$C$41,0,'O&amp;M escalators-input '!K24)</f>
        <v>1.2488629699476652</v>
      </c>
      <c r="O24" s="201">
        <f>IF($B24&lt;'Unit &amp; Fin Data-input'!$C$41,0,'O&amp;M escalators-input '!L24)</f>
        <v>1.2488629699476652</v>
      </c>
      <c r="P24" s="202"/>
      <c r="Q24" s="203" t="e">
        <f>IF($B24&lt;='Unit &amp; Fin Data-input'!#REF!,1,'O&amp;M escalators-input '!$C24)</f>
        <v>#REF!</v>
      </c>
      <c r="R24" s="203" t="e">
        <f>IF($B24&lt;='Unit &amp; Fin Data-input'!#REF!,1,'O&amp;M escalators-input '!$D24)</f>
        <v>#REF!</v>
      </c>
      <c r="S24" s="203" t="e">
        <f>IF($B24&lt;='Unit &amp; Fin Data-input'!#REF!,1,'O&amp;M escalators-input '!$E24)</f>
        <v>#REF!</v>
      </c>
      <c r="T24" s="207" t="e">
        <f t="shared" si="3"/>
        <v>#REF!</v>
      </c>
      <c r="U24" s="207" t="e">
        <f t="shared" si="4"/>
        <v>#REF!</v>
      </c>
      <c r="V24" s="208" t="e">
        <f t="shared" si="5"/>
        <v>#REF!</v>
      </c>
    </row>
    <row r="25" spans="2:22" ht="13.5">
      <c r="B25" s="185">
        <f t="shared" si="6"/>
        <v>2024</v>
      </c>
      <c r="C25" s="195">
        <v>1.025</v>
      </c>
      <c r="D25" s="195">
        <v>1.025</v>
      </c>
      <c r="E25" s="196">
        <v>1.025</v>
      </c>
      <c r="F25" s="186"/>
      <c r="G25" s="197">
        <f>IF($B25&lt;='Unit &amp; Fin Data-input'!$C$41,1,'O&amp;M escalators-input '!$C25)</f>
        <v>1.025</v>
      </c>
      <c r="H25" s="197">
        <f>IF($B25&lt;='Unit &amp; Fin Data-input'!$C$41,1,'O&amp;M escalators-input '!$D25)</f>
        <v>1.025</v>
      </c>
      <c r="I25" s="197">
        <f>IF($B25&lt;='Unit &amp; Fin Data-input'!$C$41,1,'O&amp;M escalators-input '!$E25)</f>
        <v>1.025</v>
      </c>
      <c r="J25" s="205">
        <f t="shared" si="0"/>
        <v>1.2800845441963566</v>
      </c>
      <c r="K25" s="205">
        <f t="shared" si="1"/>
        <v>1.2800845441963566</v>
      </c>
      <c r="L25" s="206">
        <f t="shared" si="2"/>
        <v>1.2800845441963566</v>
      </c>
      <c r="M25" s="199">
        <f>IF($B25&lt;'Unit &amp; Fin Data-input'!$C$41,0,'O&amp;M escalators-input '!J25)</f>
        <v>1.2800845441963566</v>
      </c>
      <c r="N25" s="200">
        <f>IF($B25&lt;'Unit &amp; Fin Data-input'!$C$41,0,'O&amp;M escalators-input '!K25)</f>
        <v>1.2800845441963566</v>
      </c>
      <c r="O25" s="201">
        <f>IF($B25&lt;'Unit &amp; Fin Data-input'!$C$41,0,'O&amp;M escalators-input '!L25)</f>
        <v>1.2800845441963566</v>
      </c>
      <c r="P25" s="202"/>
      <c r="Q25" s="203" t="e">
        <f>IF($B25&lt;='Unit &amp; Fin Data-input'!#REF!,1,'O&amp;M escalators-input '!$C25)</f>
        <v>#REF!</v>
      </c>
      <c r="R25" s="203" t="e">
        <f>IF($B25&lt;='Unit &amp; Fin Data-input'!#REF!,1,'O&amp;M escalators-input '!$D25)</f>
        <v>#REF!</v>
      </c>
      <c r="S25" s="203" t="e">
        <f>IF($B25&lt;='Unit &amp; Fin Data-input'!#REF!,1,'O&amp;M escalators-input '!$E25)</f>
        <v>#REF!</v>
      </c>
      <c r="T25" s="207" t="e">
        <f t="shared" si="3"/>
        <v>#REF!</v>
      </c>
      <c r="U25" s="207" t="e">
        <f t="shared" si="4"/>
        <v>#REF!</v>
      </c>
      <c r="V25" s="208" t="e">
        <f t="shared" si="5"/>
        <v>#REF!</v>
      </c>
    </row>
    <row r="26" spans="2:22" ht="13.5">
      <c r="B26" s="185">
        <f t="shared" si="6"/>
        <v>2025</v>
      </c>
      <c r="C26" s="195">
        <v>1.025</v>
      </c>
      <c r="D26" s="195">
        <v>1.025</v>
      </c>
      <c r="E26" s="196">
        <v>1.025</v>
      </c>
      <c r="F26" s="186"/>
      <c r="G26" s="197">
        <f>IF($B26&lt;='Unit &amp; Fin Data-input'!$C$41,1,'O&amp;M escalators-input '!$C26)</f>
        <v>1.025</v>
      </c>
      <c r="H26" s="197">
        <f>IF($B26&lt;='Unit &amp; Fin Data-input'!$C$41,1,'O&amp;M escalators-input '!$D26)</f>
        <v>1.025</v>
      </c>
      <c r="I26" s="197">
        <f>IF($B26&lt;='Unit &amp; Fin Data-input'!$C$41,1,'O&amp;M escalators-input '!$E26)</f>
        <v>1.025</v>
      </c>
      <c r="J26" s="205">
        <f t="shared" si="0"/>
        <v>1.3120866578012655</v>
      </c>
      <c r="K26" s="205">
        <f t="shared" si="1"/>
        <v>1.3120866578012655</v>
      </c>
      <c r="L26" s="206">
        <f t="shared" si="2"/>
        <v>1.3120866578012655</v>
      </c>
      <c r="M26" s="199">
        <f>IF($B26&lt;'Unit &amp; Fin Data-input'!$C$41,0,'O&amp;M escalators-input '!J26)</f>
        <v>1.3120866578012655</v>
      </c>
      <c r="N26" s="200">
        <f>IF($B26&lt;'Unit &amp; Fin Data-input'!$C$41,0,'O&amp;M escalators-input '!K26)</f>
        <v>1.3120866578012655</v>
      </c>
      <c r="O26" s="201">
        <f>IF($B26&lt;'Unit &amp; Fin Data-input'!$C$41,0,'O&amp;M escalators-input '!L26)</f>
        <v>1.3120866578012655</v>
      </c>
      <c r="P26" s="202"/>
      <c r="Q26" s="203" t="e">
        <f>IF($B26&lt;='Unit &amp; Fin Data-input'!#REF!,1,'O&amp;M escalators-input '!$C26)</f>
        <v>#REF!</v>
      </c>
      <c r="R26" s="203" t="e">
        <f>IF($B26&lt;='Unit &amp; Fin Data-input'!#REF!,1,'O&amp;M escalators-input '!$D26)</f>
        <v>#REF!</v>
      </c>
      <c r="S26" s="203" t="e">
        <f>IF($B26&lt;='Unit &amp; Fin Data-input'!#REF!,1,'O&amp;M escalators-input '!$E26)</f>
        <v>#REF!</v>
      </c>
      <c r="T26" s="207" t="e">
        <f t="shared" si="3"/>
        <v>#REF!</v>
      </c>
      <c r="U26" s="207" t="e">
        <f t="shared" si="4"/>
        <v>#REF!</v>
      </c>
      <c r="V26" s="208" t="e">
        <f t="shared" si="5"/>
        <v>#REF!</v>
      </c>
    </row>
    <row r="27" spans="2:22" ht="13.5">
      <c r="B27" s="185">
        <f t="shared" si="6"/>
        <v>2026</v>
      </c>
      <c r="C27" s="195">
        <v>1.025</v>
      </c>
      <c r="D27" s="195">
        <v>1.025</v>
      </c>
      <c r="E27" s="196">
        <v>1.025</v>
      </c>
      <c r="F27" s="186"/>
      <c r="G27" s="197">
        <f>IF($B27&lt;='Unit &amp; Fin Data-input'!$C$41,1,'O&amp;M escalators-input '!$C27)</f>
        <v>1.025</v>
      </c>
      <c r="H27" s="197">
        <f>IF($B27&lt;='Unit &amp; Fin Data-input'!$C$41,1,'O&amp;M escalators-input '!$D27)</f>
        <v>1.025</v>
      </c>
      <c r="I27" s="197">
        <f>IF($B27&lt;='Unit &amp; Fin Data-input'!$C$41,1,'O&amp;M escalators-input '!$E27)</f>
        <v>1.025</v>
      </c>
      <c r="J27" s="205">
        <f t="shared" si="0"/>
        <v>1.344888824246297</v>
      </c>
      <c r="K27" s="205">
        <f t="shared" si="1"/>
        <v>1.344888824246297</v>
      </c>
      <c r="L27" s="206">
        <f t="shared" si="2"/>
        <v>1.344888824246297</v>
      </c>
      <c r="M27" s="199">
        <f>IF($B27&lt;'Unit &amp; Fin Data-input'!$C$41,0,'O&amp;M escalators-input '!J27)</f>
        <v>1.344888824246297</v>
      </c>
      <c r="N27" s="200">
        <f>IF($B27&lt;'Unit &amp; Fin Data-input'!$C$41,0,'O&amp;M escalators-input '!K27)</f>
        <v>1.344888824246297</v>
      </c>
      <c r="O27" s="201">
        <f>IF($B27&lt;'Unit &amp; Fin Data-input'!$C$41,0,'O&amp;M escalators-input '!L27)</f>
        <v>1.344888824246297</v>
      </c>
      <c r="P27" s="202"/>
      <c r="Q27" s="203" t="e">
        <f>IF($B27&lt;='Unit &amp; Fin Data-input'!#REF!,1,'O&amp;M escalators-input '!$C27)</f>
        <v>#REF!</v>
      </c>
      <c r="R27" s="203" t="e">
        <f>IF($B27&lt;='Unit &amp; Fin Data-input'!#REF!,1,'O&amp;M escalators-input '!$D27)</f>
        <v>#REF!</v>
      </c>
      <c r="S27" s="203" t="e">
        <f>IF($B27&lt;='Unit &amp; Fin Data-input'!#REF!,1,'O&amp;M escalators-input '!$E27)</f>
        <v>#REF!</v>
      </c>
      <c r="T27" s="207" t="e">
        <f t="shared" si="3"/>
        <v>#REF!</v>
      </c>
      <c r="U27" s="207" t="e">
        <f t="shared" si="4"/>
        <v>#REF!</v>
      </c>
      <c r="V27" s="208" t="e">
        <f t="shared" si="5"/>
        <v>#REF!</v>
      </c>
    </row>
    <row r="28" spans="2:22" ht="13.5">
      <c r="B28" s="185">
        <f t="shared" si="6"/>
        <v>2027</v>
      </c>
      <c r="C28" s="195">
        <v>1.025</v>
      </c>
      <c r="D28" s="195">
        <v>1.025</v>
      </c>
      <c r="E28" s="196">
        <v>1.025</v>
      </c>
      <c r="F28" s="186"/>
      <c r="G28" s="197">
        <f>IF($B28&lt;='Unit &amp; Fin Data-input'!$C$41,1,'O&amp;M escalators-input '!$C28)</f>
        <v>1.025</v>
      </c>
      <c r="H28" s="197">
        <f>IF($B28&lt;='Unit &amp; Fin Data-input'!$C$41,1,'O&amp;M escalators-input '!$D28)</f>
        <v>1.025</v>
      </c>
      <c r="I28" s="197">
        <f>IF($B28&lt;='Unit &amp; Fin Data-input'!$C$41,1,'O&amp;M escalators-input '!$E28)</f>
        <v>1.025</v>
      </c>
      <c r="J28" s="205">
        <f t="shared" si="0"/>
        <v>1.3785110448524545</v>
      </c>
      <c r="K28" s="205">
        <f t="shared" si="1"/>
        <v>1.3785110448524545</v>
      </c>
      <c r="L28" s="206">
        <f t="shared" si="2"/>
        <v>1.3785110448524545</v>
      </c>
      <c r="M28" s="199">
        <f>IF($B28&lt;'Unit &amp; Fin Data-input'!$C$41,0,'O&amp;M escalators-input '!J28)</f>
        <v>1.3785110448524545</v>
      </c>
      <c r="N28" s="200">
        <f>IF($B28&lt;'Unit &amp; Fin Data-input'!$C$41,0,'O&amp;M escalators-input '!K28)</f>
        <v>1.3785110448524545</v>
      </c>
      <c r="O28" s="201">
        <f>IF($B28&lt;'Unit &amp; Fin Data-input'!$C$41,0,'O&amp;M escalators-input '!L28)</f>
        <v>1.3785110448524545</v>
      </c>
      <c r="P28" s="202"/>
      <c r="Q28" s="203" t="e">
        <f>IF($B28&lt;='Unit &amp; Fin Data-input'!#REF!,1,'O&amp;M escalators-input '!$C28)</f>
        <v>#REF!</v>
      </c>
      <c r="R28" s="203" t="e">
        <f>IF($B28&lt;='Unit &amp; Fin Data-input'!#REF!,1,'O&amp;M escalators-input '!$D28)</f>
        <v>#REF!</v>
      </c>
      <c r="S28" s="203" t="e">
        <f>IF($B28&lt;='Unit &amp; Fin Data-input'!#REF!,1,'O&amp;M escalators-input '!$E28)</f>
        <v>#REF!</v>
      </c>
      <c r="T28" s="207" t="e">
        <f t="shared" si="3"/>
        <v>#REF!</v>
      </c>
      <c r="U28" s="207" t="e">
        <f t="shared" si="4"/>
        <v>#REF!</v>
      </c>
      <c r="V28" s="208" t="e">
        <f t="shared" si="5"/>
        <v>#REF!</v>
      </c>
    </row>
    <row r="29" spans="2:22" ht="13.5">
      <c r="B29" s="185">
        <f t="shared" si="6"/>
        <v>2028</v>
      </c>
      <c r="C29" s="195">
        <v>1.025</v>
      </c>
      <c r="D29" s="195">
        <v>1.025</v>
      </c>
      <c r="E29" s="196">
        <v>1.025</v>
      </c>
      <c r="F29" s="186"/>
      <c r="G29" s="197">
        <f>IF($B29&lt;='Unit &amp; Fin Data-input'!$C$41,1,'O&amp;M escalators-input '!$C29)</f>
        <v>1.025</v>
      </c>
      <c r="H29" s="197">
        <f>IF($B29&lt;='Unit &amp; Fin Data-input'!$C$41,1,'O&amp;M escalators-input '!$D29)</f>
        <v>1.025</v>
      </c>
      <c r="I29" s="197">
        <f>IF($B29&lt;='Unit &amp; Fin Data-input'!$C$41,1,'O&amp;M escalators-input '!$E29)</f>
        <v>1.025</v>
      </c>
      <c r="J29" s="205">
        <f t="shared" si="0"/>
        <v>1.4129738209737657</v>
      </c>
      <c r="K29" s="205">
        <f t="shared" si="1"/>
        <v>1.4129738209737657</v>
      </c>
      <c r="L29" s="206">
        <f t="shared" si="2"/>
        <v>1.4129738209737657</v>
      </c>
      <c r="M29" s="199">
        <f>IF($B29&lt;'Unit &amp; Fin Data-input'!$C$41,0,'O&amp;M escalators-input '!J29)</f>
        <v>1.4129738209737657</v>
      </c>
      <c r="N29" s="200">
        <f>IF($B29&lt;'Unit &amp; Fin Data-input'!$C$41,0,'O&amp;M escalators-input '!K29)</f>
        <v>1.4129738209737657</v>
      </c>
      <c r="O29" s="201">
        <f>IF($B29&lt;'Unit &amp; Fin Data-input'!$C$41,0,'O&amp;M escalators-input '!L29)</f>
        <v>1.4129738209737657</v>
      </c>
      <c r="P29" s="202"/>
      <c r="Q29" s="203" t="e">
        <f>IF($B29&lt;='Unit &amp; Fin Data-input'!#REF!,1,'O&amp;M escalators-input '!$C29)</f>
        <v>#REF!</v>
      </c>
      <c r="R29" s="203" t="e">
        <f>IF($B29&lt;='Unit &amp; Fin Data-input'!#REF!,1,'O&amp;M escalators-input '!$D29)</f>
        <v>#REF!</v>
      </c>
      <c r="S29" s="203" t="e">
        <f>IF($B29&lt;='Unit &amp; Fin Data-input'!#REF!,1,'O&amp;M escalators-input '!$E29)</f>
        <v>#REF!</v>
      </c>
      <c r="T29" s="207" t="e">
        <f t="shared" si="3"/>
        <v>#REF!</v>
      </c>
      <c r="U29" s="207" t="e">
        <f t="shared" si="4"/>
        <v>#REF!</v>
      </c>
      <c r="V29" s="208" t="e">
        <f t="shared" si="5"/>
        <v>#REF!</v>
      </c>
    </row>
    <row r="30" spans="2:22" ht="13.5">
      <c r="B30" s="185">
        <f t="shared" si="6"/>
        <v>2029</v>
      </c>
      <c r="C30" s="195">
        <v>1.025</v>
      </c>
      <c r="D30" s="195">
        <v>1.025</v>
      </c>
      <c r="E30" s="196">
        <v>1.025</v>
      </c>
      <c r="F30" s="186"/>
      <c r="G30" s="197">
        <f>IF($B30&lt;='Unit &amp; Fin Data-input'!$C$41,1,'O&amp;M escalators-input '!$C30)</f>
        <v>1.025</v>
      </c>
      <c r="H30" s="197">
        <f>IF($B30&lt;='Unit &amp; Fin Data-input'!$C$41,1,'O&amp;M escalators-input '!$D30)</f>
        <v>1.025</v>
      </c>
      <c r="I30" s="197">
        <f>IF($B30&lt;='Unit &amp; Fin Data-input'!$C$41,1,'O&amp;M escalators-input '!$E30)</f>
        <v>1.025</v>
      </c>
      <c r="J30" s="205">
        <f t="shared" si="0"/>
        <v>1.4482981664981096</v>
      </c>
      <c r="K30" s="205">
        <f t="shared" si="1"/>
        <v>1.4482981664981096</v>
      </c>
      <c r="L30" s="206">
        <f t="shared" si="2"/>
        <v>1.4482981664981096</v>
      </c>
      <c r="M30" s="199">
        <f>IF($B30&lt;'Unit &amp; Fin Data-input'!$C$41,0,'O&amp;M escalators-input '!J30)</f>
        <v>1.4482981664981096</v>
      </c>
      <c r="N30" s="200">
        <f>IF($B30&lt;'Unit &amp; Fin Data-input'!$C$41,0,'O&amp;M escalators-input '!K30)</f>
        <v>1.4482981664981096</v>
      </c>
      <c r="O30" s="201">
        <f>IF($B30&lt;'Unit &amp; Fin Data-input'!$C$41,0,'O&amp;M escalators-input '!L30)</f>
        <v>1.4482981664981096</v>
      </c>
      <c r="P30" s="202"/>
      <c r="Q30" s="203" t="e">
        <f>IF($B30&lt;='Unit &amp; Fin Data-input'!#REF!,1,'O&amp;M escalators-input '!$C30)</f>
        <v>#REF!</v>
      </c>
      <c r="R30" s="203" t="e">
        <f>IF($B30&lt;='Unit &amp; Fin Data-input'!#REF!,1,'O&amp;M escalators-input '!$D30)</f>
        <v>#REF!</v>
      </c>
      <c r="S30" s="203" t="e">
        <f>IF($B30&lt;='Unit &amp; Fin Data-input'!#REF!,1,'O&amp;M escalators-input '!$E30)</f>
        <v>#REF!</v>
      </c>
      <c r="T30" s="207" t="e">
        <f t="shared" si="3"/>
        <v>#REF!</v>
      </c>
      <c r="U30" s="207" t="e">
        <f t="shared" si="4"/>
        <v>#REF!</v>
      </c>
      <c r="V30" s="208" t="e">
        <f t="shared" si="5"/>
        <v>#REF!</v>
      </c>
    </row>
    <row r="31" spans="2:22" ht="13.5">
      <c r="B31" s="185">
        <f t="shared" si="6"/>
        <v>2030</v>
      </c>
      <c r="C31" s="195">
        <v>1.025</v>
      </c>
      <c r="D31" s="195">
        <v>1.025</v>
      </c>
      <c r="E31" s="196">
        <v>1.025</v>
      </c>
      <c r="F31" s="186"/>
      <c r="G31" s="197">
        <f>IF($B31&lt;='Unit &amp; Fin Data-input'!$C$41,1,'O&amp;M escalators-input '!$C31)</f>
        <v>1.025</v>
      </c>
      <c r="H31" s="197">
        <f>IF($B31&lt;='Unit &amp; Fin Data-input'!$C$41,1,'O&amp;M escalators-input '!$D31)</f>
        <v>1.025</v>
      </c>
      <c r="I31" s="197">
        <f>IF($B31&lt;='Unit &amp; Fin Data-input'!$C$41,1,'O&amp;M escalators-input '!$E31)</f>
        <v>1.025</v>
      </c>
      <c r="J31" s="205">
        <f t="shared" si="0"/>
        <v>1.4845056206605622</v>
      </c>
      <c r="K31" s="205">
        <f t="shared" si="1"/>
        <v>1.4845056206605622</v>
      </c>
      <c r="L31" s="206">
        <f t="shared" si="2"/>
        <v>1.4845056206605622</v>
      </c>
      <c r="M31" s="199">
        <f>IF($B31&lt;'Unit &amp; Fin Data-input'!$C$41,0,'O&amp;M escalators-input '!J31)</f>
        <v>1.4845056206605622</v>
      </c>
      <c r="N31" s="200">
        <f>IF($B31&lt;'Unit &amp; Fin Data-input'!$C$41,0,'O&amp;M escalators-input '!K31)</f>
        <v>1.4845056206605622</v>
      </c>
      <c r="O31" s="201">
        <f>IF($B31&lt;'Unit &amp; Fin Data-input'!$C$41,0,'O&amp;M escalators-input '!L31)</f>
        <v>1.4845056206605622</v>
      </c>
      <c r="P31" s="202"/>
      <c r="Q31" s="203" t="e">
        <f>IF($B31&lt;='Unit &amp; Fin Data-input'!#REF!,1,'O&amp;M escalators-input '!$C31)</f>
        <v>#REF!</v>
      </c>
      <c r="R31" s="203" t="e">
        <f>IF($B31&lt;='Unit &amp; Fin Data-input'!#REF!,1,'O&amp;M escalators-input '!$D31)</f>
        <v>#REF!</v>
      </c>
      <c r="S31" s="203" t="e">
        <f>IF($B31&lt;='Unit &amp; Fin Data-input'!#REF!,1,'O&amp;M escalators-input '!$E31)</f>
        <v>#REF!</v>
      </c>
      <c r="T31" s="207" t="e">
        <f t="shared" si="3"/>
        <v>#REF!</v>
      </c>
      <c r="U31" s="207" t="e">
        <f t="shared" si="4"/>
        <v>#REF!</v>
      </c>
      <c r="V31" s="208" t="e">
        <f t="shared" si="5"/>
        <v>#REF!</v>
      </c>
    </row>
    <row r="32" spans="2:22" ht="13.5">
      <c r="B32" s="185">
        <f t="shared" si="6"/>
        <v>2031</v>
      </c>
      <c r="C32" s="195">
        <v>1.025</v>
      </c>
      <c r="D32" s="195">
        <v>1.025</v>
      </c>
      <c r="E32" s="196">
        <v>1.025</v>
      </c>
      <c r="F32" s="186"/>
      <c r="G32" s="197">
        <f>IF($B32&lt;='Unit &amp; Fin Data-input'!$C$41,1,'O&amp;M escalators-input '!$C32)</f>
        <v>1.025</v>
      </c>
      <c r="H32" s="197">
        <f>IF($B32&lt;='Unit &amp; Fin Data-input'!$C$41,1,'O&amp;M escalators-input '!$D32)</f>
        <v>1.025</v>
      </c>
      <c r="I32" s="197">
        <f>IF($B32&lt;='Unit &amp; Fin Data-input'!$C$41,1,'O&amp;M escalators-input '!$E32)</f>
        <v>1.025</v>
      </c>
      <c r="J32" s="205">
        <f t="shared" si="0"/>
        <v>1.521618261177076</v>
      </c>
      <c r="K32" s="205">
        <f t="shared" si="1"/>
        <v>1.521618261177076</v>
      </c>
      <c r="L32" s="206">
        <f t="shared" si="2"/>
        <v>1.521618261177076</v>
      </c>
      <c r="M32" s="199">
        <f>IF($B32&lt;'Unit &amp; Fin Data-input'!$C$41,0,'O&amp;M escalators-input '!J32)</f>
        <v>1.521618261177076</v>
      </c>
      <c r="N32" s="200">
        <f>IF($B32&lt;'Unit &amp; Fin Data-input'!$C$41,0,'O&amp;M escalators-input '!K32)</f>
        <v>1.521618261177076</v>
      </c>
      <c r="O32" s="201">
        <f>IF($B32&lt;'Unit &amp; Fin Data-input'!$C$41,0,'O&amp;M escalators-input '!L32)</f>
        <v>1.521618261177076</v>
      </c>
      <c r="P32" s="202"/>
      <c r="Q32" s="203" t="e">
        <f>IF($B32&lt;='Unit &amp; Fin Data-input'!#REF!,1,'O&amp;M escalators-input '!$C32)</f>
        <v>#REF!</v>
      </c>
      <c r="R32" s="203" t="e">
        <f>IF($B32&lt;='Unit &amp; Fin Data-input'!#REF!,1,'O&amp;M escalators-input '!$D32)</f>
        <v>#REF!</v>
      </c>
      <c r="S32" s="203" t="e">
        <f>IF($B32&lt;='Unit &amp; Fin Data-input'!#REF!,1,'O&amp;M escalators-input '!$E32)</f>
        <v>#REF!</v>
      </c>
      <c r="T32" s="207" t="e">
        <f t="shared" si="3"/>
        <v>#REF!</v>
      </c>
      <c r="U32" s="207" t="e">
        <f t="shared" si="4"/>
        <v>#REF!</v>
      </c>
      <c r="V32" s="208" t="e">
        <f t="shared" si="5"/>
        <v>#REF!</v>
      </c>
    </row>
    <row r="33" spans="2:22" ht="13.5">
      <c r="B33" s="185">
        <f t="shared" si="6"/>
        <v>2032</v>
      </c>
      <c r="C33" s="195">
        <v>1.025</v>
      </c>
      <c r="D33" s="195">
        <v>1.025</v>
      </c>
      <c r="E33" s="196">
        <v>1.025</v>
      </c>
      <c r="F33" s="186"/>
      <c r="G33" s="197">
        <f>IF($B33&lt;='Unit &amp; Fin Data-input'!$C$41,1,'O&amp;M escalators-input '!$C33)</f>
        <v>1.025</v>
      </c>
      <c r="H33" s="197">
        <f>IF($B33&lt;='Unit &amp; Fin Data-input'!$C$41,1,'O&amp;M escalators-input '!$D33)</f>
        <v>1.025</v>
      </c>
      <c r="I33" s="197">
        <f>IF($B33&lt;='Unit &amp; Fin Data-input'!$C$41,1,'O&amp;M escalators-input '!$E33)</f>
        <v>1.025</v>
      </c>
      <c r="J33" s="205">
        <f t="shared" si="0"/>
        <v>1.5596587177065029</v>
      </c>
      <c r="K33" s="205">
        <f t="shared" si="1"/>
        <v>1.5596587177065029</v>
      </c>
      <c r="L33" s="206">
        <f t="shared" si="2"/>
        <v>1.5596587177065029</v>
      </c>
      <c r="M33" s="199">
        <f>IF($B33&lt;'Unit &amp; Fin Data-input'!$C$41,0,'O&amp;M escalators-input '!J33)</f>
        <v>1.5596587177065029</v>
      </c>
      <c r="N33" s="200">
        <f>IF($B33&lt;'Unit &amp; Fin Data-input'!$C$41,0,'O&amp;M escalators-input '!K33)</f>
        <v>1.5596587177065029</v>
      </c>
      <c r="O33" s="201">
        <f>IF($B33&lt;'Unit &amp; Fin Data-input'!$C$41,0,'O&amp;M escalators-input '!L33)</f>
        <v>1.5596587177065029</v>
      </c>
      <c r="P33" s="202"/>
      <c r="Q33" s="203" t="e">
        <f>IF($B33&lt;='Unit &amp; Fin Data-input'!#REF!,1,'O&amp;M escalators-input '!$C33)</f>
        <v>#REF!</v>
      </c>
      <c r="R33" s="203" t="e">
        <f>IF($B33&lt;='Unit &amp; Fin Data-input'!#REF!,1,'O&amp;M escalators-input '!$D33)</f>
        <v>#REF!</v>
      </c>
      <c r="S33" s="203" t="e">
        <f>IF($B33&lt;='Unit &amp; Fin Data-input'!#REF!,1,'O&amp;M escalators-input '!$E33)</f>
        <v>#REF!</v>
      </c>
      <c r="T33" s="207" t="e">
        <f t="shared" si="3"/>
        <v>#REF!</v>
      </c>
      <c r="U33" s="207" t="e">
        <f t="shared" si="4"/>
        <v>#REF!</v>
      </c>
      <c r="V33" s="208" t="e">
        <f t="shared" si="5"/>
        <v>#REF!</v>
      </c>
    </row>
    <row r="34" spans="2:22" ht="13.5">
      <c r="B34" s="185">
        <f t="shared" si="6"/>
        <v>2033</v>
      </c>
      <c r="C34" s="195">
        <v>1.025</v>
      </c>
      <c r="D34" s="195">
        <v>1.025</v>
      </c>
      <c r="E34" s="196">
        <v>1.025</v>
      </c>
      <c r="F34" s="186"/>
      <c r="G34" s="197">
        <f>IF($B34&lt;='Unit &amp; Fin Data-input'!$C$41,1,'O&amp;M escalators-input '!$C34)</f>
        <v>1.025</v>
      </c>
      <c r="H34" s="197">
        <f>IF($B34&lt;='Unit &amp; Fin Data-input'!$C$41,1,'O&amp;M escalators-input '!$D34)</f>
        <v>1.025</v>
      </c>
      <c r="I34" s="197">
        <f>IF($B34&lt;='Unit &amp; Fin Data-input'!$C$41,1,'O&amp;M escalators-input '!$E34)</f>
        <v>1.025</v>
      </c>
      <c r="J34" s="205">
        <f t="shared" si="0"/>
        <v>1.5986501856491653</v>
      </c>
      <c r="K34" s="205">
        <f t="shared" si="1"/>
        <v>1.5986501856491653</v>
      </c>
      <c r="L34" s="206">
        <f t="shared" si="2"/>
        <v>1.5986501856491653</v>
      </c>
      <c r="M34" s="199">
        <f>IF($B34&lt;'Unit &amp; Fin Data-input'!$C$41,0,'O&amp;M escalators-input '!J34)</f>
        <v>1.5986501856491653</v>
      </c>
      <c r="N34" s="200">
        <f>IF($B34&lt;'Unit &amp; Fin Data-input'!$C$41,0,'O&amp;M escalators-input '!K34)</f>
        <v>1.5986501856491653</v>
      </c>
      <c r="O34" s="201">
        <f>IF($B34&lt;'Unit &amp; Fin Data-input'!$C$41,0,'O&amp;M escalators-input '!L34)</f>
        <v>1.5986501856491653</v>
      </c>
      <c r="P34" s="202"/>
      <c r="Q34" s="203" t="e">
        <f>IF($B34&lt;='Unit &amp; Fin Data-input'!#REF!,1,'O&amp;M escalators-input '!$C34)</f>
        <v>#REF!</v>
      </c>
      <c r="R34" s="203" t="e">
        <f>IF($B34&lt;='Unit &amp; Fin Data-input'!#REF!,1,'O&amp;M escalators-input '!$D34)</f>
        <v>#REF!</v>
      </c>
      <c r="S34" s="203" t="e">
        <f>IF($B34&lt;='Unit &amp; Fin Data-input'!#REF!,1,'O&amp;M escalators-input '!$E34)</f>
        <v>#REF!</v>
      </c>
      <c r="T34" s="207" t="e">
        <f t="shared" si="3"/>
        <v>#REF!</v>
      </c>
      <c r="U34" s="207" t="e">
        <f t="shared" si="4"/>
        <v>#REF!</v>
      </c>
      <c r="V34" s="208" t="e">
        <f t="shared" si="5"/>
        <v>#REF!</v>
      </c>
    </row>
    <row r="35" spans="2:22" ht="13.5">
      <c r="B35" s="185">
        <f t="shared" si="6"/>
        <v>2034</v>
      </c>
      <c r="C35" s="195">
        <v>1.025</v>
      </c>
      <c r="D35" s="195">
        <v>1.025</v>
      </c>
      <c r="E35" s="196">
        <v>1.025</v>
      </c>
      <c r="F35" s="186"/>
      <c r="G35" s="197">
        <f>IF($B35&lt;='Unit &amp; Fin Data-input'!$C$41,1,'O&amp;M escalators-input '!$C35)</f>
        <v>1.025</v>
      </c>
      <c r="H35" s="197">
        <f>IF($B35&lt;='Unit &amp; Fin Data-input'!$C$41,1,'O&amp;M escalators-input '!$D35)</f>
        <v>1.025</v>
      </c>
      <c r="I35" s="197">
        <f>IF($B35&lt;='Unit &amp; Fin Data-input'!$C$41,1,'O&amp;M escalators-input '!$E35)</f>
        <v>1.025</v>
      </c>
      <c r="J35" s="205">
        <f t="shared" si="0"/>
        <v>1.6386164402903942</v>
      </c>
      <c r="K35" s="205">
        <f t="shared" si="1"/>
        <v>1.6386164402903942</v>
      </c>
      <c r="L35" s="206">
        <f t="shared" si="2"/>
        <v>1.6386164402903942</v>
      </c>
      <c r="M35" s="199">
        <f>IF($B35&lt;'Unit &amp; Fin Data-input'!$C$41,0,'O&amp;M escalators-input '!J35)</f>
        <v>1.6386164402903942</v>
      </c>
      <c r="N35" s="200">
        <f>IF($B35&lt;'Unit &amp; Fin Data-input'!$C$41,0,'O&amp;M escalators-input '!K35)</f>
        <v>1.6386164402903942</v>
      </c>
      <c r="O35" s="201">
        <f>IF($B35&lt;'Unit &amp; Fin Data-input'!$C$41,0,'O&amp;M escalators-input '!L35)</f>
        <v>1.6386164402903942</v>
      </c>
      <c r="P35" s="202"/>
      <c r="Q35" s="203" t="e">
        <f>IF($B35&lt;='Unit &amp; Fin Data-input'!#REF!,1,'O&amp;M escalators-input '!$C35)</f>
        <v>#REF!</v>
      </c>
      <c r="R35" s="203" t="e">
        <f>IF($B35&lt;='Unit &amp; Fin Data-input'!#REF!,1,'O&amp;M escalators-input '!$D35)</f>
        <v>#REF!</v>
      </c>
      <c r="S35" s="203" t="e">
        <f>IF($B35&lt;='Unit &amp; Fin Data-input'!#REF!,1,'O&amp;M escalators-input '!$E35)</f>
        <v>#REF!</v>
      </c>
      <c r="T35" s="207" t="e">
        <f t="shared" si="3"/>
        <v>#REF!</v>
      </c>
      <c r="U35" s="207" t="e">
        <f t="shared" si="4"/>
        <v>#REF!</v>
      </c>
      <c r="V35" s="208" t="e">
        <f t="shared" si="5"/>
        <v>#REF!</v>
      </c>
    </row>
    <row r="36" spans="2:22" ht="13.5">
      <c r="B36" s="185">
        <f t="shared" si="6"/>
        <v>2035</v>
      </c>
      <c r="C36" s="195">
        <v>1.025</v>
      </c>
      <c r="D36" s="195">
        <v>1.025</v>
      </c>
      <c r="E36" s="196">
        <v>1.025</v>
      </c>
      <c r="F36" s="186"/>
      <c r="G36" s="197">
        <f>IF($B36&lt;='Unit &amp; Fin Data-input'!$C$41,1,'O&amp;M escalators-input '!$C36)</f>
        <v>1.025</v>
      </c>
      <c r="H36" s="197">
        <f>IF($B36&lt;='Unit &amp; Fin Data-input'!$C$41,1,'O&amp;M escalators-input '!$D36)</f>
        <v>1.025</v>
      </c>
      <c r="I36" s="197">
        <f>IF($B36&lt;='Unit &amp; Fin Data-input'!$C$41,1,'O&amp;M escalators-input '!$E36)</f>
        <v>1.025</v>
      </c>
      <c r="J36" s="205">
        <f t="shared" si="0"/>
        <v>1.679581851297654</v>
      </c>
      <c r="K36" s="205">
        <f t="shared" si="1"/>
        <v>1.679581851297654</v>
      </c>
      <c r="L36" s="206">
        <f t="shared" si="2"/>
        <v>1.679581851297654</v>
      </c>
      <c r="M36" s="199">
        <f>IF($B36&lt;'Unit &amp; Fin Data-input'!$C$41,0,'O&amp;M escalators-input '!J36)</f>
        <v>1.679581851297654</v>
      </c>
      <c r="N36" s="200">
        <f>IF($B36&lt;'Unit &amp; Fin Data-input'!$C$41,0,'O&amp;M escalators-input '!K36)</f>
        <v>1.679581851297654</v>
      </c>
      <c r="O36" s="201">
        <f>IF($B36&lt;'Unit &amp; Fin Data-input'!$C$41,0,'O&amp;M escalators-input '!L36)</f>
        <v>1.679581851297654</v>
      </c>
      <c r="P36" s="202"/>
      <c r="Q36" s="203" t="e">
        <f>IF($B36&lt;='Unit &amp; Fin Data-input'!#REF!,1,'O&amp;M escalators-input '!$C36)</f>
        <v>#REF!</v>
      </c>
      <c r="R36" s="203" t="e">
        <f>IF($B36&lt;='Unit &amp; Fin Data-input'!#REF!,1,'O&amp;M escalators-input '!$D36)</f>
        <v>#REF!</v>
      </c>
      <c r="S36" s="203" t="e">
        <f>IF($B36&lt;='Unit &amp; Fin Data-input'!#REF!,1,'O&amp;M escalators-input '!$E36)</f>
        <v>#REF!</v>
      </c>
      <c r="T36" s="207" t="e">
        <f t="shared" si="3"/>
        <v>#REF!</v>
      </c>
      <c r="U36" s="207" t="e">
        <f t="shared" si="4"/>
        <v>#REF!</v>
      </c>
      <c r="V36" s="208" t="e">
        <f t="shared" si="5"/>
        <v>#REF!</v>
      </c>
    </row>
    <row r="37" spans="2:22" ht="13.5">
      <c r="B37" s="185">
        <f t="shared" si="6"/>
        <v>2036</v>
      </c>
      <c r="C37" s="195">
        <v>1.025</v>
      </c>
      <c r="D37" s="195">
        <v>1.025</v>
      </c>
      <c r="E37" s="196">
        <v>1.025</v>
      </c>
      <c r="F37" s="186"/>
      <c r="G37" s="197">
        <f>IF($B37&lt;='Unit &amp; Fin Data-input'!$C$41,1,'O&amp;M escalators-input '!$C37)</f>
        <v>1.025</v>
      </c>
      <c r="H37" s="197">
        <f>IF($B37&lt;='Unit &amp; Fin Data-input'!$C$41,1,'O&amp;M escalators-input '!$D37)</f>
        <v>1.025</v>
      </c>
      <c r="I37" s="197">
        <f>IF($B37&lt;='Unit &amp; Fin Data-input'!$C$41,1,'O&amp;M escalators-input '!$E37)</f>
        <v>1.025</v>
      </c>
      <c r="J37" s="205">
        <f t="shared" si="0"/>
        <v>1.721571397580095</v>
      </c>
      <c r="K37" s="205">
        <f t="shared" si="1"/>
        <v>1.721571397580095</v>
      </c>
      <c r="L37" s="206">
        <f t="shared" si="2"/>
        <v>1.721571397580095</v>
      </c>
      <c r="M37" s="199">
        <f>IF($B37&lt;'Unit &amp; Fin Data-input'!$C$41,0,'O&amp;M escalators-input '!J37)</f>
        <v>1.721571397580095</v>
      </c>
      <c r="N37" s="200">
        <f>IF($B37&lt;'Unit &amp; Fin Data-input'!$C$41,0,'O&amp;M escalators-input '!K37)</f>
        <v>1.721571397580095</v>
      </c>
      <c r="O37" s="201">
        <f>IF($B37&lt;'Unit &amp; Fin Data-input'!$C$41,0,'O&amp;M escalators-input '!L37)</f>
        <v>1.721571397580095</v>
      </c>
      <c r="P37" s="202"/>
      <c r="Q37" s="203" t="e">
        <f>IF($B37&lt;='Unit &amp; Fin Data-input'!#REF!,1,'O&amp;M escalators-input '!$C37)</f>
        <v>#REF!</v>
      </c>
      <c r="R37" s="203" t="e">
        <f>IF($B37&lt;='Unit &amp; Fin Data-input'!#REF!,1,'O&amp;M escalators-input '!$D37)</f>
        <v>#REF!</v>
      </c>
      <c r="S37" s="203" t="e">
        <f>IF($B37&lt;='Unit &amp; Fin Data-input'!#REF!,1,'O&amp;M escalators-input '!$E37)</f>
        <v>#REF!</v>
      </c>
      <c r="T37" s="207" t="e">
        <f t="shared" si="3"/>
        <v>#REF!</v>
      </c>
      <c r="U37" s="207" t="e">
        <f t="shared" si="4"/>
        <v>#REF!</v>
      </c>
      <c r="V37" s="208" t="e">
        <f t="shared" si="5"/>
        <v>#REF!</v>
      </c>
    </row>
    <row r="38" spans="2:22" ht="13.5">
      <c r="B38" s="185">
        <f t="shared" si="6"/>
        <v>2037</v>
      </c>
      <c r="C38" s="195">
        <v>1.025</v>
      </c>
      <c r="D38" s="195">
        <v>1.025</v>
      </c>
      <c r="E38" s="196">
        <v>1.025</v>
      </c>
      <c r="F38" s="186"/>
      <c r="G38" s="197">
        <f>IF($B38&lt;='Unit &amp; Fin Data-input'!$C$41,1,'O&amp;M escalators-input '!$C38)</f>
        <v>1.025</v>
      </c>
      <c r="H38" s="197">
        <f>IF($B38&lt;='Unit &amp; Fin Data-input'!$C$41,1,'O&amp;M escalators-input '!$D38)</f>
        <v>1.025</v>
      </c>
      <c r="I38" s="197">
        <f>IF($B38&lt;='Unit &amp; Fin Data-input'!$C$41,1,'O&amp;M escalators-input '!$E38)</f>
        <v>1.025</v>
      </c>
      <c r="J38" s="205">
        <f t="shared" si="0"/>
        <v>1.7646106825195973</v>
      </c>
      <c r="K38" s="205">
        <f t="shared" si="1"/>
        <v>1.7646106825195973</v>
      </c>
      <c r="L38" s="206">
        <f t="shared" si="2"/>
        <v>1.7646106825195973</v>
      </c>
      <c r="M38" s="199">
        <f>IF($B38&lt;'Unit &amp; Fin Data-input'!$C$41,0,'O&amp;M escalators-input '!J38)</f>
        <v>1.7646106825195973</v>
      </c>
      <c r="N38" s="200">
        <f>IF($B38&lt;'Unit &amp; Fin Data-input'!$C$41,0,'O&amp;M escalators-input '!K38)</f>
        <v>1.7646106825195973</v>
      </c>
      <c r="O38" s="201">
        <f>IF($B38&lt;'Unit &amp; Fin Data-input'!$C$41,0,'O&amp;M escalators-input '!L38)</f>
        <v>1.7646106825195973</v>
      </c>
      <c r="P38" s="202"/>
      <c r="Q38" s="203" t="e">
        <f>IF($B38&lt;='Unit &amp; Fin Data-input'!#REF!,1,'O&amp;M escalators-input '!$C38)</f>
        <v>#REF!</v>
      </c>
      <c r="R38" s="203" t="e">
        <f>IF($B38&lt;='Unit &amp; Fin Data-input'!#REF!,1,'O&amp;M escalators-input '!$D38)</f>
        <v>#REF!</v>
      </c>
      <c r="S38" s="203" t="e">
        <f>IF($B38&lt;='Unit &amp; Fin Data-input'!#REF!,1,'O&amp;M escalators-input '!$E38)</f>
        <v>#REF!</v>
      </c>
      <c r="T38" s="207" t="e">
        <f t="shared" si="3"/>
        <v>#REF!</v>
      </c>
      <c r="U38" s="207" t="e">
        <f t="shared" si="4"/>
        <v>#REF!</v>
      </c>
      <c r="V38" s="208" t="e">
        <f t="shared" si="5"/>
        <v>#REF!</v>
      </c>
    </row>
    <row r="39" spans="2:22" ht="13.5">
      <c r="B39" s="185">
        <f t="shared" si="6"/>
        <v>2038</v>
      </c>
      <c r="C39" s="195">
        <v>1.025</v>
      </c>
      <c r="D39" s="195">
        <v>1.025</v>
      </c>
      <c r="E39" s="196">
        <v>1.025</v>
      </c>
      <c r="F39" s="186"/>
      <c r="G39" s="197">
        <f>IF($B39&lt;='Unit &amp; Fin Data-input'!$C$41,1,'O&amp;M escalators-input '!$C39)</f>
        <v>1.025</v>
      </c>
      <c r="H39" s="197">
        <f>IF($B39&lt;='Unit &amp; Fin Data-input'!$C$41,1,'O&amp;M escalators-input '!$D39)</f>
        <v>1.025</v>
      </c>
      <c r="I39" s="197">
        <f>IF($B39&lt;='Unit &amp; Fin Data-input'!$C$41,1,'O&amp;M escalators-input '!$E39)</f>
        <v>1.025</v>
      </c>
      <c r="J39" s="205">
        <f t="shared" si="0"/>
        <v>1.8087259495825871</v>
      </c>
      <c r="K39" s="205">
        <f t="shared" si="1"/>
        <v>1.8087259495825871</v>
      </c>
      <c r="L39" s="206">
        <f t="shared" si="2"/>
        <v>1.8087259495825871</v>
      </c>
      <c r="M39" s="199">
        <f>IF($B39&lt;'Unit &amp; Fin Data-input'!$C$41,0,'O&amp;M escalators-input '!J39)</f>
        <v>1.8087259495825871</v>
      </c>
      <c r="N39" s="200">
        <f>IF($B39&lt;'Unit &amp; Fin Data-input'!$C$41,0,'O&amp;M escalators-input '!K39)</f>
        <v>1.8087259495825871</v>
      </c>
      <c r="O39" s="201">
        <f>IF($B39&lt;'Unit &amp; Fin Data-input'!$C$41,0,'O&amp;M escalators-input '!L39)</f>
        <v>1.8087259495825871</v>
      </c>
      <c r="P39" s="202"/>
      <c r="Q39" s="203" t="e">
        <f>IF($B39&lt;='Unit &amp; Fin Data-input'!#REF!,1,'O&amp;M escalators-input '!$C39)</f>
        <v>#REF!</v>
      </c>
      <c r="R39" s="203" t="e">
        <f>IF($B39&lt;='Unit &amp; Fin Data-input'!#REF!,1,'O&amp;M escalators-input '!$D39)</f>
        <v>#REF!</v>
      </c>
      <c r="S39" s="203" t="e">
        <f>IF($B39&lt;='Unit &amp; Fin Data-input'!#REF!,1,'O&amp;M escalators-input '!$E39)</f>
        <v>#REF!</v>
      </c>
      <c r="T39" s="207" t="e">
        <f t="shared" si="3"/>
        <v>#REF!</v>
      </c>
      <c r="U39" s="207" t="e">
        <f t="shared" si="4"/>
        <v>#REF!</v>
      </c>
      <c r="V39" s="208" t="e">
        <f t="shared" si="5"/>
        <v>#REF!</v>
      </c>
    </row>
    <row r="40" spans="2:22" ht="13.5">
      <c r="B40" s="185">
        <f t="shared" si="6"/>
        <v>2039</v>
      </c>
      <c r="C40" s="195">
        <v>1.025</v>
      </c>
      <c r="D40" s="195">
        <v>1.025</v>
      </c>
      <c r="E40" s="196">
        <v>1.025</v>
      </c>
      <c r="F40" s="186"/>
      <c r="G40" s="197">
        <f>IF($B40&lt;='Unit &amp; Fin Data-input'!$C$41,1,'O&amp;M escalators-input '!$C40)</f>
        <v>1.025</v>
      </c>
      <c r="H40" s="197">
        <f>IF($B40&lt;='Unit &amp; Fin Data-input'!$C$41,1,'O&amp;M escalators-input '!$D40)</f>
        <v>1.025</v>
      </c>
      <c r="I40" s="197">
        <f>IF($B40&lt;='Unit &amp; Fin Data-input'!$C$41,1,'O&amp;M escalators-input '!$E40)</f>
        <v>1.025</v>
      </c>
      <c r="J40" s="205">
        <f t="shared" si="0"/>
        <v>1.8539440983221516</v>
      </c>
      <c r="K40" s="205">
        <f t="shared" si="1"/>
        <v>1.8539440983221516</v>
      </c>
      <c r="L40" s="206">
        <f t="shared" si="2"/>
        <v>1.8539440983221516</v>
      </c>
      <c r="M40" s="199">
        <f>IF($B40&lt;'Unit &amp; Fin Data-input'!$C$41,0,'O&amp;M escalators-input '!J40)</f>
        <v>1.8539440983221516</v>
      </c>
      <c r="N40" s="200">
        <f>IF($B40&lt;'Unit &amp; Fin Data-input'!$C$41,0,'O&amp;M escalators-input '!K40)</f>
        <v>1.8539440983221516</v>
      </c>
      <c r="O40" s="201">
        <f>IF($B40&lt;'Unit &amp; Fin Data-input'!$C$41,0,'O&amp;M escalators-input '!L40)</f>
        <v>1.8539440983221516</v>
      </c>
      <c r="P40" s="202"/>
      <c r="Q40" s="203" t="e">
        <f>IF($B40&lt;='Unit &amp; Fin Data-input'!#REF!,1,'O&amp;M escalators-input '!$C40)</f>
        <v>#REF!</v>
      </c>
      <c r="R40" s="203" t="e">
        <f>IF($B40&lt;='Unit &amp; Fin Data-input'!#REF!,1,'O&amp;M escalators-input '!$D40)</f>
        <v>#REF!</v>
      </c>
      <c r="S40" s="203" t="e">
        <f>IF($B40&lt;='Unit &amp; Fin Data-input'!#REF!,1,'O&amp;M escalators-input '!$E40)</f>
        <v>#REF!</v>
      </c>
      <c r="T40" s="207" t="e">
        <f t="shared" si="3"/>
        <v>#REF!</v>
      </c>
      <c r="U40" s="207" t="e">
        <f t="shared" si="4"/>
        <v>#REF!</v>
      </c>
      <c r="V40" s="208" t="e">
        <f t="shared" si="5"/>
        <v>#REF!</v>
      </c>
    </row>
    <row r="41" spans="2:22" ht="13.5">
      <c r="B41" s="185">
        <f t="shared" si="6"/>
        <v>2040</v>
      </c>
      <c r="C41" s="195">
        <v>1.025</v>
      </c>
      <c r="D41" s="195">
        <v>1.025</v>
      </c>
      <c r="E41" s="196">
        <v>1.025</v>
      </c>
      <c r="F41" s="186"/>
      <c r="G41" s="197">
        <f>IF($B41&lt;='Unit &amp; Fin Data-input'!$C$41,1,'O&amp;M escalators-input '!$C41)</f>
        <v>1.025</v>
      </c>
      <c r="H41" s="197">
        <f>IF($B41&lt;='Unit &amp; Fin Data-input'!$C$41,1,'O&amp;M escalators-input '!$D41)</f>
        <v>1.025</v>
      </c>
      <c r="I41" s="197">
        <f>IF($B41&lt;='Unit &amp; Fin Data-input'!$C$41,1,'O&amp;M escalators-input '!$E41)</f>
        <v>1.025</v>
      </c>
      <c r="J41" s="205">
        <f t="shared" si="0"/>
        <v>1.9002927007802053</v>
      </c>
      <c r="K41" s="205">
        <f t="shared" si="1"/>
        <v>1.9002927007802053</v>
      </c>
      <c r="L41" s="206">
        <f t="shared" si="2"/>
        <v>1.9002927007802053</v>
      </c>
      <c r="M41" s="199">
        <f>IF($B41&lt;'Unit &amp; Fin Data-input'!$C$41,0,'O&amp;M escalators-input '!J41)</f>
        <v>1.9002927007802053</v>
      </c>
      <c r="N41" s="200">
        <f>IF($B41&lt;'Unit &amp; Fin Data-input'!$C$41,0,'O&amp;M escalators-input '!K41)</f>
        <v>1.9002927007802053</v>
      </c>
      <c r="O41" s="201">
        <f>IF($B41&lt;'Unit &amp; Fin Data-input'!$C$41,0,'O&amp;M escalators-input '!L41)</f>
        <v>1.9002927007802053</v>
      </c>
      <c r="P41" s="202"/>
      <c r="Q41" s="203" t="e">
        <f>IF($B41&lt;='Unit &amp; Fin Data-input'!#REF!,1,'O&amp;M escalators-input '!$C41)</f>
        <v>#REF!</v>
      </c>
      <c r="R41" s="203" t="e">
        <f>IF($B41&lt;='Unit &amp; Fin Data-input'!#REF!,1,'O&amp;M escalators-input '!$D41)</f>
        <v>#REF!</v>
      </c>
      <c r="S41" s="203" t="e">
        <f>IF($B41&lt;='Unit &amp; Fin Data-input'!#REF!,1,'O&amp;M escalators-input '!$E41)</f>
        <v>#REF!</v>
      </c>
      <c r="T41" s="207" t="e">
        <f t="shared" si="3"/>
        <v>#REF!</v>
      </c>
      <c r="U41" s="207" t="e">
        <f t="shared" si="4"/>
        <v>#REF!</v>
      </c>
      <c r="V41" s="208" t="e">
        <f t="shared" si="5"/>
        <v>#REF!</v>
      </c>
    </row>
    <row r="42" spans="2:22" ht="13.5">
      <c r="B42" s="185">
        <f t="shared" si="6"/>
        <v>2041</v>
      </c>
      <c r="C42" s="195">
        <v>1.025</v>
      </c>
      <c r="D42" s="195">
        <v>1.025</v>
      </c>
      <c r="E42" s="196">
        <v>1.025</v>
      </c>
      <c r="F42" s="186"/>
      <c r="G42" s="197">
        <f>IF($B42&lt;='Unit &amp; Fin Data-input'!$C$41,1,'O&amp;M escalators-input '!$C42)</f>
        <v>1.025</v>
      </c>
      <c r="H42" s="197">
        <f>IF($B42&lt;='Unit &amp; Fin Data-input'!$C$41,1,'O&amp;M escalators-input '!$D42)</f>
        <v>1.025</v>
      </c>
      <c r="I42" s="197">
        <f>IF($B42&lt;='Unit &amp; Fin Data-input'!$C$41,1,'O&amp;M escalators-input '!$E42)</f>
        <v>1.025</v>
      </c>
      <c r="J42" s="205">
        <f t="shared" si="0"/>
        <v>1.9478000182997102</v>
      </c>
      <c r="K42" s="205">
        <f t="shared" si="1"/>
        <v>1.9478000182997102</v>
      </c>
      <c r="L42" s="206">
        <f t="shared" si="2"/>
        <v>1.9478000182997102</v>
      </c>
      <c r="M42" s="199">
        <f>IF($B42&lt;'Unit &amp; Fin Data-input'!$C$41,0,'O&amp;M escalators-input '!J42)</f>
        <v>1.9478000182997102</v>
      </c>
      <c r="N42" s="200">
        <f>IF($B42&lt;'Unit &amp; Fin Data-input'!$C$41,0,'O&amp;M escalators-input '!K42)</f>
        <v>1.9478000182997102</v>
      </c>
      <c r="O42" s="201">
        <f>IF($B42&lt;'Unit &amp; Fin Data-input'!$C$41,0,'O&amp;M escalators-input '!L42)</f>
        <v>1.9478000182997102</v>
      </c>
      <c r="P42" s="202"/>
      <c r="Q42" s="203" t="e">
        <f>IF($B42&lt;='Unit &amp; Fin Data-input'!#REF!,1,'O&amp;M escalators-input '!$C42)</f>
        <v>#REF!</v>
      </c>
      <c r="R42" s="203" t="e">
        <f>IF($B42&lt;='Unit &amp; Fin Data-input'!#REF!,1,'O&amp;M escalators-input '!$D42)</f>
        <v>#REF!</v>
      </c>
      <c r="S42" s="203" t="e">
        <f>IF($B42&lt;='Unit &amp; Fin Data-input'!#REF!,1,'O&amp;M escalators-input '!$E42)</f>
        <v>#REF!</v>
      </c>
      <c r="T42" s="207" t="e">
        <f t="shared" si="3"/>
        <v>#REF!</v>
      </c>
      <c r="U42" s="207" t="e">
        <f t="shared" si="4"/>
        <v>#REF!</v>
      </c>
      <c r="V42" s="208" t="e">
        <f t="shared" si="5"/>
        <v>#REF!</v>
      </c>
    </row>
    <row r="43" spans="2:22" ht="13.5">
      <c r="B43" s="185">
        <f t="shared" si="6"/>
        <v>2042</v>
      </c>
      <c r="C43" s="195">
        <v>1.025</v>
      </c>
      <c r="D43" s="195">
        <v>1.025</v>
      </c>
      <c r="E43" s="196">
        <v>1.025</v>
      </c>
      <c r="F43" s="186"/>
      <c r="G43" s="197">
        <f>IF($B43&lt;='Unit &amp; Fin Data-input'!$C$41,1,'O&amp;M escalators-input '!$C43)</f>
        <v>1.025</v>
      </c>
      <c r="H43" s="197">
        <f>IF($B43&lt;='Unit &amp; Fin Data-input'!$C$41,1,'O&amp;M escalators-input '!$D43)</f>
        <v>1.025</v>
      </c>
      <c r="I43" s="197">
        <f>IF($B43&lt;='Unit &amp; Fin Data-input'!$C$41,1,'O&amp;M escalators-input '!$E43)</f>
        <v>1.025</v>
      </c>
      <c r="J43" s="205">
        <f t="shared" si="0"/>
        <v>1.9964950187572028</v>
      </c>
      <c r="K43" s="205">
        <f t="shared" si="1"/>
        <v>1.9964950187572028</v>
      </c>
      <c r="L43" s="206">
        <f t="shared" si="2"/>
        <v>1.9964950187572028</v>
      </c>
      <c r="M43" s="199">
        <f>IF($B43&lt;'Unit &amp; Fin Data-input'!$C$41,0,'O&amp;M escalators-input '!J43)</f>
        <v>1.9964950187572028</v>
      </c>
      <c r="N43" s="200">
        <f>IF($B43&lt;'Unit &amp; Fin Data-input'!$C$41,0,'O&amp;M escalators-input '!K43)</f>
        <v>1.9964950187572028</v>
      </c>
      <c r="O43" s="201">
        <f>IF($B43&lt;'Unit &amp; Fin Data-input'!$C$41,0,'O&amp;M escalators-input '!L43)</f>
        <v>1.9964950187572028</v>
      </c>
      <c r="P43" s="202"/>
      <c r="Q43" s="203" t="e">
        <f>IF($B43&lt;='Unit &amp; Fin Data-input'!#REF!,1,'O&amp;M escalators-input '!$C43)</f>
        <v>#REF!</v>
      </c>
      <c r="R43" s="203" t="e">
        <f>IF($B43&lt;='Unit &amp; Fin Data-input'!#REF!,1,'O&amp;M escalators-input '!$D43)</f>
        <v>#REF!</v>
      </c>
      <c r="S43" s="203" t="e">
        <f>IF($B43&lt;='Unit &amp; Fin Data-input'!#REF!,1,'O&amp;M escalators-input '!$E43)</f>
        <v>#REF!</v>
      </c>
      <c r="T43" s="207" t="e">
        <f t="shared" si="3"/>
        <v>#REF!</v>
      </c>
      <c r="U43" s="207" t="e">
        <f t="shared" si="4"/>
        <v>#REF!</v>
      </c>
      <c r="V43" s="208" t="e">
        <f t="shared" si="5"/>
        <v>#REF!</v>
      </c>
    </row>
    <row r="44" spans="2:22" ht="13.5">
      <c r="B44" s="185">
        <f t="shared" si="6"/>
        <v>2043</v>
      </c>
      <c r="C44" s="195">
        <v>1.025</v>
      </c>
      <c r="D44" s="195">
        <v>1.025</v>
      </c>
      <c r="E44" s="196">
        <v>1.025</v>
      </c>
      <c r="F44" s="186"/>
      <c r="G44" s="197">
        <f>IF($B44&lt;='Unit &amp; Fin Data-input'!$C$41,1,'O&amp;M escalators-input '!$C44)</f>
        <v>1.025</v>
      </c>
      <c r="H44" s="197">
        <f>IF($B44&lt;='Unit &amp; Fin Data-input'!$C$41,1,'O&amp;M escalators-input '!$D44)</f>
        <v>1.025</v>
      </c>
      <c r="I44" s="197">
        <f>IF($B44&lt;='Unit &amp; Fin Data-input'!$C$41,1,'O&amp;M escalators-input '!$E44)</f>
        <v>1.025</v>
      </c>
      <c r="J44" s="205">
        <f t="shared" si="0"/>
        <v>2.0464073942261325</v>
      </c>
      <c r="K44" s="205">
        <f t="shared" si="1"/>
        <v>2.0464073942261325</v>
      </c>
      <c r="L44" s="206">
        <f t="shared" si="2"/>
        <v>2.0464073942261325</v>
      </c>
      <c r="M44" s="199">
        <f>IF($B44&lt;'Unit &amp; Fin Data-input'!$C$41,0,'O&amp;M escalators-input '!J44)</f>
        <v>2.0464073942261325</v>
      </c>
      <c r="N44" s="200">
        <f>IF($B44&lt;'Unit &amp; Fin Data-input'!$C$41,0,'O&amp;M escalators-input '!K44)</f>
        <v>2.0464073942261325</v>
      </c>
      <c r="O44" s="201">
        <f>IF($B44&lt;'Unit &amp; Fin Data-input'!$C$41,0,'O&amp;M escalators-input '!L44)</f>
        <v>2.0464073942261325</v>
      </c>
      <c r="P44" s="202"/>
      <c r="Q44" s="203" t="e">
        <f>IF($B44&lt;='Unit &amp; Fin Data-input'!#REF!,1,'O&amp;M escalators-input '!$C44)</f>
        <v>#REF!</v>
      </c>
      <c r="R44" s="203" t="e">
        <f>IF($B44&lt;='Unit &amp; Fin Data-input'!#REF!,1,'O&amp;M escalators-input '!$D44)</f>
        <v>#REF!</v>
      </c>
      <c r="S44" s="203" t="e">
        <f>IF($B44&lt;='Unit &amp; Fin Data-input'!#REF!,1,'O&amp;M escalators-input '!$E44)</f>
        <v>#REF!</v>
      </c>
      <c r="T44" s="207" t="e">
        <f t="shared" si="3"/>
        <v>#REF!</v>
      </c>
      <c r="U44" s="207" t="e">
        <f t="shared" si="4"/>
        <v>#REF!</v>
      </c>
      <c r="V44" s="208" t="e">
        <f t="shared" si="5"/>
        <v>#REF!</v>
      </c>
    </row>
    <row r="45" spans="2:22" ht="13.5">
      <c r="B45" s="185">
        <f t="shared" si="6"/>
        <v>2044</v>
      </c>
      <c r="C45" s="195">
        <v>1.025</v>
      </c>
      <c r="D45" s="195">
        <v>1.025</v>
      </c>
      <c r="E45" s="196">
        <v>1.025</v>
      </c>
      <c r="F45" s="186"/>
      <c r="G45" s="197">
        <f>IF($B45&lt;='Unit &amp; Fin Data-input'!$C$41,1,'O&amp;M escalators-input '!$C45)</f>
        <v>1.025</v>
      </c>
      <c r="H45" s="197">
        <f>IF($B45&lt;='Unit &amp; Fin Data-input'!$C$41,1,'O&amp;M escalators-input '!$D45)</f>
        <v>1.025</v>
      </c>
      <c r="I45" s="197">
        <f>IF($B45&lt;='Unit &amp; Fin Data-input'!$C$41,1,'O&amp;M escalators-input '!$E45)</f>
        <v>1.025</v>
      </c>
      <c r="J45" s="205">
        <f t="shared" si="0"/>
        <v>2.097567579081786</v>
      </c>
      <c r="K45" s="205">
        <f t="shared" si="1"/>
        <v>2.097567579081786</v>
      </c>
      <c r="L45" s="206">
        <f t="shared" si="2"/>
        <v>2.097567579081786</v>
      </c>
      <c r="M45" s="199">
        <f>IF($B45&lt;'Unit &amp; Fin Data-input'!$C$41,0,'O&amp;M escalators-input '!J45)</f>
        <v>2.097567579081786</v>
      </c>
      <c r="N45" s="200">
        <f>IF($B45&lt;'Unit &amp; Fin Data-input'!$C$41,0,'O&amp;M escalators-input '!K45)</f>
        <v>2.097567579081786</v>
      </c>
      <c r="O45" s="201">
        <f>IF($B45&lt;'Unit &amp; Fin Data-input'!$C$41,0,'O&amp;M escalators-input '!L45)</f>
        <v>2.097567579081786</v>
      </c>
      <c r="P45" s="202"/>
      <c r="Q45" s="203" t="e">
        <f>IF($B45&lt;='Unit &amp; Fin Data-input'!#REF!,1,'O&amp;M escalators-input '!$C45)</f>
        <v>#REF!</v>
      </c>
      <c r="R45" s="203" t="e">
        <f>IF($B45&lt;='Unit &amp; Fin Data-input'!#REF!,1,'O&amp;M escalators-input '!$D45)</f>
        <v>#REF!</v>
      </c>
      <c r="S45" s="203" t="e">
        <f>IF($B45&lt;='Unit &amp; Fin Data-input'!#REF!,1,'O&amp;M escalators-input '!$E45)</f>
        <v>#REF!</v>
      </c>
      <c r="T45" s="207" t="e">
        <f t="shared" si="3"/>
        <v>#REF!</v>
      </c>
      <c r="U45" s="207" t="e">
        <f t="shared" si="4"/>
        <v>#REF!</v>
      </c>
      <c r="V45" s="208" t="e">
        <f t="shared" si="5"/>
        <v>#REF!</v>
      </c>
    </row>
    <row r="46" spans="2:22" ht="13.5">
      <c r="B46" s="185">
        <f t="shared" si="6"/>
        <v>2045</v>
      </c>
      <c r="C46" s="195">
        <v>1.025</v>
      </c>
      <c r="D46" s="195">
        <v>1.025</v>
      </c>
      <c r="E46" s="196">
        <v>1.025</v>
      </c>
      <c r="F46" s="186"/>
      <c r="G46" s="197">
        <f>IF($B46&lt;='Unit &amp; Fin Data-input'!$C$41,1,'O&amp;M escalators-input '!$C46)</f>
        <v>1.025</v>
      </c>
      <c r="H46" s="197">
        <f>IF($B46&lt;='Unit &amp; Fin Data-input'!$C$41,1,'O&amp;M escalators-input '!$D46)</f>
        <v>1.025</v>
      </c>
      <c r="I46" s="197">
        <f>IF($B46&lt;='Unit &amp; Fin Data-input'!$C$41,1,'O&amp;M escalators-input '!$E46)</f>
        <v>1.025</v>
      </c>
      <c r="J46" s="205">
        <f t="shared" si="0"/>
        <v>2.15000676855883</v>
      </c>
      <c r="K46" s="205">
        <f t="shared" si="1"/>
        <v>2.15000676855883</v>
      </c>
      <c r="L46" s="206">
        <f t="shared" si="2"/>
        <v>2.15000676855883</v>
      </c>
      <c r="M46" s="199">
        <f>IF($B46&lt;'Unit &amp; Fin Data-input'!$C$41,0,'O&amp;M escalators-input '!J46)</f>
        <v>2.15000676855883</v>
      </c>
      <c r="N46" s="200">
        <f>IF($B46&lt;'Unit &amp; Fin Data-input'!$C$41,0,'O&amp;M escalators-input '!K46)</f>
        <v>2.15000676855883</v>
      </c>
      <c r="O46" s="201">
        <f>IF($B46&lt;'Unit &amp; Fin Data-input'!$C$41,0,'O&amp;M escalators-input '!L46)</f>
        <v>2.15000676855883</v>
      </c>
      <c r="P46" s="202"/>
      <c r="Q46" s="203" t="e">
        <f>IF($B46&lt;='Unit &amp; Fin Data-input'!#REF!,1,'O&amp;M escalators-input '!$C46)</f>
        <v>#REF!</v>
      </c>
      <c r="R46" s="203" t="e">
        <f>IF($B46&lt;='Unit &amp; Fin Data-input'!#REF!,1,'O&amp;M escalators-input '!$D46)</f>
        <v>#REF!</v>
      </c>
      <c r="S46" s="203" t="e">
        <f>IF($B46&lt;='Unit &amp; Fin Data-input'!#REF!,1,'O&amp;M escalators-input '!$E46)</f>
        <v>#REF!</v>
      </c>
      <c r="T46" s="207" t="e">
        <f t="shared" si="3"/>
        <v>#REF!</v>
      </c>
      <c r="U46" s="207" t="e">
        <f t="shared" si="4"/>
        <v>#REF!</v>
      </c>
      <c r="V46" s="208" t="e">
        <f t="shared" si="5"/>
        <v>#REF!</v>
      </c>
    </row>
    <row r="47" spans="2:22" ht="13.5">
      <c r="B47" s="185">
        <f t="shared" si="6"/>
        <v>2046</v>
      </c>
      <c r="C47" s="195">
        <v>1.025</v>
      </c>
      <c r="D47" s="195">
        <v>1.025</v>
      </c>
      <c r="E47" s="196">
        <v>1.025</v>
      </c>
      <c r="F47" s="186"/>
      <c r="G47" s="197">
        <f>IF($B47&lt;='Unit &amp; Fin Data-input'!$C$41,1,'O&amp;M escalators-input '!$C47)</f>
        <v>1.025</v>
      </c>
      <c r="H47" s="197">
        <f>IF($B47&lt;='Unit &amp; Fin Data-input'!$C$41,1,'O&amp;M escalators-input '!$D47)</f>
        <v>1.025</v>
      </c>
      <c r="I47" s="197">
        <f>IF($B47&lt;='Unit &amp; Fin Data-input'!$C$41,1,'O&amp;M escalators-input '!$E47)</f>
        <v>1.025</v>
      </c>
      <c r="J47" s="205">
        <f t="shared" si="0"/>
        <v>2.2037569377728006</v>
      </c>
      <c r="K47" s="205">
        <f t="shared" si="1"/>
        <v>2.2037569377728006</v>
      </c>
      <c r="L47" s="206">
        <f t="shared" si="2"/>
        <v>2.2037569377728006</v>
      </c>
      <c r="M47" s="199">
        <f>IF($B47&lt;'Unit &amp; Fin Data-input'!$C$41,0,'O&amp;M escalators-input '!J47)</f>
        <v>2.2037569377728006</v>
      </c>
      <c r="N47" s="200">
        <f>IF($B47&lt;'Unit &amp; Fin Data-input'!$C$41,0,'O&amp;M escalators-input '!K47)</f>
        <v>2.2037569377728006</v>
      </c>
      <c r="O47" s="201">
        <f>IF($B47&lt;'Unit &amp; Fin Data-input'!$C$41,0,'O&amp;M escalators-input '!L47)</f>
        <v>2.2037569377728006</v>
      </c>
      <c r="P47" s="202"/>
      <c r="Q47" s="203" t="e">
        <f>IF($B47&lt;='Unit &amp; Fin Data-input'!#REF!,1,'O&amp;M escalators-input '!$C47)</f>
        <v>#REF!</v>
      </c>
      <c r="R47" s="203" t="e">
        <f>IF($B47&lt;='Unit &amp; Fin Data-input'!#REF!,1,'O&amp;M escalators-input '!$D47)</f>
        <v>#REF!</v>
      </c>
      <c r="S47" s="203" t="e">
        <f>IF($B47&lt;='Unit &amp; Fin Data-input'!#REF!,1,'O&amp;M escalators-input '!$E47)</f>
        <v>#REF!</v>
      </c>
      <c r="T47" s="207" t="e">
        <f t="shared" si="3"/>
        <v>#REF!</v>
      </c>
      <c r="U47" s="207" t="e">
        <f t="shared" si="4"/>
        <v>#REF!</v>
      </c>
      <c r="V47" s="208" t="e">
        <f t="shared" si="5"/>
        <v>#REF!</v>
      </c>
    </row>
    <row r="48" spans="2:22" ht="13.5">
      <c r="B48" s="185">
        <f t="shared" si="6"/>
        <v>2047</v>
      </c>
      <c r="C48" s="195">
        <v>1.025</v>
      </c>
      <c r="D48" s="195">
        <v>1.025</v>
      </c>
      <c r="E48" s="196">
        <v>1.025</v>
      </c>
      <c r="F48" s="186"/>
      <c r="G48" s="197">
        <f>IF($B48&lt;='Unit &amp; Fin Data-input'!$C$41,1,'O&amp;M escalators-input '!$C48)</f>
        <v>1.025</v>
      </c>
      <c r="H48" s="197">
        <f>IF($B48&lt;='Unit &amp; Fin Data-input'!$C$41,1,'O&amp;M escalators-input '!$D48)</f>
        <v>1.025</v>
      </c>
      <c r="I48" s="197">
        <f>IF($B48&lt;='Unit &amp; Fin Data-input'!$C$41,1,'O&amp;M escalators-input '!$E48)</f>
        <v>1.025</v>
      </c>
      <c r="J48" s="205">
        <f aca="true" t="shared" si="7" ref="J48:J64">J47*G48</f>
        <v>2.2588508612171205</v>
      </c>
      <c r="K48" s="205">
        <f aca="true" t="shared" si="8" ref="K48:K64">K47*H48</f>
        <v>2.2588508612171205</v>
      </c>
      <c r="L48" s="206">
        <f aca="true" t="shared" si="9" ref="L48:L64">L47*I48</f>
        <v>2.2588508612171205</v>
      </c>
      <c r="M48" s="199">
        <f>IF($B48&lt;'Unit &amp; Fin Data-input'!$C$41,0,'O&amp;M escalators-input '!J48)</f>
        <v>2.2588508612171205</v>
      </c>
      <c r="N48" s="200">
        <f>IF($B48&lt;'Unit &amp; Fin Data-input'!$C$41,0,'O&amp;M escalators-input '!K48)</f>
        <v>2.2588508612171205</v>
      </c>
      <c r="O48" s="201">
        <f>IF($B48&lt;'Unit &amp; Fin Data-input'!$C$41,0,'O&amp;M escalators-input '!L48)</f>
        <v>2.2588508612171205</v>
      </c>
      <c r="P48" s="202"/>
      <c r="Q48" s="203" t="e">
        <f>IF($B48&lt;='Unit &amp; Fin Data-input'!#REF!,1,'O&amp;M escalators-input '!$C48)</f>
        <v>#REF!</v>
      </c>
      <c r="R48" s="203" t="e">
        <f>IF($B48&lt;='Unit &amp; Fin Data-input'!#REF!,1,'O&amp;M escalators-input '!$D48)</f>
        <v>#REF!</v>
      </c>
      <c r="S48" s="203" t="e">
        <f>IF($B48&lt;='Unit &amp; Fin Data-input'!#REF!,1,'O&amp;M escalators-input '!$E48)</f>
        <v>#REF!</v>
      </c>
      <c r="T48" s="207" t="e">
        <f aca="true" t="shared" si="10" ref="T48:T64">T47*Q48</f>
        <v>#REF!</v>
      </c>
      <c r="U48" s="207" t="e">
        <f aca="true" t="shared" si="11" ref="U48:U64">U47*R48</f>
        <v>#REF!</v>
      </c>
      <c r="V48" s="208" t="e">
        <f aca="true" t="shared" si="12" ref="V48:V64">V47*S48</f>
        <v>#REF!</v>
      </c>
    </row>
    <row r="49" spans="2:22" ht="13.5">
      <c r="B49" s="185">
        <f t="shared" si="6"/>
        <v>2048</v>
      </c>
      <c r="C49" s="195">
        <v>1.025</v>
      </c>
      <c r="D49" s="195">
        <v>1.025</v>
      </c>
      <c r="E49" s="196">
        <v>1.025</v>
      </c>
      <c r="F49" s="186"/>
      <c r="G49" s="197">
        <f>IF($B49&lt;='Unit &amp; Fin Data-input'!$C$41,1,'O&amp;M escalators-input '!$C49)</f>
        <v>1.025</v>
      </c>
      <c r="H49" s="197">
        <f>IF($B49&lt;='Unit &amp; Fin Data-input'!$C$41,1,'O&amp;M escalators-input '!$D49)</f>
        <v>1.025</v>
      </c>
      <c r="I49" s="197">
        <f>IF($B49&lt;='Unit &amp; Fin Data-input'!$C$41,1,'O&amp;M escalators-input '!$E49)</f>
        <v>1.025</v>
      </c>
      <c r="J49" s="205">
        <f t="shared" si="7"/>
        <v>2.315322132747548</v>
      </c>
      <c r="K49" s="205">
        <f t="shared" si="8"/>
        <v>2.315322132747548</v>
      </c>
      <c r="L49" s="206">
        <f t="shared" si="9"/>
        <v>2.315322132747548</v>
      </c>
      <c r="M49" s="199">
        <f>IF($B49&lt;'Unit &amp; Fin Data-input'!$C$41,0,'O&amp;M escalators-input '!J49)</f>
        <v>2.315322132747548</v>
      </c>
      <c r="N49" s="200">
        <f>IF($B49&lt;'Unit &amp; Fin Data-input'!$C$41,0,'O&amp;M escalators-input '!K49)</f>
        <v>2.315322132747548</v>
      </c>
      <c r="O49" s="201">
        <f>IF($B49&lt;'Unit &amp; Fin Data-input'!$C$41,0,'O&amp;M escalators-input '!L49)</f>
        <v>2.315322132747548</v>
      </c>
      <c r="P49" s="202"/>
      <c r="Q49" s="203" t="e">
        <f>IF($B49&lt;='Unit &amp; Fin Data-input'!#REF!,1,'O&amp;M escalators-input '!$C49)</f>
        <v>#REF!</v>
      </c>
      <c r="R49" s="203" t="e">
        <f>IF($B49&lt;='Unit &amp; Fin Data-input'!#REF!,1,'O&amp;M escalators-input '!$D49)</f>
        <v>#REF!</v>
      </c>
      <c r="S49" s="203" t="e">
        <f>IF($B49&lt;='Unit &amp; Fin Data-input'!#REF!,1,'O&amp;M escalators-input '!$E49)</f>
        <v>#REF!</v>
      </c>
      <c r="T49" s="207" t="e">
        <f t="shared" si="10"/>
        <v>#REF!</v>
      </c>
      <c r="U49" s="207" t="e">
        <f t="shared" si="11"/>
        <v>#REF!</v>
      </c>
      <c r="V49" s="208" t="e">
        <f t="shared" si="12"/>
        <v>#REF!</v>
      </c>
    </row>
    <row r="50" spans="2:22" ht="13.5">
      <c r="B50" s="185">
        <f t="shared" si="6"/>
        <v>2049</v>
      </c>
      <c r="C50" s="195">
        <v>1.025</v>
      </c>
      <c r="D50" s="195">
        <v>1.025</v>
      </c>
      <c r="E50" s="196">
        <v>1.025</v>
      </c>
      <c r="F50" s="186"/>
      <c r="G50" s="197">
        <f>IF($B50&lt;='Unit &amp; Fin Data-input'!$C$41,1,'O&amp;M escalators-input '!$C50)</f>
        <v>1.025</v>
      </c>
      <c r="H50" s="197">
        <f>IF($B50&lt;='Unit &amp; Fin Data-input'!$C$41,1,'O&amp;M escalators-input '!$D50)</f>
        <v>1.025</v>
      </c>
      <c r="I50" s="197">
        <f>IF($B50&lt;='Unit &amp; Fin Data-input'!$C$41,1,'O&amp;M escalators-input '!$E50)</f>
        <v>1.025</v>
      </c>
      <c r="J50" s="205">
        <f t="shared" si="7"/>
        <v>2.3732051860662366</v>
      </c>
      <c r="K50" s="205">
        <f t="shared" si="8"/>
        <v>2.3732051860662366</v>
      </c>
      <c r="L50" s="206">
        <f t="shared" si="9"/>
        <v>2.3732051860662366</v>
      </c>
      <c r="M50" s="199">
        <f>IF($B50&lt;'Unit &amp; Fin Data-input'!$C$41,0,'O&amp;M escalators-input '!J50)</f>
        <v>2.3732051860662366</v>
      </c>
      <c r="N50" s="200">
        <f>IF($B50&lt;'Unit &amp; Fin Data-input'!$C$41,0,'O&amp;M escalators-input '!K50)</f>
        <v>2.3732051860662366</v>
      </c>
      <c r="O50" s="201">
        <f>IF($B50&lt;'Unit &amp; Fin Data-input'!$C$41,0,'O&amp;M escalators-input '!L50)</f>
        <v>2.3732051860662366</v>
      </c>
      <c r="P50" s="202"/>
      <c r="Q50" s="203" t="e">
        <f>IF($B50&lt;='Unit &amp; Fin Data-input'!#REF!,1,'O&amp;M escalators-input '!$C50)</f>
        <v>#REF!</v>
      </c>
      <c r="R50" s="203" t="e">
        <f>IF($B50&lt;='Unit &amp; Fin Data-input'!#REF!,1,'O&amp;M escalators-input '!$D50)</f>
        <v>#REF!</v>
      </c>
      <c r="S50" s="203" t="e">
        <f>IF($B50&lt;='Unit &amp; Fin Data-input'!#REF!,1,'O&amp;M escalators-input '!$E50)</f>
        <v>#REF!</v>
      </c>
      <c r="T50" s="207" t="e">
        <f t="shared" si="10"/>
        <v>#REF!</v>
      </c>
      <c r="U50" s="207" t="e">
        <f t="shared" si="11"/>
        <v>#REF!</v>
      </c>
      <c r="V50" s="208" t="e">
        <f t="shared" si="12"/>
        <v>#REF!</v>
      </c>
    </row>
    <row r="51" spans="2:22" ht="13.5">
      <c r="B51" s="185">
        <f t="shared" si="6"/>
        <v>2050</v>
      </c>
      <c r="C51" s="195">
        <v>1.025</v>
      </c>
      <c r="D51" s="195">
        <v>1.025</v>
      </c>
      <c r="E51" s="196">
        <v>1.025</v>
      </c>
      <c r="F51" s="186"/>
      <c r="G51" s="197">
        <f>IF($B51&lt;='Unit &amp; Fin Data-input'!$C$41,1,'O&amp;M escalators-input '!$C51)</f>
        <v>1.025</v>
      </c>
      <c r="H51" s="197">
        <f>IF($B51&lt;='Unit &amp; Fin Data-input'!$C$41,1,'O&amp;M escalators-input '!$D51)</f>
        <v>1.025</v>
      </c>
      <c r="I51" s="197">
        <f>IF($B51&lt;='Unit &amp; Fin Data-input'!$C$41,1,'O&amp;M escalators-input '!$E51)</f>
        <v>1.025</v>
      </c>
      <c r="J51" s="205">
        <f t="shared" si="7"/>
        <v>2.4325353157178924</v>
      </c>
      <c r="K51" s="205">
        <f t="shared" si="8"/>
        <v>2.4325353157178924</v>
      </c>
      <c r="L51" s="206">
        <f t="shared" si="9"/>
        <v>2.4325353157178924</v>
      </c>
      <c r="M51" s="199">
        <f>IF($B51&lt;'Unit &amp; Fin Data-input'!$C$41,0,'O&amp;M escalators-input '!J51)</f>
        <v>2.4325353157178924</v>
      </c>
      <c r="N51" s="200">
        <f>IF($B51&lt;'Unit &amp; Fin Data-input'!$C$41,0,'O&amp;M escalators-input '!K51)</f>
        <v>2.4325353157178924</v>
      </c>
      <c r="O51" s="201">
        <f>IF($B51&lt;'Unit &amp; Fin Data-input'!$C$41,0,'O&amp;M escalators-input '!L51)</f>
        <v>2.4325353157178924</v>
      </c>
      <c r="P51" s="202"/>
      <c r="Q51" s="203" t="e">
        <f>IF($B51&lt;='Unit &amp; Fin Data-input'!#REF!,1,'O&amp;M escalators-input '!$C51)</f>
        <v>#REF!</v>
      </c>
      <c r="R51" s="203" t="e">
        <f>IF($B51&lt;='Unit &amp; Fin Data-input'!#REF!,1,'O&amp;M escalators-input '!$D51)</f>
        <v>#REF!</v>
      </c>
      <c r="S51" s="203" t="e">
        <f>IF($B51&lt;='Unit &amp; Fin Data-input'!#REF!,1,'O&amp;M escalators-input '!$E51)</f>
        <v>#REF!</v>
      </c>
      <c r="T51" s="207" t="e">
        <f t="shared" si="10"/>
        <v>#REF!</v>
      </c>
      <c r="U51" s="207" t="e">
        <f t="shared" si="11"/>
        <v>#REF!</v>
      </c>
      <c r="V51" s="208" t="e">
        <f t="shared" si="12"/>
        <v>#REF!</v>
      </c>
    </row>
    <row r="52" spans="2:22" ht="13.5">
      <c r="B52" s="185">
        <f t="shared" si="6"/>
        <v>2051</v>
      </c>
      <c r="C52" s="195">
        <v>1.025</v>
      </c>
      <c r="D52" s="195">
        <v>1.025</v>
      </c>
      <c r="E52" s="196">
        <v>1.025</v>
      </c>
      <c r="F52" s="186"/>
      <c r="G52" s="197">
        <f>IF($B52&lt;='Unit &amp; Fin Data-input'!$C$41,1,'O&amp;M escalators-input '!$C52)</f>
        <v>1.025</v>
      </c>
      <c r="H52" s="197">
        <f>IF($B52&lt;='Unit &amp; Fin Data-input'!$C$41,1,'O&amp;M escalators-input '!$D52)</f>
        <v>1.025</v>
      </c>
      <c r="I52" s="197">
        <f>IF($B52&lt;='Unit &amp; Fin Data-input'!$C$41,1,'O&amp;M escalators-input '!$E52)</f>
        <v>1.025</v>
      </c>
      <c r="J52" s="205">
        <f t="shared" si="7"/>
        <v>2.4933486986108395</v>
      </c>
      <c r="K52" s="205">
        <f t="shared" si="8"/>
        <v>2.4933486986108395</v>
      </c>
      <c r="L52" s="206">
        <f t="shared" si="9"/>
        <v>2.4933486986108395</v>
      </c>
      <c r="M52" s="199">
        <f>IF($B52&lt;'Unit &amp; Fin Data-input'!$C$41,0,'O&amp;M escalators-input '!J52)</f>
        <v>2.4933486986108395</v>
      </c>
      <c r="N52" s="200">
        <f>IF($B52&lt;'Unit &amp; Fin Data-input'!$C$41,0,'O&amp;M escalators-input '!K52)</f>
        <v>2.4933486986108395</v>
      </c>
      <c r="O52" s="201">
        <f>IF($B52&lt;'Unit &amp; Fin Data-input'!$C$41,0,'O&amp;M escalators-input '!L52)</f>
        <v>2.4933486986108395</v>
      </c>
      <c r="P52" s="202"/>
      <c r="Q52" s="203" t="e">
        <f>IF($B52&lt;='Unit &amp; Fin Data-input'!#REF!,1,'O&amp;M escalators-input '!$C52)</f>
        <v>#REF!</v>
      </c>
      <c r="R52" s="203" t="e">
        <f>IF($B52&lt;='Unit &amp; Fin Data-input'!#REF!,1,'O&amp;M escalators-input '!$D52)</f>
        <v>#REF!</v>
      </c>
      <c r="S52" s="203" t="e">
        <f>IF($B52&lt;='Unit &amp; Fin Data-input'!#REF!,1,'O&amp;M escalators-input '!$E52)</f>
        <v>#REF!</v>
      </c>
      <c r="T52" s="207" t="e">
        <f t="shared" si="10"/>
        <v>#REF!</v>
      </c>
      <c r="U52" s="207" t="e">
        <f t="shared" si="11"/>
        <v>#REF!</v>
      </c>
      <c r="V52" s="208" t="e">
        <f t="shared" si="12"/>
        <v>#REF!</v>
      </c>
    </row>
    <row r="53" spans="2:22" ht="13.5">
      <c r="B53" s="185">
        <f t="shared" si="6"/>
        <v>2052</v>
      </c>
      <c r="C53" s="195">
        <v>1.025</v>
      </c>
      <c r="D53" s="195">
        <v>1.025</v>
      </c>
      <c r="E53" s="196">
        <v>1.025</v>
      </c>
      <c r="F53" s="186"/>
      <c r="G53" s="197">
        <f>IF($B53&lt;='Unit &amp; Fin Data-input'!$C$41,1,'O&amp;M escalators-input '!$C53)</f>
        <v>1.025</v>
      </c>
      <c r="H53" s="197">
        <f>IF($B53&lt;='Unit &amp; Fin Data-input'!$C$41,1,'O&amp;M escalators-input '!$D53)</f>
        <v>1.025</v>
      </c>
      <c r="I53" s="197">
        <f>IF($B53&lt;='Unit &amp; Fin Data-input'!$C$41,1,'O&amp;M escalators-input '!$E53)</f>
        <v>1.025</v>
      </c>
      <c r="J53" s="205">
        <f t="shared" si="7"/>
        <v>2.5556824160761105</v>
      </c>
      <c r="K53" s="205">
        <f t="shared" si="8"/>
        <v>2.5556824160761105</v>
      </c>
      <c r="L53" s="206">
        <f t="shared" si="9"/>
        <v>2.5556824160761105</v>
      </c>
      <c r="M53" s="199">
        <f>IF($B53&lt;'Unit &amp; Fin Data-input'!$C$41,0,'O&amp;M escalators-input '!J53)</f>
        <v>2.5556824160761105</v>
      </c>
      <c r="N53" s="200">
        <f>IF($B53&lt;'Unit &amp; Fin Data-input'!$C$41,0,'O&amp;M escalators-input '!K53)</f>
        <v>2.5556824160761105</v>
      </c>
      <c r="O53" s="201">
        <f>IF($B53&lt;'Unit &amp; Fin Data-input'!$C$41,0,'O&amp;M escalators-input '!L53)</f>
        <v>2.5556824160761105</v>
      </c>
      <c r="P53" s="202"/>
      <c r="Q53" s="203" t="e">
        <f>IF($B53&lt;='Unit &amp; Fin Data-input'!#REF!,1,'O&amp;M escalators-input '!$C53)</f>
        <v>#REF!</v>
      </c>
      <c r="R53" s="203" t="e">
        <f>IF($B53&lt;='Unit &amp; Fin Data-input'!#REF!,1,'O&amp;M escalators-input '!$D53)</f>
        <v>#REF!</v>
      </c>
      <c r="S53" s="203" t="e">
        <f>IF($B53&lt;='Unit &amp; Fin Data-input'!#REF!,1,'O&amp;M escalators-input '!$E53)</f>
        <v>#REF!</v>
      </c>
      <c r="T53" s="207" t="e">
        <f t="shared" si="10"/>
        <v>#REF!</v>
      </c>
      <c r="U53" s="207" t="e">
        <f t="shared" si="11"/>
        <v>#REF!</v>
      </c>
      <c r="V53" s="208" t="e">
        <f t="shared" si="12"/>
        <v>#REF!</v>
      </c>
    </row>
    <row r="54" spans="2:22" ht="13.5">
      <c r="B54" s="185">
        <f t="shared" si="6"/>
        <v>2053</v>
      </c>
      <c r="C54" s="195">
        <v>1.025</v>
      </c>
      <c r="D54" s="195">
        <v>1.025</v>
      </c>
      <c r="E54" s="196">
        <v>1.025</v>
      </c>
      <c r="F54" s="186"/>
      <c r="G54" s="197">
        <f>IF($B54&lt;='Unit &amp; Fin Data-input'!$C$41,1,'O&amp;M escalators-input '!$C54)</f>
        <v>1.025</v>
      </c>
      <c r="H54" s="197">
        <f>IF($B54&lt;='Unit &amp; Fin Data-input'!$C$41,1,'O&amp;M escalators-input '!$D54)</f>
        <v>1.025</v>
      </c>
      <c r="I54" s="197">
        <f>IF($B54&lt;='Unit &amp; Fin Data-input'!$C$41,1,'O&amp;M escalators-input '!$E54)</f>
        <v>1.025</v>
      </c>
      <c r="J54" s="205">
        <f t="shared" si="7"/>
        <v>2.619574476478013</v>
      </c>
      <c r="K54" s="205">
        <f t="shared" si="8"/>
        <v>2.619574476478013</v>
      </c>
      <c r="L54" s="206">
        <f t="shared" si="9"/>
        <v>2.619574476478013</v>
      </c>
      <c r="M54" s="199">
        <f>IF($B54&lt;'Unit &amp; Fin Data-input'!$C$41,0,'O&amp;M escalators-input '!J54)</f>
        <v>2.619574476478013</v>
      </c>
      <c r="N54" s="200">
        <f>IF($B54&lt;'Unit &amp; Fin Data-input'!$C$41,0,'O&amp;M escalators-input '!K54)</f>
        <v>2.619574476478013</v>
      </c>
      <c r="O54" s="201">
        <f>IF($B54&lt;'Unit &amp; Fin Data-input'!$C$41,0,'O&amp;M escalators-input '!L54)</f>
        <v>2.619574476478013</v>
      </c>
      <c r="P54" s="202"/>
      <c r="Q54" s="203" t="e">
        <f>IF($B54&lt;='Unit &amp; Fin Data-input'!#REF!,1,'O&amp;M escalators-input '!$C54)</f>
        <v>#REF!</v>
      </c>
      <c r="R54" s="203" t="e">
        <f>IF($B54&lt;='Unit &amp; Fin Data-input'!#REF!,1,'O&amp;M escalators-input '!$D54)</f>
        <v>#REF!</v>
      </c>
      <c r="S54" s="203" t="e">
        <f>IF($B54&lt;='Unit &amp; Fin Data-input'!#REF!,1,'O&amp;M escalators-input '!$E54)</f>
        <v>#REF!</v>
      </c>
      <c r="T54" s="207" t="e">
        <f t="shared" si="10"/>
        <v>#REF!</v>
      </c>
      <c r="U54" s="207" t="e">
        <f t="shared" si="11"/>
        <v>#REF!</v>
      </c>
      <c r="V54" s="208" t="e">
        <f t="shared" si="12"/>
        <v>#REF!</v>
      </c>
    </row>
    <row r="55" spans="2:22" ht="13.5">
      <c r="B55" s="185">
        <f t="shared" si="6"/>
        <v>2054</v>
      </c>
      <c r="C55" s="195">
        <v>1.025</v>
      </c>
      <c r="D55" s="195">
        <v>1.025</v>
      </c>
      <c r="E55" s="196">
        <v>1.025</v>
      </c>
      <c r="F55" s="186"/>
      <c r="G55" s="197">
        <f>IF($B55&lt;='Unit &amp; Fin Data-input'!$C$41,1,'O&amp;M escalators-input '!$C55)</f>
        <v>1.025</v>
      </c>
      <c r="H55" s="197">
        <f>IF($B55&lt;='Unit &amp; Fin Data-input'!$C$41,1,'O&amp;M escalators-input '!$D55)</f>
        <v>1.025</v>
      </c>
      <c r="I55" s="197">
        <f>IF($B55&lt;='Unit &amp; Fin Data-input'!$C$41,1,'O&amp;M escalators-input '!$E55)</f>
        <v>1.025</v>
      </c>
      <c r="J55" s="205">
        <f t="shared" si="7"/>
        <v>2.685063838389963</v>
      </c>
      <c r="K55" s="205">
        <f t="shared" si="8"/>
        <v>2.685063838389963</v>
      </c>
      <c r="L55" s="206">
        <f t="shared" si="9"/>
        <v>2.685063838389963</v>
      </c>
      <c r="M55" s="199">
        <f>IF($B55&lt;'Unit &amp; Fin Data-input'!$C$41,0,'O&amp;M escalators-input '!J55)</f>
        <v>2.685063838389963</v>
      </c>
      <c r="N55" s="200">
        <f>IF($B55&lt;'Unit &amp; Fin Data-input'!$C$41,0,'O&amp;M escalators-input '!K55)</f>
        <v>2.685063838389963</v>
      </c>
      <c r="O55" s="201">
        <f>IF($B55&lt;'Unit &amp; Fin Data-input'!$C$41,0,'O&amp;M escalators-input '!L55)</f>
        <v>2.685063838389963</v>
      </c>
      <c r="P55" s="202"/>
      <c r="Q55" s="203" t="e">
        <f>IF($B55&lt;='Unit &amp; Fin Data-input'!#REF!,1,'O&amp;M escalators-input '!$C55)</f>
        <v>#REF!</v>
      </c>
      <c r="R55" s="203" t="e">
        <f>IF($B55&lt;='Unit &amp; Fin Data-input'!#REF!,1,'O&amp;M escalators-input '!$D55)</f>
        <v>#REF!</v>
      </c>
      <c r="S55" s="203" t="e">
        <f>IF($B55&lt;='Unit &amp; Fin Data-input'!#REF!,1,'O&amp;M escalators-input '!$E55)</f>
        <v>#REF!</v>
      </c>
      <c r="T55" s="207" t="e">
        <f t="shared" si="10"/>
        <v>#REF!</v>
      </c>
      <c r="U55" s="207" t="e">
        <f t="shared" si="11"/>
        <v>#REF!</v>
      </c>
      <c r="V55" s="208" t="e">
        <f t="shared" si="12"/>
        <v>#REF!</v>
      </c>
    </row>
    <row r="56" spans="2:22" ht="13.5">
      <c r="B56" s="185">
        <f t="shared" si="6"/>
        <v>2055</v>
      </c>
      <c r="C56" s="195">
        <v>1.025</v>
      </c>
      <c r="D56" s="195">
        <v>1.025</v>
      </c>
      <c r="E56" s="196">
        <v>1.025</v>
      </c>
      <c r="F56" s="186"/>
      <c r="G56" s="197">
        <f>IF($B56&lt;='Unit &amp; Fin Data-input'!$C$41,1,'O&amp;M escalators-input '!$C56)</f>
        <v>1.025</v>
      </c>
      <c r="H56" s="197">
        <f>IF($B56&lt;='Unit &amp; Fin Data-input'!$C$41,1,'O&amp;M escalators-input '!$D56)</f>
        <v>1.025</v>
      </c>
      <c r="I56" s="197">
        <f>IF($B56&lt;='Unit &amp; Fin Data-input'!$C$41,1,'O&amp;M escalators-input '!$E56)</f>
        <v>1.025</v>
      </c>
      <c r="J56" s="205">
        <f t="shared" si="7"/>
        <v>2.752190434349712</v>
      </c>
      <c r="K56" s="205">
        <f t="shared" si="8"/>
        <v>2.752190434349712</v>
      </c>
      <c r="L56" s="206">
        <f t="shared" si="9"/>
        <v>2.752190434349712</v>
      </c>
      <c r="M56" s="199">
        <f>IF($B56&lt;'Unit &amp; Fin Data-input'!$C$41,0,'O&amp;M escalators-input '!J56)</f>
        <v>2.752190434349712</v>
      </c>
      <c r="N56" s="200">
        <f>IF($B56&lt;'Unit &amp; Fin Data-input'!$C$41,0,'O&amp;M escalators-input '!K56)</f>
        <v>2.752190434349712</v>
      </c>
      <c r="O56" s="201">
        <f>IF($B56&lt;'Unit &amp; Fin Data-input'!$C$41,0,'O&amp;M escalators-input '!L56)</f>
        <v>2.752190434349712</v>
      </c>
      <c r="P56" s="202"/>
      <c r="Q56" s="203" t="e">
        <f>IF($B56&lt;='Unit &amp; Fin Data-input'!#REF!,1,'O&amp;M escalators-input '!$C56)</f>
        <v>#REF!</v>
      </c>
      <c r="R56" s="203" t="e">
        <f>IF($B56&lt;='Unit &amp; Fin Data-input'!#REF!,1,'O&amp;M escalators-input '!$D56)</f>
        <v>#REF!</v>
      </c>
      <c r="S56" s="203" t="e">
        <f>IF($B56&lt;='Unit &amp; Fin Data-input'!#REF!,1,'O&amp;M escalators-input '!$E56)</f>
        <v>#REF!</v>
      </c>
      <c r="T56" s="207" t="e">
        <f t="shared" si="10"/>
        <v>#REF!</v>
      </c>
      <c r="U56" s="207" t="e">
        <f t="shared" si="11"/>
        <v>#REF!</v>
      </c>
      <c r="V56" s="208" t="e">
        <f t="shared" si="12"/>
        <v>#REF!</v>
      </c>
    </row>
    <row r="57" spans="2:22" ht="13.5">
      <c r="B57" s="185">
        <f t="shared" si="6"/>
        <v>2056</v>
      </c>
      <c r="C57" s="195">
        <v>1.025</v>
      </c>
      <c r="D57" s="195">
        <v>1.025</v>
      </c>
      <c r="E57" s="196">
        <v>1.025</v>
      </c>
      <c r="F57" s="186"/>
      <c r="G57" s="197">
        <f>IF($B57&lt;='Unit &amp; Fin Data-input'!$C$41,1,'O&amp;M escalators-input '!$C57)</f>
        <v>1.025</v>
      </c>
      <c r="H57" s="197">
        <f>IF($B57&lt;='Unit &amp; Fin Data-input'!$C$41,1,'O&amp;M escalators-input '!$D57)</f>
        <v>1.025</v>
      </c>
      <c r="I57" s="197">
        <f>IF($B57&lt;='Unit &amp; Fin Data-input'!$C$41,1,'O&amp;M escalators-input '!$E57)</f>
        <v>1.025</v>
      </c>
      <c r="J57" s="205">
        <f t="shared" si="7"/>
        <v>2.8209951952084547</v>
      </c>
      <c r="K57" s="205">
        <f t="shared" si="8"/>
        <v>2.8209951952084547</v>
      </c>
      <c r="L57" s="206">
        <f t="shared" si="9"/>
        <v>2.8209951952084547</v>
      </c>
      <c r="M57" s="199">
        <f>IF($B57&lt;'Unit &amp; Fin Data-input'!$C$41,0,'O&amp;M escalators-input '!J57)</f>
        <v>2.8209951952084547</v>
      </c>
      <c r="N57" s="200">
        <f>IF($B57&lt;'Unit &amp; Fin Data-input'!$C$41,0,'O&amp;M escalators-input '!K57)</f>
        <v>2.8209951952084547</v>
      </c>
      <c r="O57" s="201">
        <f>IF($B57&lt;'Unit &amp; Fin Data-input'!$C$41,0,'O&amp;M escalators-input '!L57)</f>
        <v>2.8209951952084547</v>
      </c>
      <c r="P57" s="202"/>
      <c r="Q57" s="203" t="e">
        <f>IF($B57&lt;='Unit &amp; Fin Data-input'!#REF!,1,'O&amp;M escalators-input '!$C57)</f>
        <v>#REF!</v>
      </c>
      <c r="R57" s="203" t="e">
        <f>IF($B57&lt;='Unit &amp; Fin Data-input'!#REF!,1,'O&amp;M escalators-input '!$D57)</f>
        <v>#REF!</v>
      </c>
      <c r="S57" s="203" t="e">
        <f>IF($B57&lt;='Unit &amp; Fin Data-input'!#REF!,1,'O&amp;M escalators-input '!$E57)</f>
        <v>#REF!</v>
      </c>
      <c r="T57" s="207" t="e">
        <f t="shared" si="10"/>
        <v>#REF!</v>
      </c>
      <c r="U57" s="207" t="e">
        <f t="shared" si="11"/>
        <v>#REF!</v>
      </c>
      <c r="V57" s="208" t="e">
        <f t="shared" si="12"/>
        <v>#REF!</v>
      </c>
    </row>
    <row r="58" spans="2:22" ht="13.5">
      <c r="B58" s="185">
        <f t="shared" si="6"/>
        <v>2057</v>
      </c>
      <c r="C58" s="195">
        <v>1.025</v>
      </c>
      <c r="D58" s="195">
        <v>1.025</v>
      </c>
      <c r="E58" s="196">
        <v>1.025</v>
      </c>
      <c r="F58" s="186"/>
      <c r="G58" s="197">
        <f>IF($B58&lt;='Unit &amp; Fin Data-input'!$C$41,1,'O&amp;M escalators-input '!$C58)</f>
        <v>1.025</v>
      </c>
      <c r="H58" s="197">
        <f>IF($B58&lt;='Unit &amp; Fin Data-input'!$C$41,1,'O&amp;M escalators-input '!$D58)</f>
        <v>1.025</v>
      </c>
      <c r="I58" s="197">
        <f>IF($B58&lt;='Unit &amp; Fin Data-input'!$C$41,1,'O&amp;M escalators-input '!$E58)</f>
        <v>1.025</v>
      </c>
      <c r="J58" s="205">
        <f t="shared" si="7"/>
        <v>2.891520075088666</v>
      </c>
      <c r="K58" s="205">
        <f t="shared" si="8"/>
        <v>2.891520075088666</v>
      </c>
      <c r="L58" s="206">
        <f t="shared" si="9"/>
        <v>2.891520075088666</v>
      </c>
      <c r="M58" s="199">
        <f>IF($B58&lt;'Unit &amp; Fin Data-input'!$C$41,0,'O&amp;M escalators-input '!J58)</f>
        <v>2.891520075088666</v>
      </c>
      <c r="N58" s="200">
        <f>IF($B58&lt;'Unit &amp; Fin Data-input'!$C$41,0,'O&amp;M escalators-input '!K58)</f>
        <v>2.891520075088666</v>
      </c>
      <c r="O58" s="201">
        <f>IF($B58&lt;'Unit &amp; Fin Data-input'!$C$41,0,'O&amp;M escalators-input '!L58)</f>
        <v>2.891520075088666</v>
      </c>
      <c r="P58" s="202"/>
      <c r="Q58" s="203" t="e">
        <f>IF($B58&lt;='Unit &amp; Fin Data-input'!#REF!,1,'O&amp;M escalators-input '!$C58)</f>
        <v>#REF!</v>
      </c>
      <c r="R58" s="203" t="e">
        <f>IF($B58&lt;='Unit &amp; Fin Data-input'!#REF!,1,'O&amp;M escalators-input '!$D58)</f>
        <v>#REF!</v>
      </c>
      <c r="S58" s="203" t="e">
        <f>IF($B58&lt;='Unit &amp; Fin Data-input'!#REF!,1,'O&amp;M escalators-input '!$E58)</f>
        <v>#REF!</v>
      </c>
      <c r="T58" s="207" t="e">
        <f t="shared" si="10"/>
        <v>#REF!</v>
      </c>
      <c r="U58" s="207" t="e">
        <f t="shared" si="11"/>
        <v>#REF!</v>
      </c>
      <c r="V58" s="208" t="e">
        <f t="shared" si="12"/>
        <v>#REF!</v>
      </c>
    </row>
    <row r="59" spans="2:22" ht="13.5">
      <c r="B59" s="185">
        <f t="shared" si="6"/>
        <v>2058</v>
      </c>
      <c r="C59" s="195">
        <v>1.025</v>
      </c>
      <c r="D59" s="195">
        <v>1.025</v>
      </c>
      <c r="E59" s="196">
        <v>1.025</v>
      </c>
      <c r="F59" s="186"/>
      <c r="G59" s="197">
        <f>IF($B59&lt;='Unit &amp; Fin Data-input'!$C$41,1,'O&amp;M escalators-input '!$C59)</f>
        <v>1.025</v>
      </c>
      <c r="H59" s="197">
        <f>IF($B59&lt;='Unit &amp; Fin Data-input'!$C$41,1,'O&amp;M escalators-input '!$D59)</f>
        <v>1.025</v>
      </c>
      <c r="I59" s="197">
        <f>IF($B59&lt;='Unit &amp; Fin Data-input'!$C$41,1,'O&amp;M escalators-input '!$E59)</f>
        <v>1.025</v>
      </c>
      <c r="J59" s="205">
        <f t="shared" si="7"/>
        <v>2.9638080769658823</v>
      </c>
      <c r="K59" s="205">
        <f t="shared" si="8"/>
        <v>2.9638080769658823</v>
      </c>
      <c r="L59" s="206">
        <f t="shared" si="9"/>
        <v>2.9638080769658823</v>
      </c>
      <c r="M59" s="199">
        <f>IF($B59&lt;'Unit &amp; Fin Data-input'!$C$41,0,'O&amp;M escalators-input '!J59)</f>
        <v>2.9638080769658823</v>
      </c>
      <c r="N59" s="200">
        <f>IF($B59&lt;'Unit &amp; Fin Data-input'!$C$41,0,'O&amp;M escalators-input '!K59)</f>
        <v>2.9638080769658823</v>
      </c>
      <c r="O59" s="201">
        <f>IF($B59&lt;'Unit &amp; Fin Data-input'!$C$41,0,'O&amp;M escalators-input '!L59)</f>
        <v>2.9638080769658823</v>
      </c>
      <c r="P59" s="202"/>
      <c r="Q59" s="203" t="e">
        <f>IF($B59&lt;='Unit &amp; Fin Data-input'!#REF!,1,'O&amp;M escalators-input '!$C59)</f>
        <v>#REF!</v>
      </c>
      <c r="R59" s="203" t="e">
        <f>IF($B59&lt;='Unit &amp; Fin Data-input'!#REF!,1,'O&amp;M escalators-input '!$D59)</f>
        <v>#REF!</v>
      </c>
      <c r="S59" s="203" t="e">
        <f>IF($B59&lt;='Unit &amp; Fin Data-input'!#REF!,1,'O&amp;M escalators-input '!$E59)</f>
        <v>#REF!</v>
      </c>
      <c r="T59" s="207" t="e">
        <f t="shared" si="10"/>
        <v>#REF!</v>
      </c>
      <c r="U59" s="207" t="e">
        <f t="shared" si="11"/>
        <v>#REF!</v>
      </c>
      <c r="V59" s="208" t="e">
        <f t="shared" si="12"/>
        <v>#REF!</v>
      </c>
    </row>
    <row r="60" spans="2:22" ht="13.5">
      <c r="B60" s="185">
        <f t="shared" si="6"/>
        <v>2059</v>
      </c>
      <c r="C60" s="195">
        <v>1.025</v>
      </c>
      <c r="D60" s="195">
        <v>1.025</v>
      </c>
      <c r="E60" s="196">
        <v>1.025</v>
      </c>
      <c r="F60" s="186"/>
      <c r="G60" s="197">
        <f>IF($B60&lt;='Unit &amp; Fin Data-input'!$C$41,1,'O&amp;M escalators-input '!$C60)</f>
        <v>1.025</v>
      </c>
      <c r="H60" s="197">
        <f>IF($B60&lt;='Unit &amp; Fin Data-input'!$C$41,1,'O&amp;M escalators-input '!$D60)</f>
        <v>1.025</v>
      </c>
      <c r="I60" s="197">
        <f>IF($B60&lt;='Unit &amp; Fin Data-input'!$C$41,1,'O&amp;M escalators-input '!$E60)</f>
        <v>1.025</v>
      </c>
      <c r="J60" s="205">
        <f t="shared" si="7"/>
        <v>3.0379032788900293</v>
      </c>
      <c r="K60" s="205">
        <f t="shared" si="8"/>
        <v>3.0379032788900293</v>
      </c>
      <c r="L60" s="206">
        <f t="shared" si="9"/>
        <v>3.0379032788900293</v>
      </c>
      <c r="M60" s="199">
        <f>IF($B60&lt;'Unit &amp; Fin Data-input'!$C$41,0,'O&amp;M escalators-input '!J60)</f>
        <v>3.0379032788900293</v>
      </c>
      <c r="N60" s="200">
        <f>IF($B60&lt;'Unit &amp; Fin Data-input'!$C$41,0,'O&amp;M escalators-input '!K60)</f>
        <v>3.0379032788900293</v>
      </c>
      <c r="O60" s="201">
        <f>IF($B60&lt;'Unit &amp; Fin Data-input'!$C$41,0,'O&amp;M escalators-input '!L60)</f>
        <v>3.0379032788900293</v>
      </c>
      <c r="P60" s="202"/>
      <c r="Q60" s="203" t="e">
        <f>IF($B60&lt;='Unit &amp; Fin Data-input'!#REF!,1,'O&amp;M escalators-input '!$C60)</f>
        <v>#REF!</v>
      </c>
      <c r="R60" s="203" t="e">
        <f>IF($B60&lt;='Unit &amp; Fin Data-input'!#REF!,1,'O&amp;M escalators-input '!$D60)</f>
        <v>#REF!</v>
      </c>
      <c r="S60" s="203" t="e">
        <f>IF($B60&lt;='Unit &amp; Fin Data-input'!#REF!,1,'O&amp;M escalators-input '!$E60)</f>
        <v>#REF!</v>
      </c>
      <c r="T60" s="207" t="e">
        <f t="shared" si="10"/>
        <v>#REF!</v>
      </c>
      <c r="U60" s="207" t="e">
        <f t="shared" si="11"/>
        <v>#REF!</v>
      </c>
      <c r="V60" s="208" t="e">
        <f t="shared" si="12"/>
        <v>#REF!</v>
      </c>
    </row>
    <row r="61" spans="2:22" ht="13.5">
      <c r="B61" s="185">
        <f t="shared" si="6"/>
        <v>2060</v>
      </c>
      <c r="C61" s="195">
        <v>1.025</v>
      </c>
      <c r="D61" s="195">
        <v>1.025</v>
      </c>
      <c r="E61" s="196">
        <v>1.025</v>
      </c>
      <c r="F61" s="186"/>
      <c r="G61" s="197">
        <f>IF($B61&lt;='Unit &amp; Fin Data-input'!$C$41,1,'O&amp;M escalators-input '!$C61)</f>
        <v>1.025</v>
      </c>
      <c r="H61" s="197">
        <f>IF($B61&lt;='Unit &amp; Fin Data-input'!$C$41,1,'O&amp;M escalators-input '!$D61)</f>
        <v>1.025</v>
      </c>
      <c r="I61" s="197">
        <f>IF($B61&lt;='Unit &amp; Fin Data-input'!$C$41,1,'O&amp;M escalators-input '!$E61)</f>
        <v>1.025</v>
      </c>
      <c r="J61" s="205">
        <f t="shared" si="7"/>
        <v>3.11385086086228</v>
      </c>
      <c r="K61" s="205">
        <f t="shared" si="8"/>
        <v>3.11385086086228</v>
      </c>
      <c r="L61" s="206">
        <f t="shared" si="9"/>
        <v>3.11385086086228</v>
      </c>
      <c r="M61" s="199">
        <f>IF($B61&lt;'Unit &amp; Fin Data-input'!$C$41,0,'O&amp;M escalators-input '!J61)</f>
        <v>3.11385086086228</v>
      </c>
      <c r="N61" s="200">
        <f>IF($B61&lt;'Unit &amp; Fin Data-input'!$C$41,0,'O&amp;M escalators-input '!K61)</f>
        <v>3.11385086086228</v>
      </c>
      <c r="O61" s="201">
        <f>IF($B61&lt;'Unit &amp; Fin Data-input'!$C$41,0,'O&amp;M escalators-input '!L61)</f>
        <v>3.11385086086228</v>
      </c>
      <c r="P61" s="202"/>
      <c r="Q61" s="203" t="e">
        <f>IF($B61&lt;='Unit &amp; Fin Data-input'!#REF!,1,'O&amp;M escalators-input '!$C61)</f>
        <v>#REF!</v>
      </c>
      <c r="R61" s="203" t="e">
        <f>IF($B61&lt;='Unit &amp; Fin Data-input'!#REF!,1,'O&amp;M escalators-input '!$D61)</f>
        <v>#REF!</v>
      </c>
      <c r="S61" s="203" t="e">
        <f>IF($B61&lt;='Unit &amp; Fin Data-input'!#REF!,1,'O&amp;M escalators-input '!$E61)</f>
        <v>#REF!</v>
      </c>
      <c r="T61" s="207" t="e">
        <f t="shared" si="10"/>
        <v>#REF!</v>
      </c>
      <c r="U61" s="207" t="e">
        <f t="shared" si="11"/>
        <v>#REF!</v>
      </c>
      <c r="V61" s="208" t="e">
        <f t="shared" si="12"/>
        <v>#REF!</v>
      </c>
    </row>
    <row r="62" spans="2:22" ht="13.5">
      <c r="B62" s="185">
        <f t="shared" si="6"/>
        <v>2061</v>
      </c>
      <c r="C62" s="195">
        <v>1.025</v>
      </c>
      <c r="D62" s="195">
        <v>1.025</v>
      </c>
      <c r="E62" s="196">
        <v>1.025</v>
      </c>
      <c r="F62" s="186"/>
      <c r="G62" s="197">
        <f>IF($B62&lt;='Unit &amp; Fin Data-input'!$C$41,1,'O&amp;M escalators-input '!$C62)</f>
        <v>1.025</v>
      </c>
      <c r="H62" s="197">
        <f>IF($B62&lt;='Unit &amp; Fin Data-input'!$C$41,1,'O&amp;M escalators-input '!$D62)</f>
        <v>1.025</v>
      </c>
      <c r="I62" s="197">
        <f>IF($B62&lt;='Unit &amp; Fin Data-input'!$C$41,1,'O&amp;M escalators-input '!$E62)</f>
        <v>1.025</v>
      </c>
      <c r="J62" s="205">
        <f t="shared" si="7"/>
        <v>3.191697132383837</v>
      </c>
      <c r="K62" s="205">
        <f t="shared" si="8"/>
        <v>3.191697132383837</v>
      </c>
      <c r="L62" s="206">
        <f t="shared" si="9"/>
        <v>3.191697132383837</v>
      </c>
      <c r="M62" s="199">
        <f>IF($B62&lt;'Unit &amp; Fin Data-input'!$C$41,0,'O&amp;M escalators-input '!J62)</f>
        <v>3.191697132383837</v>
      </c>
      <c r="N62" s="200">
        <f>IF($B62&lt;'Unit &amp; Fin Data-input'!$C$41,0,'O&amp;M escalators-input '!K62)</f>
        <v>3.191697132383837</v>
      </c>
      <c r="O62" s="201">
        <f>IF($B62&lt;'Unit &amp; Fin Data-input'!$C$41,0,'O&amp;M escalators-input '!L62)</f>
        <v>3.191697132383837</v>
      </c>
      <c r="P62" s="202"/>
      <c r="Q62" s="203" t="e">
        <f>IF($B62&lt;='Unit &amp; Fin Data-input'!#REF!,1,'O&amp;M escalators-input '!$C62)</f>
        <v>#REF!</v>
      </c>
      <c r="R62" s="203" t="e">
        <f>IF($B62&lt;='Unit &amp; Fin Data-input'!#REF!,1,'O&amp;M escalators-input '!$D62)</f>
        <v>#REF!</v>
      </c>
      <c r="S62" s="203" t="e">
        <f>IF($B62&lt;='Unit &amp; Fin Data-input'!#REF!,1,'O&amp;M escalators-input '!$E62)</f>
        <v>#REF!</v>
      </c>
      <c r="T62" s="207" t="e">
        <f t="shared" si="10"/>
        <v>#REF!</v>
      </c>
      <c r="U62" s="207" t="e">
        <f t="shared" si="11"/>
        <v>#REF!</v>
      </c>
      <c r="V62" s="208" t="e">
        <f t="shared" si="12"/>
        <v>#REF!</v>
      </c>
    </row>
    <row r="63" spans="2:22" ht="13.5">
      <c r="B63" s="185">
        <f t="shared" si="6"/>
        <v>2062</v>
      </c>
      <c r="C63" s="195">
        <v>1.025</v>
      </c>
      <c r="D63" s="195">
        <v>1.025</v>
      </c>
      <c r="E63" s="196">
        <v>1.025</v>
      </c>
      <c r="F63" s="186"/>
      <c r="G63" s="197">
        <f>IF($B63&lt;='Unit &amp; Fin Data-input'!$C$41,1,'O&amp;M escalators-input '!$C63)</f>
        <v>1.025</v>
      </c>
      <c r="H63" s="197">
        <f>IF($B63&lt;='Unit &amp; Fin Data-input'!$C$41,1,'O&amp;M escalators-input '!$D63)</f>
        <v>1.025</v>
      </c>
      <c r="I63" s="197">
        <f>IF($B63&lt;='Unit &amp; Fin Data-input'!$C$41,1,'O&amp;M escalators-input '!$E63)</f>
        <v>1.025</v>
      </c>
      <c r="J63" s="205">
        <f t="shared" si="7"/>
        <v>3.2714895606934324</v>
      </c>
      <c r="K63" s="205">
        <f t="shared" si="8"/>
        <v>3.2714895606934324</v>
      </c>
      <c r="L63" s="206">
        <f t="shared" si="9"/>
        <v>3.2714895606934324</v>
      </c>
      <c r="M63" s="199">
        <f>IF($B63&lt;'Unit &amp; Fin Data-input'!$C$41,0,'O&amp;M escalators-input '!J63)</f>
        <v>3.2714895606934324</v>
      </c>
      <c r="N63" s="200">
        <f>IF($B63&lt;'Unit &amp; Fin Data-input'!$C$41,0,'O&amp;M escalators-input '!K63)</f>
        <v>3.2714895606934324</v>
      </c>
      <c r="O63" s="201">
        <f>IF($B63&lt;'Unit &amp; Fin Data-input'!$C$41,0,'O&amp;M escalators-input '!L63)</f>
        <v>3.2714895606934324</v>
      </c>
      <c r="P63" s="202"/>
      <c r="Q63" s="203" t="e">
        <f>IF($B63&lt;='Unit &amp; Fin Data-input'!#REF!,1,'O&amp;M escalators-input '!$C63)</f>
        <v>#REF!</v>
      </c>
      <c r="R63" s="203" t="e">
        <f>IF($B63&lt;='Unit &amp; Fin Data-input'!#REF!,1,'O&amp;M escalators-input '!$D63)</f>
        <v>#REF!</v>
      </c>
      <c r="S63" s="203" t="e">
        <f>IF($B63&lt;='Unit &amp; Fin Data-input'!#REF!,1,'O&amp;M escalators-input '!$E63)</f>
        <v>#REF!</v>
      </c>
      <c r="T63" s="207" t="e">
        <f t="shared" si="10"/>
        <v>#REF!</v>
      </c>
      <c r="U63" s="207" t="e">
        <f t="shared" si="11"/>
        <v>#REF!</v>
      </c>
      <c r="V63" s="208" t="e">
        <f t="shared" si="12"/>
        <v>#REF!</v>
      </c>
    </row>
    <row r="64" spans="2:22" ht="13.5">
      <c r="B64" s="185">
        <f t="shared" si="6"/>
        <v>2063</v>
      </c>
      <c r="C64" s="209">
        <v>1.025</v>
      </c>
      <c r="D64" s="209">
        <v>1.025</v>
      </c>
      <c r="E64" s="210">
        <v>1.025</v>
      </c>
      <c r="F64" s="186"/>
      <c r="G64" s="197">
        <f>IF($B64&lt;='Unit &amp; Fin Data-input'!$C$41,1,'O&amp;M escalators-input '!$C64)</f>
        <v>1.025</v>
      </c>
      <c r="H64" s="197">
        <f>IF($B64&lt;='Unit &amp; Fin Data-input'!$C$41,1,'O&amp;M escalators-input '!$D64)</f>
        <v>1.025</v>
      </c>
      <c r="I64" s="197">
        <f>IF($B64&lt;='Unit &amp; Fin Data-input'!$C$41,1,'O&amp;M escalators-input '!$E64)</f>
        <v>1.025</v>
      </c>
      <c r="J64" s="205">
        <f t="shared" si="7"/>
        <v>3.353276799710768</v>
      </c>
      <c r="K64" s="205">
        <f t="shared" si="8"/>
        <v>3.353276799710768</v>
      </c>
      <c r="L64" s="206">
        <f t="shared" si="9"/>
        <v>3.353276799710768</v>
      </c>
      <c r="M64" s="214">
        <f>IF($B64&lt;'Unit &amp; Fin Data-input'!$C$41,0,'O&amp;M escalators-input '!J64)</f>
        <v>3.353276799710768</v>
      </c>
      <c r="N64" s="215">
        <f>IF($B64&lt;'Unit &amp; Fin Data-input'!$C$41,0,'O&amp;M escalators-input '!K64)</f>
        <v>3.353276799710768</v>
      </c>
      <c r="O64" s="216">
        <f>IF($B64&lt;'Unit &amp; Fin Data-input'!$C$41,0,'O&amp;M escalators-input '!L64)</f>
        <v>3.353276799710768</v>
      </c>
      <c r="P64" s="202"/>
      <c r="Q64" s="203" t="e">
        <f>IF($B64&lt;='Unit &amp; Fin Data-input'!#REF!,1,'O&amp;M escalators-input '!$C64)</f>
        <v>#REF!</v>
      </c>
      <c r="R64" s="203" t="e">
        <f>IF($B64&lt;='Unit &amp; Fin Data-input'!#REF!,1,'O&amp;M escalators-input '!$D64)</f>
        <v>#REF!</v>
      </c>
      <c r="S64" s="203" t="e">
        <f>IF($B64&lt;='Unit &amp; Fin Data-input'!#REF!,1,'O&amp;M escalators-input '!$E64)</f>
        <v>#REF!</v>
      </c>
      <c r="T64" s="207" t="e">
        <f t="shared" si="10"/>
        <v>#REF!</v>
      </c>
      <c r="U64" s="207" t="e">
        <f t="shared" si="11"/>
        <v>#REF!</v>
      </c>
      <c r="V64" s="208" t="e">
        <f t="shared" si="12"/>
        <v>#REF!</v>
      </c>
    </row>
    <row r="65" spans="2:6" ht="15.75">
      <c r="B65" s="189"/>
      <c r="F65" s="186"/>
    </row>
    <row r="66" ht="13.5">
      <c r="F66" s="186"/>
    </row>
    <row r="67" spans="2:6" ht="13.5">
      <c r="B67" s="185"/>
      <c r="C67" s="184"/>
      <c r="D67" s="211"/>
      <c r="E67" s="211"/>
      <c r="F67" s="186"/>
    </row>
    <row r="68" spans="2:6" ht="13.5">
      <c r="B68" s="185"/>
      <c r="C68" s="212"/>
      <c r="D68" s="213"/>
      <c r="E68" s="213"/>
      <c r="F68" s="186"/>
    </row>
    <row r="69" ht="13.5">
      <c r="F69" s="186"/>
    </row>
    <row r="70" ht="13.5">
      <c r="F70" s="186"/>
    </row>
    <row r="71" ht="13.5">
      <c r="F71" s="186"/>
    </row>
    <row r="72" ht="13.5">
      <c r="F72" s="186"/>
    </row>
    <row r="73" ht="13.5">
      <c r="F73" s="186"/>
    </row>
    <row r="74" ht="13.5">
      <c r="F74" s="186"/>
    </row>
    <row r="75" ht="13.5">
      <c r="F75" s="186"/>
    </row>
    <row r="76" ht="13.5">
      <c r="F76" s="186"/>
    </row>
    <row r="77" ht="13.5">
      <c r="F77" s="186"/>
    </row>
    <row r="78" ht="13.5">
      <c r="F78" s="186"/>
    </row>
    <row r="79" ht="13.5">
      <c r="F79" s="186"/>
    </row>
    <row r="80" ht="13.5">
      <c r="F80" s="186"/>
    </row>
    <row r="81" ht="13.5">
      <c r="F81" s="186"/>
    </row>
    <row r="82" ht="13.5">
      <c r="F82" s="186"/>
    </row>
    <row r="83" ht="13.5">
      <c r="F83" s="186"/>
    </row>
    <row r="84" ht="13.5">
      <c r="F84" s="186"/>
    </row>
    <row r="85" ht="13.5">
      <c r="F85" s="186"/>
    </row>
    <row r="86" ht="13.5">
      <c r="F86" s="186"/>
    </row>
    <row r="87" ht="13.5">
      <c r="F87" s="186"/>
    </row>
    <row r="88" ht="13.5">
      <c r="F88" s="186"/>
    </row>
    <row r="89" ht="13.5">
      <c r="F89" s="186"/>
    </row>
    <row r="90" ht="13.5">
      <c r="F90" s="186"/>
    </row>
    <row r="91" ht="13.5">
      <c r="F91" s="186"/>
    </row>
    <row r="92" ht="13.5">
      <c r="F92" s="186"/>
    </row>
    <row r="93" ht="13.5">
      <c r="F93" s="186"/>
    </row>
    <row r="94" ht="13.5">
      <c r="F94" s="186"/>
    </row>
    <row r="95" ht="13.5">
      <c r="F95" s="186"/>
    </row>
    <row r="96" ht="13.5">
      <c r="F96" s="186"/>
    </row>
    <row r="97" ht="13.5">
      <c r="F97" s="186"/>
    </row>
    <row r="98" ht="13.5">
      <c r="F98" s="186"/>
    </row>
    <row r="99" ht="13.5">
      <c r="F99" s="186"/>
    </row>
    <row r="100" ht="13.5">
      <c r="F100" s="186"/>
    </row>
    <row r="101" ht="13.5">
      <c r="F101" s="186"/>
    </row>
    <row r="102" ht="13.5">
      <c r="F102" s="186"/>
    </row>
    <row r="103" ht="13.5">
      <c r="F103" s="186"/>
    </row>
    <row r="104" ht="13.5">
      <c r="F104" s="186"/>
    </row>
    <row r="105" ht="13.5">
      <c r="F105" s="186"/>
    </row>
    <row r="106" ht="13.5">
      <c r="F106" s="186"/>
    </row>
    <row r="107" ht="13.5">
      <c r="F107" s="186"/>
    </row>
    <row r="108" ht="13.5">
      <c r="F108" s="186"/>
    </row>
    <row r="109" ht="13.5">
      <c r="F109" s="186"/>
    </row>
    <row r="110" ht="13.5">
      <c r="F110" s="186"/>
    </row>
    <row r="111" ht="13.5">
      <c r="F111" s="186"/>
    </row>
    <row r="112" ht="13.5">
      <c r="F112" s="186"/>
    </row>
    <row r="113" ht="13.5">
      <c r="F113" s="186"/>
    </row>
    <row r="114" ht="13.5">
      <c r="F114" s="186"/>
    </row>
    <row r="115" ht="13.5">
      <c r="F115" s="186"/>
    </row>
    <row r="116" ht="13.5">
      <c r="F116" s="186"/>
    </row>
    <row r="117" ht="13.5">
      <c r="F117" s="186"/>
    </row>
    <row r="118" ht="13.5">
      <c r="F118" s="186"/>
    </row>
    <row r="119" ht="13.5">
      <c r="F119" s="186"/>
    </row>
    <row r="120" ht="13.5">
      <c r="F120" s="186"/>
    </row>
    <row r="121" ht="13.5">
      <c r="F121" s="186"/>
    </row>
    <row r="122" ht="13.5">
      <c r="F122" s="186"/>
    </row>
    <row r="123" ht="13.5">
      <c r="F123" s="186"/>
    </row>
    <row r="124" ht="13.5">
      <c r="F124" s="186"/>
    </row>
    <row r="125" ht="13.5">
      <c r="F125" s="186"/>
    </row>
    <row r="126" ht="13.5">
      <c r="F126" s="186"/>
    </row>
    <row r="127" ht="13.5">
      <c r="F127" s="186"/>
    </row>
    <row r="128" ht="13.5">
      <c r="F128" s="186"/>
    </row>
    <row r="129" ht="13.5">
      <c r="F129" s="186"/>
    </row>
    <row r="130" ht="13.5">
      <c r="F130" s="186"/>
    </row>
    <row r="131" ht="13.5">
      <c r="F131" s="186"/>
    </row>
    <row r="132" ht="13.5">
      <c r="F132" s="186"/>
    </row>
    <row r="133" ht="13.5">
      <c r="F133" s="186"/>
    </row>
    <row r="134" ht="13.5">
      <c r="F134" s="186"/>
    </row>
    <row r="135" ht="13.5">
      <c r="F135" s="186"/>
    </row>
    <row r="136" ht="13.5">
      <c r="F136" s="186"/>
    </row>
    <row r="137" ht="13.5">
      <c r="F137" s="186"/>
    </row>
    <row r="138" ht="13.5">
      <c r="F138" s="186"/>
    </row>
    <row r="139" ht="13.5">
      <c r="F139" s="186"/>
    </row>
    <row r="140" ht="13.5">
      <c r="F140" s="186"/>
    </row>
    <row r="141" ht="13.5">
      <c r="F141" s="186"/>
    </row>
    <row r="142" ht="13.5">
      <c r="F142" s="186"/>
    </row>
    <row r="143" ht="13.5">
      <c r="F143" s="186"/>
    </row>
    <row r="144" ht="13.5">
      <c r="F144" s="186"/>
    </row>
    <row r="145" ht="13.5">
      <c r="F145" s="186"/>
    </row>
    <row r="146" ht="13.5">
      <c r="F146" s="186"/>
    </row>
    <row r="147" ht="13.5">
      <c r="F147" s="186"/>
    </row>
    <row r="148" ht="13.5">
      <c r="F148" s="186"/>
    </row>
    <row r="149" ht="13.5">
      <c r="F149" s="186"/>
    </row>
    <row r="150" ht="13.5">
      <c r="F150" s="186"/>
    </row>
    <row r="151" ht="13.5">
      <c r="F151" s="186"/>
    </row>
    <row r="152" ht="13.5">
      <c r="F152" s="186"/>
    </row>
    <row r="153" ht="13.5">
      <c r="F153" s="186"/>
    </row>
  </sheetData>
  <sheetProtection/>
  <mergeCells count="10">
    <mergeCell ref="N8:O8"/>
    <mergeCell ref="Q12:S12"/>
    <mergeCell ref="T12:V12"/>
    <mergeCell ref="Q13:S13"/>
    <mergeCell ref="T13:V13"/>
    <mergeCell ref="M13:O13"/>
    <mergeCell ref="J12:L12"/>
    <mergeCell ref="G12:I12"/>
    <mergeCell ref="G13:I13"/>
    <mergeCell ref="J13:L13"/>
  </mergeCells>
  <printOptions horizontalCentered="1"/>
  <pageMargins left="0" right="0" top="0.5" bottom="0.5" header="0.5" footer="0"/>
  <pageSetup fitToHeight="1" fitToWidth="1" horizontalDpi="600" verticalDpi="600" orientation="portrait" scale="90" r:id="rId1"/>
  <ignoredErrors>
    <ignoredError sqref="B16:B6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4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9.140625" style="1" customWidth="1"/>
    <col min="2" max="2" width="8.8515625" style="57" customWidth="1"/>
    <col min="3" max="3" width="12.421875" style="1" customWidth="1"/>
    <col min="4" max="4" width="12.140625" style="1" customWidth="1"/>
    <col min="5" max="5" width="14.8515625" style="1" customWidth="1"/>
    <col min="6" max="8" width="12.140625" style="1" customWidth="1"/>
    <col min="9" max="9" width="12.140625" style="7" customWidth="1"/>
    <col min="10" max="10" width="4.00390625" style="1" bestFit="1" customWidth="1"/>
    <col min="11" max="16384" width="9.140625" style="1" customWidth="1"/>
  </cols>
  <sheetData>
    <row r="1" spans="1:9" s="328" customFormat="1" ht="15">
      <c r="A1" s="341" t="s">
        <v>114</v>
      </c>
      <c r="I1" s="339"/>
    </row>
    <row r="2" spans="1:9" s="328" customFormat="1" ht="15">
      <c r="A2" s="341" t="s">
        <v>115</v>
      </c>
      <c r="I2" s="339"/>
    </row>
    <row r="3" spans="1:9" s="328" customFormat="1" ht="15">
      <c r="A3" s="341" t="s">
        <v>116</v>
      </c>
      <c r="I3" s="339"/>
    </row>
    <row r="4" spans="1:9" s="328" customFormat="1" ht="15">
      <c r="A4" s="341" t="s">
        <v>117</v>
      </c>
      <c r="I4" s="339"/>
    </row>
    <row r="5" spans="1:9" s="328" customFormat="1" ht="15">
      <c r="A5" s="341" t="s">
        <v>118</v>
      </c>
      <c r="I5" s="339"/>
    </row>
    <row r="6" spans="1:9" s="328" customFormat="1" ht="15">
      <c r="A6" s="341" t="s">
        <v>121</v>
      </c>
      <c r="I6" s="339"/>
    </row>
    <row r="7" spans="2:9" s="328" customFormat="1" ht="12.75">
      <c r="B7" s="135"/>
      <c r="I7" s="339"/>
    </row>
    <row r="8" spans="1:15" ht="15.75">
      <c r="A8" s="318" t="s">
        <v>110</v>
      </c>
      <c r="B8" s="17"/>
      <c r="C8" s="130"/>
      <c r="D8" s="345"/>
      <c r="E8" s="345"/>
      <c r="O8" s="123"/>
    </row>
    <row r="9" spans="1:15" ht="18.75">
      <c r="A9" s="130"/>
      <c r="B9" s="15"/>
      <c r="C9" s="130"/>
      <c r="D9" s="130"/>
      <c r="E9" s="130"/>
      <c r="F9" s="130"/>
      <c r="G9" s="130"/>
      <c r="H9" s="130"/>
      <c r="I9" s="57"/>
      <c r="O9" s="2"/>
    </row>
    <row r="10" spans="1:9" ht="15.75">
      <c r="A10" s="130"/>
      <c r="B10" s="217" t="s">
        <v>30</v>
      </c>
      <c r="C10" s="130"/>
      <c r="D10" s="130"/>
      <c r="E10" s="130"/>
      <c r="F10" s="130"/>
      <c r="G10" s="130"/>
      <c r="H10" s="130"/>
      <c r="I10" s="57"/>
    </row>
    <row r="11" spans="1:9" ht="12.75">
      <c r="A11" s="130"/>
      <c r="C11" s="130"/>
      <c r="D11" s="130"/>
      <c r="E11" s="140"/>
      <c r="F11" s="140"/>
      <c r="G11" s="140"/>
      <c r="H11" s="130"/>
      <c r="I11" s="57"/>
    </row>
    <row r="12" spans="1:9" ht="15.75">
      <c r="A12" s="130"/>
      <c r="B12" s="218" t="s">
        <v>99</v>
      </c>
      <c r="E12" s="219"/>
      <c r="F12" s="7"/>
      <c r="G12" s="7"/>
      <c r="H12" s="130"/>
      <c r="I12" s="57"/>
    </row>
    <row r="13" spans="1:9" ht="25.5">
      <c r="A13" s="220" t="s">
        <v>95</v>
      </c>
      <c r="B13" s="57" t="s">
        <v>5</v>
      </c>
      <c r="C13" s="221" t="str">
        <f>'Unit &amp; Fin Data-input'!C18</f>
        <v>Solar</v>
      </c>
      <c r="D13" s="16"/>
      <c r="E13" s="16"/>
      <c r="F13" s="16"/>
      <c r="G13" s="16"/>
      <c r="H13" s="222"/>
      <c r="I13" s="16"/>
    </row>
    <row r="14" spans="1:9" ht="12.75">
      <c r="A14" s="131">
        <v>1</v>
      </c>
      <c r="C14" s="223">
        <v>1</v>
      </c>
      <c r="D14" s="181"/>
      <c r="E14" s="181"/>
      <c r="F14" s="181"/>
      <c r="G14" s="181"/>
      <c r="H14" s="181"/>
      <c r="I14" s="181"/>
    </row>
    <row r="15" spans="1:9" ht="12.75">
      <c r="A15" s="131">
        <v>2</v>
      </c>
      <c r="B15" s="122">
        <f>'O&amp;M escalators-input '!$B15</f>
        <v>2014</v>
      </c>
      <c r="C15" s="224">
        <v>0</v>
      </c>
      <c r="D15" s="225"/>
      <c r="E15" s="225"/>
      <c r="F15" s="225"/>
      <c r="G15" s="225"/>
      <c r="H15" s="225"/>
      <c r="I15" s="226"/>
    </row>
    <row r="16" spans="1:9" ht="12.75">
      <c r="A16" s="131">
        <v>3</v>
      </c>
      <c r="B16" s="122">
        <f>'O&amp;M escalators-input '!$B16</f>
        <v>2015</v>
      </c>
      <c r="C16" s="224">
        <v>0</v>
      </c>
      <c r="D16" s="225"/>
      <c r="E16" s="225"/>
      <c r="F16" s="225"/>
      <c r="G16" s="225"/>
      <c r="H16" s="225"/>
      <c r="I16" s="226"/>
    </row>
    <row r="17" spans="1:10" ht="12.75">
      <c r="A17" s="131">
        <v>4</v>
      </c>
      <c r="B17" s="122">
        <f>'O&amp;M escalators-input '!$B17</f>
        <v>2016</v>
      </c>
      <c r="C17" s="224">
        <v>0</v>
      </c>
      <c r="D17" s="225"/>
      <c r="E17" s="225"/>
      <c r="F17" s="225"/>
      <c r="G17" s="225"/>
      <c r="H17" s="225"/>
      <c r="I17" s="226"/>
      <c r="J17" s="123"/>
    </row>
    <row r="18" spans="1:9" ht="12.75">
      <c r="A18" s="131">
        <v>5</v>
      </c>
      <c r="B18" s="122">
        <f>'O&amp;M escalators-input '!$B18</f>
        <v>2017</v>
      </c>
      <c r="C18" s="224">
        <v>0</v>
      </c>
      <c r="D18" s="225"/>
      <c r="E18" s="225"/>
      <c r="F18" s="225"/>
      <c r="G18" s="225"/>
      <c r="H18" s="225"/>
      <c r="I18" s="226"/>
    </row>
    <row r="19" spans="1:10" ht="12.75">
      <c r="A19" s="131">
        <v>6</v>
      </c>
      <c r="B19" s="122">
        <f>'O&amp;M escalators-input '!$B19</f>
        <v>2018</v>
      </c>
      <c r="C19" s="224">
        <v>0</v>
      </c>
      <c r="D19" s="225"/>
      <c r="E19" s="225"/>
      <c r="F19" s="225"/>
      <c r="G19" s="227"/>
      <c r="H19" s="225"/>
      <c r="I19" s="226"/>
      <c r="J19" s="123"/>
    </row>
    <row r="20" spans="1:10" ht="12.75">
      <c r="A20" s="131">
        <v>7</v>
      </c>
      <c r="B20" s="122">
        <f>'O&amp;M escalators-input '!$B20</f>
        <v>2019</v>
      </c>
      <c r="C20" s="224">
        <v>0</v>
      </c>
      <c r="D20" s="225"/>
      <c r="E20" s="225"/>
      <c r="F20" s="225"/>
      <c r="G20" s="227"/>
      <c r="H20" s="225"/>
      <c r="I20" s="226"/>
      <c r="J20" s="123"/>
    </row>
    <row r="21" spans="1:9" ht="12.75">
      <c r="A21" s="131">
        <v>8</v>
      </c>
      <c r="B21" s="122">
        <f>'O&amp;M escalators-input '!$B21</f>
        <v>2020</v>
      </c>
      <c r="C21" s="224">
        <v>0</v>
      </c>
      <c r="D21" s="225"/>
      <c r="E21" s="225"/>
      <c r="F21" s="225"/>
      <c r="G21" s="227"/>
      <c r="H21" s="225"/>
      <c r="I21" s="226"/>
    </row>
    <row r="22" spans="1:9" ht="12.75">
      <c r="A22" s="131">
        <v>9</v>
      </c>
      <c r="B22" s="122">
        <f>'O&amp;M escalators-input '!$B22</f>
        <v>2021</v>
      </c>
      <c r="C22" s="224">
        <v>0</v>
      </c>
      <c r="D22" s="225"/>
      <c r="E22" s="225"/>
      <c r="F22" s="225"/>
      <c r="G22" s="227"/>
      <c r="H22" s="225"/>
      <c r="I22" s="226"/>
    </row>
    <row r="23" spans="1:9" ht="12.75">
      <c r="A23" s="131">
        <v>10</v>
      </c>
      <c r="B23" s="122">
        <f>'O&amp;M escalators-input '!$B23</f>
        <v>2022</v>
      </c>
      <c r="C23" s="224">
        <v>0</v>
      </c>
      <c r="D23" s="225"/>
      <c r="E23" s="225"/>
      <c r="F23" s="225"/>
      <c r="G23" s="227"/>
      <c r="H23" s="225"/>
      <c r="I23" s="226"/>
    </row>
    <row r="24" spans="1:9" ht="12.75">
      <c r="A24" s="131">
        <v>11</v>
      </c>
      <c r="B24" s="122">
        <f>'O&amp;M escalators-input '!$B24</f>
        <v>2023</v>
      </c>
      <c r="C24" s="224">
        <v>0</v>
      </c>
      <c r="D24" s="225"/>
      <c r="E24" s="225"/>
      <c r="F24" s="225"/>
      <c r="G24" s="227"/>
      <c r="H24" s="227"/>
      <c r="I24" s="226"/>
    </row>
    <row r="25" spans="1:9" ht="12.75">
      <c r="A25" s="131">
        <v>12</v>
      </c>
      <c r="B25" s="122">
        <f>'O&amp;M escalators-input '!$B25</f>
        <v>2024</v>
      </c>
      <c r="C25" s="224">
        <v>0</v>
      </c>
      <c r="D25" s="225"/>
      <c r="E25" s="225"/>
      <c r="F25" s="225"/>
      <c r="G25" s="227"/>
      <c r="H25" s="227"/>
      <c r="I25" s="226"/>
    </row>
    <row r="26" spans="1:11" ht="12.75">
      <c r="A26" s="131">
        <v>13</v>
      </c>
      <c r="B26" s="122">
        <f>'O&amp;M escalators-input '!$B26</f>
        <v>2025</v>
      </c>
      <c r="C26" s="224">
        <v>0</v>
      </c>
      <c r="D26" s="225"/>
      <c r="E26" s="227"/>
      <c r="F26" s="225"/>
      <c r="G26" s="227"/>
      <c r="H26" s="227"/>
      <c r="I26" s="226"/>
      <c r="K26" s="226"/>
    </row>
    <row r="27" spans="1:9" ht="12.75">
      <c r="A27" s="131">
        <v>14</v>
      </c>
      <c r="B27" s="122">
        <f>'O&amp;M escalators-input '!$B27</f>
        <v>2026</v>
      </c>
      <c r="C27" s="224">
        <v>0</v>
      </c>
      <c r="D27" s="225"/>
      <c r="E27" s="227"/>
      <c r="F27" s="225"/>
      <c r="G27" s="227"/>
      <c r="H27" s="227"/>
      <c r="I27" s="226"/>
    </row>
    <row r="28" spans="1:9" ht="12.75">
      <c r="A28" s="131">
        <v>15</v>
      </c>
      <c r="B28" s="122">
        <f>'O&amp;M escalators-input '!$B28</f>
        <v>2027</v>
      </c>
      <c r="C28" s="224">
        <v>0</v>
      </c>
      <c r="D28" s="225"/>
      <c r="E28" s="227"/>
      <c r="F28" s="225"/>
      <c r="G28" s="227"/>
      <c r="H28" s="227"/>
      <c r="I28" s="226"/>
    </row>
    <row r="29" spans="1:9" ht="12.75">
      <c r="A29" s="131">
        <v>16</v>
      </c>
      <c r="B29" s="122">
        <f>'O&amp;M escalators-input '!$B29</f>
        <v>2028</v>
      </c>
      <c r="C29" s="224">
        <v>0</v>
      </c>
      <c r="D29" s="225"/>
      <c r="E29" s="227"/>
      <c r="F29" s="225"/>
      <c r="G29" s="227"/>
      <c r="H29" s="227"/>
      <c r="I29" s="226"/>
    </row>
    <row r="30" spans="1:9" ht="12.75">
      <c r="A30" s="131">
        <v>17</v>
      </c>
      <c r="B30" s="122">
        <f>'O&amp;M escalators-input '!$B30</f>
        <v>2029</v>
      </c>
      <c r="C30" s="224">
        <v>0</v>
      </c>
      <c r="D30" s="225"/>
      <c r="E30" s="227"/>
      <c r="F30" s="225"/>
      <c r="G30" s="227"/>
      <c r="H30" s="227"/>
      <c r="I30" s="226"/>
    </row>
    <row r="31" spans="1:9" ht="12.75">
      <c r="A31" s="131">
        <v>18</v>
      </c>
      <c r="B31" s="122">
        <f>'O&amp;M escalators-input '!$B31</f>
        <v>2030</v>
      </c>
      <c r="C31" s="224">
        <v>0</v>
      </c>
      <c r="D31" s="225"/>
      <c r="E31" s="227"/>
      <c r="F31" s="225"/>
      <c r="G31" s="227"/>
      <c r="H31" s="227"/>
      <c r="I31" s="226"/>
    </row>
    <row r="32" spans="1:9" ht="12.75">
      <c r="A32" s="131">
        <v>19</v>
      </c>
      <c r="B32" s="122">
        <f>'O&amp;M escalators-input '!$B32</f>
        <v>2031</v>
      </c>
      <c r="C32" s="224">
        <v>0</v>
      </c>
      <c r="D32" s="225"/>
      <c r="E32" s="227"/>
      <c r="F32" s="225"/>
      <c r="G32" s="227"/>
      <c r="H32" s="227"/>
      <c r="I32" s="226"/>
    </row>
    <row r="33" spans="1:9" ht="12.75">
      <c r="A33" s="131">
        <v>20</v>
      </c>
      <c r="B33" s="122">
        <f>'O&amp;M escalators-input '!$B33</f>
        <v>2032</v>
      </c>
      <c r="C33" s="224">
        <v>0</v>
      </c>
      <c r="D33" s="225"/>
      <c r="E33" s="227"/>
      <c r="F33" s="225"/>
      <c r="G33" s="227"/>
      <c r="H33" s="227"/>
      <c r="I33" s="226"/>
    </row>
    <row r="34" spans="1:10" ht="12.75">
      <c r="A34" s="131">
        <v>21</v>
      </c>
      <c r="B34" s="122">
        <f>'O&amp;M escalators-input '!$B34</f>
        <v>2033</v>
      </c>
      <c r="C34" s="224">
        <v>0</v>
      </c>
      <c r="D34" s="225"/>
      <c r="E34" s="227"/>
      <c r="F34" s="225"/>
      <c r="G34" s="227"/>
      <c r="H34" s="227"/>
      <c r="I34" s="226"/>
      <c r="J34" s="228"/>
    </row>
    <row r="35" spans="1:10" ht="12.75">
      <c r="A35" s="131">
        <v>22</v>
      </c>
      <c r="B35" s="122">
        <f>'O&amp;M escalators-input '!$B35</f>
        <v>2034</v>
      </c>
      <c r="C35" s="224">
        <v>0</v>
      </c>
      <c r="D35" s="225"/>
      <c r="E35" s="227"/>
      <c r="F35" s="225"/>
      <c r="G35" s="227"/>
      <c r="H35" s="227"/>
      <c r="I35" s="226"/>
      <c r="J35" s="228"/>
    </row>
    <row r="36" spans="1:10" ht="12.75">
      <c r="A36" s="131">
        <v>23</v>
      </c>
      <c r="B36" s="122">
        <f>'O&amp;M escalators-input '!$B36</f>
        <v>2035</v>
      </c>
      <c r="C36" s="224">
        <v>0</v>
      </c>
      <c r="D36" s="225"/>
      <c r="E36" s="227"/>
      <c r="F36" s="225"/>
      <c r="G36" s="227"/>
      <c r="H36" s="227"/>
      <c r="I36" s="226"/>
      <c r="J36" s="228"/>
    </row>
    <row r="37" spans="1:10" ht="12.75">
      <c r="A37" s="131">
        <v>24</v>
      </c>
      <c r="B37" s="122">
        <f>'O&amp;M escalators-input '!$B37</f>
        <v>2036</v>
      </c>
      <c r="C37" s="224">
        <v>0</v>
      </c>
      <c r="D37" s="225"/>
      <c r="E37" s="227"/>
      <c r="F37" s="225"/>
      <c r="G37" s="227"/>
      <c r="H37" s="227"/>
      <c r="I37" s="226"/>
      <c r="J37" s="228"/>
    </row>
    <row r="38" spans="1:10" ht="12.75">
      <c r="A38" s="131">
        <v>25</v>
      </c>
      <c r="B38" s="122">
        <f>'O&amp;M escalators-input '!$B38</f>
        <v>2037</v>
      </c>
      <c r="C38" s="224">
        <v>0</v>
      </c>
      <c r="D38" s="225"/>
      <c r="E38" s="227"/>
      <c r="F38" s="225"/>
      <c r="G38" s="227"/>
      <c r="H38" s="227"/>
      <c r="I38" s="226"/>
      <c r="J38" s="228"/>
    </row>
    <row r="39" spans="1:10" ht="12.75">
      <c r="A39" s="131">
        <v>26</v>
      </c>
      <c r="B39" s="122">
        <f>'O&amp;M escalators-input '!$B39</f>
        <v>2038</v>
      </c>
      <c r="C39" s="224">
        <v>0</v>
      </c>
      <c r="D39" s="225"/>
      <c r="E39" s="227"/>
      <c r="F39" s="225"/>
      <c r="G39" s="227"/>
      <c r="H39" s="227"/>
      <c r="I39" s="226"/>
      <c r="J39" s="228"/>
    </row>
    <row r="40" spans="1:10" ht="12.75">
      <c r="A40" s="131">
        <v>27</v>
      </c>
      <c r="B40" s="122">
        <f>'O&amp;M escalators-input '!$B40</f>
        <v>2039</v>
      </c>
      <c r="C40" s="224">
        <v>0</v>
      </c>
      <c r="D40" s="225"/>
      <c r="E40" s="227"/>
      <c r="F40" s="225"/>
      <c r="G40" s="227"/>
      <c r="H40" s="227"/>
      <c r="I40" s="226"/>
      <c r="J40" s="228"/>
    </row>
    <row r="41" spans="1:10" ht="12.75">
      <c r="A41" s="131">
        <v>28</v>
      </c>
      <c r="B41" s="122">
        <f>'O&amp;M escalators-input '!$B41</f>
        <v>2040</v>
      </c>
      <c r="C41" s="224">
        <v>0</v>
      </c>
      <c r="D41" s="225"/>
      <c r="E41" s="227"/>
      <c r="F41" s="225"/>
      <c r="G41" s="227"/>
      <c r="H41" s="227"/>
      <c r="I41" s="226"/>
      <c r="J41" s="228"/>
    </row>
    <row r="42" spans="1:10" ht="12.75">
      <c r="A42" s="131">
        <v>29</v>
      </c>
      <c r="B42" s="122">
        <f>'O&amp;M escalators-input '!$B42</f>
        <v>2041</v>
      </c>
      <c r="C42" s="224">
        <v>0</v>
      </c>
      <c r="D42" s="225"/>
      <c r="E42" s="227"/>
      <c r="F42" s="225"/>
      <c r="G42" s="227"/>
      <c r="H42" s="227"/>
      <c r="I42" s="226"/>
      <c r="J42" s="228"/>
    </row>
    <row r="43" spans="1:10" ht="12.75">
      <c r="A43" s="131">
        <v>30</v>
      </c>
      <c r="B43" s="122">
        <f>'O&amp;M escalators-input '!$B43</f>
        <v>2042</v>
      </c>
      <c r="C43" s="224">
        <v>0</v>
      </c>
      <c r="D43" s="225"/>
      <c r="E43" s="227"/>
      <c r="F43" s="225"/>
      <c r="G43" s="227"/>
      <c r="H43" s="227"/>
      <c r="I43" s="226"/>
      <c r="J43" s="228"/>
    </row>
    <row r="44" spans="1:10" ht="12.75">
      <c r="A44" s="131">
        <v>31</v>
      </c>
      <c r="B44" s="122">
        <f>'O&amp;M escalators-input '!$B44</f>
        <v>2043</v>
      </c>
      <c r="C44" s="224">
        <v>0</v>
      </c>
      <c r="D44" s="225"/>
      <c r="E44" s="227"/>
      <c r="F44" s="225"/>
      <c r="G44" s="227"/>
      <c r="H44" s="227"/>
      <c r="I44" s="226"/>
      <c r="J44" s="228"/>
    </row>
    <row r="45" spans="1:10" ht="12.75">
      <c r="A45" s="131">
        <v>32</v>
      </c>
      <c r="B45" s="122">
        <f>'O&amp;M escalators-input '!$B45</f>
        <v>2044</v>
      </c>
      <c r="C45" s="224">
        <v>0</v>
      </c>
      <c r="D45" s="225"/>
      <c r="E45" s="227"/>
      <c r="F45" s="225"/>
      <c r="G45" s="227"/>
      <c r="H45" s="227"/>
      <c r="I45" s="226"/>
      <c r="J45" s="228"/>
    </row>
    <row r="46" spans="1:9" ht="12.75">
      <c r="A46" s="131">
        <v>33</v>
      </c>
      <c r="B46" s="122">
        <f>'O&amp;M escalators-input '!$B46</f>
        <v>2045</v>
      </c>
      <c r="C46" s="224">
        <v>0</v>
      </c>
      <c r="D46" s="225"/>
      <c r="E46" s="227"/>
      <c r="F46" s="225"/>
      <c r="G46" s="227"/>
      <c r="H46" s="227"/>
      <c r="I46" s="226"/>
    </row>
    <row r="47" spans="1:9" ht="12.75">
      <c r="A47" s="131">
        <v>34</v>
      </c>
      <c r="B47" s="122">
        <f>'O&amp;M escalators-input '!$B47</f>
        <v>2046</v>
      </c>
      <c r="C47" s="224">
        <v>0</v>
      </c>
      <c r="D47" s="225"/>
      <c r="E47" s="227"/>
      <c r="F47" s="225"/>
      <c r="G47" s="227"/>
      <c r="H47" s="227"/>
      <c r="I47" s="226"/>
    </row>
    <row r="48" spans="1:9" ht="12.75">
      <c r="A48" s="131">
        <v>35</v>
      </c>
      <c r="B48" s="122">
        <f>'O&amp;M escalators-input '!$B48</f>
        <v>2047</v>
      </c>
      <c r="C48" s="224">
        <v>0</v>
      </c>
      <c r="D48" s="225"/>
      <c r="E48" s="227"/>
      <c r="F48" s="225"/>
      <c r="G48" s="227"/>
      <c r="H48" s="227"/>
      <c r="I48" s="226"/>
    </row>
    <row r="49" spans="1:9" ht="12.75">
      <c r="A49" s="131">
        <v>36</v>
      </c>
      <c r="B49" s="122">
        <f>'O&amp;M escalators-input '!$B49</f>
        <v>2048</v>
      </c>
      <c r="C49" s="224">
        <v>0</v>
      </c>
      <c r="D49" s="225"/>
      <c r="E49" s="227"/>
      <c r="F49" s="225"/>
      <c r="G49" s="227"/>
      <c r="H49" s="227"/>
      <c r="I49" s="226"/>
    </row>
    <row r="50" spans="1:9" ht="12.75">
      <c r="A50" s="131">
        <v>37</v>
      </c>
      <c r="B50" s="122">
        <f>'O&amp;M escalators-input '!$B50</f>
        <v>2049</v>
      </c>
      <c r="C50" s="224">
        <v>0</v>
      </c>
      <c r="D50" s="225"/>
      <c r="E50" s="227"/>
      <c r="F50" s="225"/>
      <c r="G50" s="227"/>
      <c r="H50" s="227"/>
      <c r="I50" s="226"/>
    </row>
    <row r="51" spans="1:9" ht="12.75">
      <c r="A51" s="131">
        <v>38</v>
      </c>
      <c r="B51" s="122">
        <f>'O&amp;M escalators-input '!$B51</f>
        <v>2050</v>
      </c>
      <c r="C51" s="224">
        <v>0</v>
      </c>
      <c r="D51" s="225"/>
      <c r="E51" s="227"/>
      <c r="F51" s="225"/>
      <c r="G51" s="227"/>
      <c r="H51" s="227"/>
      <c r="I51" s="226"/>
    </row>
    <row r="52" spans="1:9" ht="12.75">
      <c r="A52" s="131">
        <v>39</v>
      </c>
      <c r="B52" s="122">
        <f>'O&amp;M escalators-input '!$B52</f>
        <v>2051</v>
      </c>
      <c r="C52" s="224">
        <v>0</v>
      </c>
      <c r="D52" s="225"/>
      <c r="E52" s="227"/>
      <c r="F52" s="225"/>
      <c r="G52" s="227"/>
      <c r="H52" s="227"/>
      <c r="I52" s="226"/>
    </row>
    <row r="53" spans="1:9" ht="12.75">
      <c r="A53" s="131">
        <v>40</v>
      </c>
      <c r="B53" s="122">
        <f>'O&amp;M escalators-input '!$B53</f>
        <v>2052</v>
      </c>
      <c r="C53" s="224">
        <v>0</v>
      </c>
      <c r="D53" s="225"/>
      <c r="E53" s="227"/>
      <c r="F53" s="225"/>
      <c r="G53" s="227"/>
      <c r="H53" s="227"/>
      <c r="I53" s="226"/>
    </row>
    <row r="54" spans="1:9" ht="12.75">
      <c r="A54" s="131">
        <v>41</v>
      </c>
      <c r="B54" s="122">
        <f>'O&amp;M escalators-input '!$B54</f>
        <v>2053</v>
      </c>
      <c r="C54" s="224">
        <v>0</v>
      </c>
      <c r="D54" s="225"/>
      <c r="E54" s="227"/>
      <c r="F54" s="225"/>
      <c r="G54" s="227"/>
      <c r="H54" s="227"/>
      <c r="I54" s="226"/>
    </row>
    <row r="55" spans="1:9" ht="12.75">
      <c r="A55" s="131">
        <v>42</v>
      </c>
      <c r="B55" s="122">
        <f>'O&amp;M escalators-input '!$B55</f>
        <v>2054</v>
      </c>
      <c r="C55" s="224">
        <v>0</v>
      </c>
      <c r="D55" s="225"/>
      <c r="E55" s="227"/>
      <c r="F55" s="225"/>
      <c r="G55" s="227"/>
      <c r="H55" s="227"/>
      <c r="I55" s="226"/>
    </row>
    <row r="56" spans="1:9" ht="12.75">
      <c r="A56" s="131">
        <v>43</v>
      </c>
      <c r="B56" s="122">
        <f>'O&amp;M escalators-input '!$B56</f>
        <v>2055</v>
      </c>
      <c r="C56" s="224">
        <v>0</v>
      </c>
      <c r="D56" s="225"/>
      <c r="E56" s="227"/>
      <c r="F56" s="225"/>
      <c r="G56" s="227"/>
      <c r="H56" s="227"/>
      <c r="I56" s="226"/>
    </row>
    <row r="57" spans="1:9" ht="12.75">
      <c r="A57" s="131">
        <v>44</v>
      </c>
      <c r="B57" s="122">
        <f>'O&amp;M escalators-input '!$B57</f>
        <v>2056</v>
      </c>
      <c r="C57" s="224">
        <v>0</v>
      </c>
      <c r="D57" s="225"/>
      <c r="E57" s="227"/>
      <c r="F57" s="225"/>
      <c r="G57" s="227"/>
      <c r="H57" s="227"/>
      <c r="I57" s="226"/>
    </row>
    <row r="58" spans="1:9" ht="12.75">
      <c r="A58" s="131">
        <v>45</v>
      </c>
      <c r="B58" s="122">
        <f>'O&amp;M escalators-input '!$B58</f>
        <v>2057</v>
      </c>
      <c r="C58" s="224">
        <v>0</v>
      </c>
      <c r="D58" s="225"/>
      <c r="E58" s="227"/>
      <c r="F58" s="225"/>
      <c r="G58" s="227"/>
      <c r="H58" s="227"/>
      <c r="I58" s="226"/>
    </row>
    <row r="59" spans="1:9" ht="12.75">
      <c r="A59" s="131">
        <v>46</v>
      </c>
      <c r="B59" s="122">
        <f>'O&amp;M escalators-input '!$B59</f>
        <v>2058</v>
      </c>
      <c r="C59" s="224">
        <v>0</v>
      </c>
      <c r="D59" s="225"/>
      <c r="E59" s="227"/>
      <c r="F59" s="225"/>
      <c r="G59" s="227"/>
      <c r="H59" s="227"/>
      <c r="I59" s="226"/>
    </row>
    <row r="60" spans="1:9" ht="12.75">
      <c r="A60" s="131">
        <v>47</v>
      </c>
      <c r="B60" s="122">
        <f>'O&amp;M escalators-input '!$B60</f>
        <v>2059</v>
      </c>
      <c r="C60" s="224">
        <v>0</v>
      </c>
      <c r="D60" s="225"/>
      <c r="E60" s="227"/>
      <c r="F60" s="225"/>
      <c r="G60" s="227"/>
      <c r="H60" s="227"/>
      <c r="I60" s="226"/>
    </row>
    <row r="61" spans="1:9" ht="12.75">
      <c r="A61" s="131">
        <v>48</v>
      </c>
      <c r="B61" s="122">
        <f>'O&amp;M escalators-input '!$B61</f>
        <v>2060</v>
      </c>
      <c r="C61" s="224">
        <v>0</v>
      </c>
      <c r="D61" s="225"/>
      <c r="E61" s="227"/>
      <c r="F61" s="225"/>
      <c r="G61" s="225"/>
      <c r="H61" s="227"/>
      <c r="I61" s="226"/>
    </row>
    <row r="62" spans="1:9" ht="12.75">
      <c r="A62" s="131">
        <v>49</v>
      </c>
      <c r="B62" s="122">
        <f>'O&amp;M escalators-input '!$B62</f>
        <v>2061</v>
      </c>
      <c r="C62" s="224">
        <v>0</v>
      </c>
      <c r="D62" s="225"/>
      <c r="E62" s="227"/>
      <c r="F62" s="225"/>
      <c r="G62" s="225"/>
      <c r="H62" s="227"/>
      <c r="I62" s="226"/>
    </row>
    <row r="63" spans="1:9" ht="12.75">
      <c r="A63" s="131">
        <v>50</v>
      </c>
      <c r="B63" s="122">
        <f>'O&amp;M escalators-input '!$B63</f>
        <v>2062</v>
      </c>
      <c r="C63" s="224">
        <v>0</v>
      </c>
      <c r="D63" s="225"/>
      <c r="E63" s="227"/>
      <c r="F63" s="225"/>
      <c r="G63" s="225"/>
      <c r="H63" s="227"/>
      <c r="I63" s="226"/>
    </row>
    <row r="64" spans="1:9" ht="12.75">
      <c r="A64" s="131">
        <v>51</v>
      </c>
      <c r="B64" s="122">
        <f>'O&amp;M escalators-input '!$B64</f>
        <v>2063</v>
      </c>
      <c r="C64" s="224">
        <v>0</v>
      </c>
      <c r="D64" s="225"/>
      <c r="E64" s="227"/>
      <c r="F64" s="225"/>
      <c r="G64" s="225"/>
      <c r="H64" s="227"/>
      <c r="I64" s="226"/>
    </row>
    <row r="66" spans="4:13" ht="12.75">
      <c r="D66" s="7"/>
      <c r="E66" s="7"/>
      <c r="F66" s="7"/>
      <c r="G66" s="7"/>
      <c r="H66" s="7"/>
      <c r="J66" s="7"/>
      <c r="K66" s="7"/>
      <c r="L66" s="7"/>
      <c r="M66" s="7"/>
    </row>
    <row r="67" spans="4:13" ht="12.75">
      <c r="D67" s="7"/>
      <c r="E67" s="229"/>
      <c r="F67" s="7"/>
      <c r="G67" s="7"/>
      <c r="H67" s="7"/>
      <c r="I67" s="229"/>
      <c r="J67" s="7"/>
      <c r="K67" s="7"/>
      <c r="L67" s="7"/>
      <c r="M67" s="7"/>
    </row>
    <row r="68" spans="4:13" ht="12.75">
      <c r="D68" s="7"/>
      <c r="E68" s="7"/>
      <c r="F68" s="7"/>
      <c r="G68" s="7"/>
      <c r="H68" s="7"/>
      <c r="J68" s="7"/>
      <c r="K68" s="7"/>
      <c r="L68" s="7"/>
      <c r="M68" s="7"/>
    </row>
    <row r="69" spans="4:13" ht="12.75">
      <c r="D69" s="230"/>
      <c r="E69" s="231"/>
      <c r="F69" s="231"/>
      <c r="G69" s="232"/>
      <c r="H69" s="7"/>
      <c r="I69" s="231"/>
      <c r="J69" s="7"/>
      <c r="K69" s="232"/>
      <c r="L69" s="7"/>
      <c r="M69" s="7"/>
    </row>
    <row r="70" spans="4:13" ht="12.75">
      <c r="D70" s="230"/>
      <c r="E70" s="231"/>
      <c r="F70" s="231"/>
      <c r="G70" s="232"/>
      <c r="H70" s="7"/>
      <c r="I70" s="231"/>
      <c r="J70" s="7"/>
      <c r="K70" s="232"/>
      <c r="L70" s="233"/>
      <c r="M70" s="7"/>
    </row>
    <row r="71" spans="4:13" ht="12.75">
      <c r="D71" s="230"/>
      <c r="E71" s="231"/>
      <c r="F71" s="231"/>
      <c r="G71" s="232"/>
      <c r="H71" s="7"/>
      <c r="I71" s="231"/>
      <c r="J71" s="7"/>
      <c r="K71" s="232"/>
      <c r="L71" s="233"/>
      <c r="M71" s="7"/>
    </row>
    <row r="72" spans="4:13" ht="12.75">
      <c r="D72" s="230"/>
      <c r="E72" s="231"/>
      <c r="F72" s="231"/>
      <c r="G72" s="232"/>
      <c r="H72" s="7"/>
      <c r="I72" s="231"/>
      <c r="J72" s="7"/>
      <c r="K72" s="232"/>
      <c r="L72" s="233"/>
      <c r="M72" s="7"/>
    </row>
    <row r="73" spans="4:13" ht="12.75">
      <c r="D73" s="230"/>
      <c r="E73" s="231"/>
      <c r="F73" s="231"/>
      <c r="G73" s="232"/>
      <c r="H73" s="7"/>
      <c r="I73" s="231"/>
      <c r="J73" s="7"/>
      <c r="K73" s="232"/>
      <c r="L73" s="233"/>
      <c r="M73" s="7"/>
    </row>
    <row r="74" spans="4:13" ht="12.75">
      <c r="D74" s="230"/>
      <c r="E74" s="231"/>
      <c r="F74" s="231"/>
      <c r="G74" s="232"/>
      <c r="H74" s="7"/>
      <c r="I74" s="231"/>
      <c r="J74" s="7"/>
      <c r="K74" s="232"/>
      <c r="L74" s="233"/>
      <c r="M74" s="7"/>
    </row>
    <row r="75" spans="4:13" ht="12.75">
      <c r="D75" s="230"/>
      <c r="E75" s="231"/>
      <c r="F75" s="231"/>
      <c r="G75" s="232"/>
      <c r="H75" s="7"/>
      <c r="I75" s="231"/>
      <c r="J75" s="7"/>
      <c r="K75" s="232"/>
      <c r="L75" s="233"/>
      <c r="M75" s="7"/>
    </row>
    <row r="76" spans="4:13" ht="12.75">
      <c r="D76" s="230"/>
      <c r="E76" s="231"/>
      <c r="F76" s="231"/>
      <c r="G76" s="232"/>
      <c r="H76" s="7"/>
      <c r="I76" s="231"/>
      <c r="J76" s="7"/>
      <c r="K76" s="232"/>
      <c r="L76" s="233"/>
      <c r="M76" s="7"/>
    </row>
    <row r="77" spans="4:13" ht="12.75">
      <c r="D77" s="230"/>
      <c r="E77" s="231"/>
      <c r="F77" s="231"/>
      <c r="G77" s="232"/>
      <c r="H77" s="7"/>
      <c r="I77" s="231"/>
      <c r="J77" s="7"/>
      <c r="K77" s="232"/>
      <c r="L77" s="233"/>
      <c r="M77" s="7"/>
    </row>
    <row r="78" spans="4:13" ht="12.75">
      <c r="D78" s="230"/>
      <c r="E78" s="231"/>
      <c r="F78" s="231"/>
      <c r="G78" s="232"/>
      <c r="H78" s="7"/>
      <c r="I78" s="231"/>
      <c r="J78" s="7"/>
      <c r="K78" s="232"/>
      <c r="L78" s="233"/>
      <c r="M78" s="7"/>
    </row>
    <row r="79" spans="4:13" ht="12.75">
      <c r="D79" s="230"/>
      <c r="E79" s="231"/>
      <c r="F79" s="231"/>
      <c r="G79" s="232"/>
      <c r="H79" s="7"/>
      <c r="I79" s="231"/>
      <c r="J79" s="7"/>
      <c r="K79" s="232"/>
      <c r="L79" s="233"/>
      <c r="M79" s="7"/>
    </row>
    <row r="80" spans="4:13" ht="12.75">
      <c r="D80" s="230"/>
      <c r="E80" s="231"/>
      <c r="F80" s="231"/>
      <c r="G80" s="232"/>
      <c r="H80" s="7"/>
      <c r="I80" s="231"/>
      <c r="J80" s="7"/>
      <c r="K80" s="232"/>
      <c r="L80" s="233"/>
      <c r="M80" s="7"/>
    </row>
    <row r="81" spans="4:13" ht="12.75">
      <c r="D81" s="230"/>
      <c r="E81" s="231"/>
      <c r="F81" s="231"/>
      <c r="G81" s="232"/>
      <c r="H81" s="7"/>
      <c r="I81" s="231"/>
      <c r="J81" s="7"/>
      <c r="K81" s="232"/>
      <c r="L81" s="233"/>
      <c r="M81" s="7"/>
    </row>
    <row r="82" spans="4:13" ht="12.75">
      <c r="D82" s="230"/>
      <c r="E82" s="231"/>
      <c r="F82" s="231"/>
      <c r="G82" s="232"/>
      <c r="H82" s="7"/>
      <c r="I82" s="231"/>
      <c r="J82" s="7"/>
      <c r="K82" s="232"/>
      <c r="L82" s="233"/>
      <c r="M82" s="7"/>
    </row>
    <row r="83" spans="4:13" ht="12.75">
      <c r="D83" s="230"/>
      <c r="E83" s="231"/>
      <c r="F83" s="231"/>
      <c r="G83" s="232"/>
      <c r="H83" s="7"/>
      <c r="I83" s="231"/>
      <c r="J83" s="7"/>
      <c r="K83" s="232"/>
      <c r="L83" s="233"/>
      <c r="M83" s="7"/>
    </row>
    <row r="84" spans="4:13" ht="12.75">
      <c r="D84" s="230"/>
      <c r="E84" s="231"/>
      <c r="F84" s="231"/>
      <c r="G84" s="232"/>
      <c r="H84" s="7"/>
      <c r="I84" s="231"/>
      <c r="J84" s="7"/>
      <c r="K84" s="232"/>
      <c r="L84" s="233"/>
      <c r="M84" s="7"/>
    </row>
    <row r="85" spans="4:13" ht="12.75">
      <c r="D85" s="230"/>
      <c r="E85" s="231"/>
      <c r="F85" s="231"/>
      <c r="G85" s="232"/>
      <c r="H85" s="7"/>
      <c r="I85" s="231"/>
      <c r="J85" s="7"/>
      <c r="K85" s="232"/>
      <c r="L85" s="233"/>
      <c r="M85" s="7"/>
    </row>
    <row r="86" spans="4:13" ht="12.75">
      <c r="D86" s="230"/>
      <c r="E86" s="231"/>
      <c r="F86" s="231"/>
      <c r="G86" s="232"/>
      <c r="H86" s="7"/>
      <c r="I86" s="231"/>
      <c r="J86" s="7"/>
      <c r="K86" s="232"/>
      <c r="L86" s="233"/>
      <c r="M86" s="7"/>
    </row>
    <row r="87" spans="4:13" ht="12.75">
      <c r="D87" s="230"/>
      <c r="E87" s="231"/>
      <c r="F87" s="231"/>
      <c r="G87" s="232"/>
      <c r="H87" s="7"/>
      <c r="I87" s="231"/>
      <c r="J87" s="7"/>
      <c r="K87" s="232"/>
      <c r="L87" s="233"/>
      <c r="M87" s="7"/>
    </row>
    <row r="88" spans="4:13" ht="12.75">
      <c r="D88" s="230"/>
      <c r="E88" s="231"/>
      <c r="F88" s="231"/>
      <c r="G88" s="232"/>
      <c r="H88" s="7"/>
      <c r="I88" s="231"/>
      <c r="J88" s="7"/>
      <c r="K88" s="232"/>
      <c r="L88" s="233"/>
      <c r="M88" s="7"/>
    </row>
    <row r="89" spans="4:13" ht="12.75">
      <c r="D89" s="230"/>
      <c r="E89" s="231"/>
      <c r="F89" s="231"/>
      <c r="G89" s="232"/>
      <c r="H89" s="7"/>
      <c r="I89" s="231"/>
      <c r="J89" s="7"/>
      <c r="K89" s="232"/>
      <c r="L89" s="233"/>
      <c r="M89" s="7"/>
    </row>
    <row r="90" spans="4:13" ht="12.75">
      <c r="D90" s="230"/>
      <c r="E90" s="231"/>
      <c r="F90" s="231"/>
      <c r="G90" s="232"/>
      <c r="H90" s="7"/>
      <c r="I90" s="231"/>
      <c r="J90" s="7"/>
      <c r="K90" s="232"/>
      <c r="L90" s="233"/>
      <c r="M90" s="7"/>
    </row>
    <row r="91" spans="4:13" ht="12.75">
      <c r="D91" s="230"/>
      <c r="E91" s="231"/>
      <c r="F91" s="231"/>
      <c r="G91" s="232"/>
      <c r="H91" s="7"/>
      <c r="I91" s="231"/>
      <c r="J91" s="7"/>
      <c r="K91" s="232"/>
      <c r="L91" s="233"/>
      <c r="M91" s="7"/>
    </row>
    <row r="92" spans="4:13" ht="12.75">
      <c r="D92" s="230"/>
      <c r="E92" s="231"/>
      <c r="F92" s="231"/>
      <c r="G92" s="232"/>
      <c r="H92" s="7"/>
      <c r="I92" s="231"/>
      <c r="J92" s="7"/>
      <c r="K92" s="232"/>
      <c r="L92" s="233"/>
      <c r="M92" s="7"/>
    </row>
    <row r="93" spans="4:13" ht="12.75">
      <c r="D93" s="230"/>
      <c r="E93" s="231"/>
      <c r="F93" s="231"/>
      <c r="G93" s="232"/>
      <c r="H93" s="7"/>
      <c r="I93" s="231"/>
      <c r="J93" s="7"/>
      <c r="K93" s="232"/>
      <c r="L93" s="233"/>
      <c r="M93" s="7"/>
    </row>
    <row r="94" spans="4:13" ht="12.75">
      <c r="D94" s="230"/>
      <c r="E94" s="231"/>
      <c r="F94" s="231"/>
      <c r="G94" s="232"/>
      <c r="H94" s="7"/>
      <c r="I94" s="231"/>
      <c r="J94" s="7"/>
      <c r="K94" s="232"/>
      <c r="L94" s="233"/>
      <c r="M94" s="7"/>
    </row>
    <row r="95" spans="4:13" ht="12.75">
      <c r="D95" s="230"/>
      <c r="E95" s="231"/>
      <c r="F95" s="231"/>
      <c r="G95" s="232"/>
      <c r="H95" s="7"/>
      <c r="I95" s="231"/>
      <c r="J95" s="7"/>
      <c r="K95" s="232"/>
      <c r="L95" s="233"/>
      <c r="M95" s="7"/>
    </row>
    <row r="96" spans="4:13" ht="12.75">
      <c r="D96" s="230"/>
      <c r="E96" s="231"/>
      <c r="F96" s="231"/>
      <c r="G96" s="232"/>
      <c r="H96" s="7"/>
      <c r="I96" s="231"/>
      <c r="J96" s="7"/>
      <c r="K96" s="232"/>
      <c r="L96" s="233"/>
      <c r="M96" s="7"/>
    </row>
    <row r="97" spans="4:13" ht="12.75">
      <c r="D97" s="234"/>
      <c r="E97" s="231"/>
      <c r="F97" s="231"/>
      <c r="G97" s="232"/>
      <c r="H97" s="7"/>
      <c r="I97" s="231"/>
      <c r="J97" s="7"/>
      <c r="K97" s="232"/>
      <c r="L97" s="233"/>
      <c r="M97" s="7"/>
    </row>
    <row r="98" spans="4:13" ht="12.75">
      <c r="D98" s="234"/>
      <c r="E98" s="231"/>
      <c r="F98" s="231"/>
      <c r="G98" s="232"/>
      <c r="H98" s="7"/>
      <c r="I98" s="231"/>
      <c r="J98" s="7"/>
      <c r="K98" s="232"/>
      <c r="L98" s="233"/>
      <c r="M98" s="7"/>
    </row>
    <row r="99" spans="4:13" ht="12.75">
      <c r="D99" s="234"/>
      <c r="E99" s="231"/>
      <c r="F99" s="231"/>
      <c r="G99" s="232"/>
      <c r="H99" s="7"/>
      <c r="I99" s="231"/>
      <c r="J99" s="7"/>
      <c r="K99" s="232"/>
      <c r="L99" s="233"/>
      <c r="M99" s="7"/>
    </row>
    <row r="100" spans="4:13" ht="12.75">
      <c r="D100" s="234"/>
      <c r="E100" s="231"/>
      <c r="F100" s="231"/>
      <c r="G100" s="232"/>
      <c r="H100" s="7"/>
      <c r="I100" s="231"/>
      <c r="J100" s="7"/>
      <c r="K100" s="232"/>
      <c r="L100" s="233"/>
      <c r="M100" s="7"/>
    </row>
    <row r="101" spans="4:13" ht="12.75">
      <c r="D101" s="234"/>
      <c r="E101" s="231"/>
      <c r="F101" s="231"/>
      <c r="G101" s="232"/>
      <c r="H101" s="7"/>
      <c r="I101" s="231"/>
      <c r="J101" s="7"/>
      <c r="K101" s="232"/>
      <c r="L101" s="233"/>
      <c r="M101" s="7"/>
    </row>
    <row r="102" spans="4:13" ht="12.75">
      <c r="D102" s="234"/>
      <c r="E102" s="231"/>
      <c r="F102" s="231"/>
      <c r="G102" s="232"/>
      <c r="H102" s="7"/>
      <c r="I102" s="231"/>
      <c r="J102" s="7"/>
      <c r="K102" s="232"/>
      <c r="L102" s="233"/>
      <c r="M102" s="7"/>
    </row>
    <row r="103" spans="4:13" ht="12.75">
      <c r="D103" s="234"/>
      <c r="E103" s="231"/>
      <c r="F103" s="231"/>
      <c r="G103" s="232"/>
      <c r="H103" s="7"/>
      <c r="I103" s="231"/>
      <c r="J103" s="7"/>
      <c r="K103" s="232"/>
      <c r="L103" s="233"/>
      <c r="M103" s="7"/>
    </row>
    <row r="104" spans="4:13" ht="12.75">
      <c r="D104" s="234"/>
      <c r="E104" s="231"/>
      <c r="F104" s="231"/>
      <c r="G104" s="232"/>
      <c r="H104" s="7"/>
      <c r="I104" s="231"/>
      <c r="J104" s="7"/>
      <c r="K104" s="232"/>
      <c r="L104" s="233"/>
      <c r="M104" s="7"/>
    </row>
    <row r="105" spans="4:13" ht="12.75">
      <c r="D105" s="234"/>
      <c r="E105" s="231"/>
      <c r="F105" s="231"/>
      <c r="G105" s="232"/>
      <c r="H105" s="7"/>
      <c r="I105" s="231"/>
      <c r="J105" s="7"/>
      <c r="K105" s="232"/>
      <c r="L105" s="233"/>
      <c r="M105" s="7"/>
    </row>
    <row r="106" spans="4:13" ht="12.75">
      <c r="D106" s="234"/>
      <c r="E106" s="231"/>
      <c r="F106" s="231"/>
      <c r="G106" s="232"/>
      <c r="H106" s="7"/>
      <c r="I106" s="231"/>
      <c r="J106" s="7"/>
      <c r="K106" s="232"/>
      <c r="L106" s="233"/>
      <c r="M106" s="7"/>
    </row>
    <row r="107" spans="4:13" ht="12.75">
      <c r="D107" s="234"/>
      <c r="E107" s="231"/>
      <c r="F107" s="231"/>
      <c r="G107" s="232"/>
      <c r="H107" s="7"/>
      <c r="I107" s="231"/>
      <c r="J107" s="7"/>
      <c r="K107" s="232"/>
      <c r="L107" s="233"/>
      <c r="M107" s="7"/>
    </row>
    <row r="108" spans="4:13" ht="12.75">
      <c r="D108" s="234"/>
      <c r="E108" s="231"/>
      <c r="F108" s="231"/>
      <c r="G108" s="232"/>
      <c r="H108" s="7"/>
      <c r="I108" s="231"/>
      <c r="J108" s="7"/>
      <c r="K108" s="232"/>
      <c r="L108" s="233"/>
      <c r="M108" s="7"/>
    </row>
    <row r="109" spans="4:13" ht="12.75">
      <c r="D109" s="234"/>
      <c r="E109" s="231"/>
      <c r="F109" s="231"/>
      <c r="G109" s="232"/>
      <c r="H109" s="7"/>
      <c r="I109" s="231"/>
      <c r="J109" s="7"/>
      <c r="K109" s="232"/>
      <c r="L109" s="233"/>
      <c r="M109" s="7"/>
    </row>
    <row r="110" spans="4:13" ht="12.75">
      <c r="D110" s="234"/>
      <c r="E110" s="231"/>
      <c r="F110" s="231"/>
      <c r="G110" s="232"/>
      <c r="H110" s="7"/>
      <c r="I110" s="231"/>
      <c r="J110" s="7"/>
      <c r="K110" s="232"/>
      <c r="L110" s="233"/>
      <c r="M110" s="7"/>
    </row>
    <row r="111" spans="4:13" ht="12.75">
      <c r="D111" s="234"/>
      <c r="E111" s="231"/>
      <c r="F111" s="231"/>
      <c r="G111" s="232"/>
      <c r="H111" s="7"/>
      <c r="I111" s="231"/>
      <c r="J111" s="7"/>
      <c r="K111" s="232"/>
      <c r="L111" s="233"/>
      <c r="M111" s="7"/>
    </row>
    <row r="112" spans="4:13" ht="12.75">
      <c r="D112" s="234"/>
      <c r="E112" s="231"/>
      <c r="F112" s="231"/>
      <c r="G112" s="232"/>
      <c r="H112" s="7"/>
      <c r="I112" s="231"/>
      <c r="J112" s="7"/>
      <c r="K112" s="232"/>
      <c r="L112" s="233"/>
      <c r="M112" s="7"/>
    </row>
    <row r="113" spans="4:13" ht="12.75">
      <c r="D113" s="234"/>
      <c r="E113" s="231"/>
      <c r="F113" s="231"/>
      <c r="G113" s="232"/>
      <c r="H113" s="7"/>
      <c r="I113" s="231"/>
      <c r="J113" s="7"/>
      <c r="K113" s="232"/>
      <c r="L113" s="233"/>
      <c r="M113" s="7"/>
    </row>
    <row r="114" spans="4:13" ht="12.75">
      <c r="D114" s="234"/>
      <c r="E114" s="231"/>
      <c r="F114" s="231"/>
      <c r="G114" s="232"/>
      <c r="H114" s="7"/>
      <c r="I114" s="231"/>
      <c r="J114" s="7"/>
      <c r="K114" s="232"/>
      <c r="L114" s="233"/>
      <c r="M114" s="7"/>
    </row>
    <row r="115" spans="4:13" ht="12.75">
      <c r="D115" s="234"/>
      <c r="E115" s="231"/>
      <c r="F115" s="231"/>
      <c r="G115" s="232"/>
      <c r="H115" s="7"/>
      <c r="I115" s="231"/>
      <c r="J115" s="7"/>
      <c r="K115" s="232"/>
      <c r="L115" s="233"/>
      <c r="M115" s="7"/>
    </row>
    <row r="116" spans="4:13" ht="12.75">
      <c r="D116" s="234"/>
      <c r="E116" s="231"/>
      <c r="F116" s="231"/>
      <c r="G116" s="232"/>
      <c r="H116" s="7"/>
      <c r="I116" s="231"/>
      <c r="J116" s="7"/>
      <c r="K116" s="232"/>
      <c r="L116" s="233"/>
      <c r="M116" s="7"/>
    </row>
    <row r="117" spans="4:13" ht="12.75">
      <c r="D117" s="234"/>
      <c r="E117" s="231"/>
      <c r="F117" s="231"/>
      <c r="G117" s="232"/>
      <c r="H117" s="7"/>
      <c r="I117" s="231"/>
      <c r="J117" s="7"/>
      <c r="K117" s="232"/>
      <c r="L117" s="233"/>
      <c r="M117" s="7"/>
    </row>
    <row r="118" spans="4:13" ht="12.75">
      <c r="D118" s="234"/>
      <c r="E118" s="231"/>
      <c r="F118" s="231"/>
      <c r="G118" s="232"/>
      <c r="H118" s="7"/>
      <c r="I118" s="231"/>
      <c r="J118" s="7"/>
      <c r="K118" s="232"/>
      <c r="L118" s="233"/>
      <c r="M118" s="7"/>
    </row>
    <row r="119" spans="4:13" ht="12.75">
      <c r="D119" s="234"/>
      <c r="E119" s="231"/>
      <c r="F119" s="231"/>
      <c r="G119" s="232"/>
      <c r="H119" s="7"/>
      <c r="I119" s="231"/>
      <c r="J119" s="7"/>
      <c r="K119" s="232"/>
      <c r="L119" s="233"/>
      <c r="M119" s="7"/>
    </row>
    <row r="120" ht="15.75">
      <c r="D120" s="235"/>
    </row>
    <row r="121" ht="15.75">
      <c r="D121" s="235"/>
    </row>
    <row r="122" ht="15.75">
      <c r="D122" s="235"/>
    </row>
    <row r="123" ht="15.75">
      <c r="D123" s="235"/>
    </row>
    <row r="124" ht="15.75">
      <c r="D124" s="235"/>
    </row>
  </sheetData>
  <sheetProtection/>
  <mergeCells count="1">
    <mergeCell ref="D8:E8"/>
  </mergeCells>
  <printOptions/>
  <pageMargins left="0" right="0" top="0" bottom="0" header="0" footer="0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8.7109375" style="57" customWidth="1"/>
    <col min="2" max="5" width="10.7109375" style="57" customWidth="1"/>
    <col min="6" max="6" width="9.140625" style="130" customWidth="1"/>
    <col min="7" max="7" width="6.28125" style="130" customWidth="1"/>
    <col min="8" max="8" width="9.140625" style="130" customWidth="1"/>
    <col min="9" max="9" width="9.140625" style="57" customWidth="1"/>
    <col min="10" max="16384" width="9.140625" style="130" customWidth="1"/>
  </cols>
  <sheetData>
    <row r="1" spans="1:9" s="338" customFormat="1" ht="15">
      <c r="A1" s="341" t="s">
        <v>114</v>
      </c>
      <c r="C1" s="135"/>
      <c r="D1" s="135"/>
      <c r="E1" s="135"/>
      <c r="I1" s="135"/>
    </row>
    <row r="2" spans="1:9" s="338" customFormat="1" ht="15">
      <c r="A2" s="341" t="s">
        <v>115</v>
      </c>
      <c r="C2" s="135"/>
      <c r="D2" s="135"/>
      <c r="E2" s="135"/>
      <c r="I2" s="135"/>
    </row>
    <row r="3" spans="1:9" s="338" customFormat="1" ht="15">
      <c r="A3" s="341" t="s">
        <v>116</v>
      </c>
      <c r="C3" s="135"/>
      <c r="D3" s="135"/>
      <c r="E3" s="135"/>
      <c r="I3" s="135"/>
    </row>
    <row r="4" spans="1:9" s="338" customFormat="1" ht="15">
      <c r="A4" s="341" t="s">
        <v>117</v>
      </c>
      <c r="C4" s="135"/>
      <c r="D4" s="135"/>
      <c r="E4" s="135"/>
      <c r="I4" s="135"/>
    </row>
    <row r="5" spans="1:9" s="338" customFormat="1" ht="15">
      <c r="A5" s="341" t="s">
        <v>118</v>
      </c>
      <c r="C5" s="135"/>
      <c r="D5" s="135"/>
      <c r="E5" s="135"/>
      <c r="I5" s="135"/>
    </row>
    <row r="6" spans="1:9" s="338" customFormat="1" ht="15">
      <c r="A6" s="341" t="s">
        <v>122</v>
      </c>
      <c r="C6" s="135"/>
      <c r="D6" s="135"/>
      <c r="E6" s="135"/>
      <c r="I6" s="135"/>
    </row>
    <row r="7" spans="1:9" s="338" customFormat="1" ht="12.75">
      <c r="A7" s="135"/>
      <c r="B7" s="135"/>
      <c r="C7" s="135"/>
      <c r="D7" s="135"/>
      <c r="E7" s="135"/>
      <c r="I7" s="135"/>
    </row>
    <row r="8" spans="1:5" ht="15.75">
      <c r="A8" s="318" t="s">
        <v>110</v>
      </c>
      <c r="B8" s="1"/>
      <c r="D8" s="345"/>
      <c r="E8" s="345"/>
    </row>
    <row r="9" spans="2:5" ht="19.5">
      <c r="B9" s="15"/>
      <c r="C9" s="236"/>
      <c r="D9" s="236"/>
      <c r="E9" s="236"/>
    </row>
    <row r="10" ht="15.75">
      <c r="E10" s="237"/>
    </row>
    <row r="11" spans="1:4" ht="15.75">
      <c r="A11" s="217" t="s">
        <v>91</v>
      </c>
      <c r="B11" s="238"/>
      <c r="C11" s="238"/>
      <c r="D11" s="238"/>
    </row>
    <row r="12" spans="1:4" ht="15.75">
      <c r="A12" s="217"/>
      <c r="B12" s="238"/>
      <c r="C12" s="238"/>
      <c r="D12" s="238"/>
    </row>
    <row r="13" spans="1:6" ht="15.75">
      <c r="A13" s="217" t="s">
        <v>85</v>
      </c>
      <c r="B13" s="239" t="s">
        <v>111</v>
      </c>
      <c r="C13" s="240"/>
      <c r="D13" s="238"/>
      <c r="F13" s="57"/>
    </row>
    <row r="14" spans="1:4" ht="15.75">
      <c r="A14" s="217"/>
      <c r="B14" s="238"/>
      <c r="C14" s="238"/>
      <c r="D14" s="238"/>
    </row>
    <row r="15" spans="1:4" ht="15.75">
      <c r="A15" s="217"/>
      <c r="B15" s="238"/>
      <c r="C15" s="238"/>
      <c r="D15" s="238"/>
    </row>
    <row r="17" spans="1:5" ht="70.5" customHeight="1">
      <c r="A17" s="241" t="s">
        <v>26</v>
      </c>
      <c r="B17" s="242" t="s">
        <v>31</v>
      </c>
      <c r="C17" s="242" t="s">
        <v>32</v>
      </c>
      <c r="D17" s="242" t="s">
        <v>33</v>
      </c>
      <c r="E17" s="242" t="s">
        <v>34</v>
      </c>
    </row>
    <row r="18" spans="1:9" ht="12.75">
      <c r="A18" s="122">
        <f>'O&amp;M escalators-input '!$B15</f>
        <v>2014</v>
      </c>
      <c r="B18" s="243">
        <v>496.71580078124987</v>
      </c>
      <c r="C18" s="243">
        <v>369.99808093749994</v>
      </c>
      <c r="D18" s="243">
        <v>0</v>
      </c>
      <c r="E18" s="243">
        <v>0</v>
      </c>
      <c r="I18" s="244"/>
    </row>
    <row r="19" spans="1:9" ht="12.75">
      <c r="A19" s="122">
        <f>'O&amp;M escalators-input '!$B16</f>
        <v>2015</v>
      </c>
      <c r="B19" s="243">
        <v>509.1336958007811</v>
      </c>
      <c r="C19" s="243">
        <v>246.19442712499992</v>
      </c>
      <c r="D19" s="243">
        <v>0</v>
      </c>
      <c r="E19" s="243">
        <v>0</v>
      </c>
      <c r="G19" s="245"/>
      <c r="I19" s="244"/>
    </row>
    <row r="20" spans="1:9" ht="12.75">
      <c r="A20" s="122">
        <f>'O&amp;M escalators-input '!$B17</f>
        <v>2016</v>
      </c>
      <c r="B20" s="243">
        <v>521.8620381958006</v>
      </c>
      <c r="C20" s="243">
        <v>57.98467091064451</v>
      </c>
      <c r="D20" s="243">
        <v>0</v>
      </c>
      <c r="E20" s="243">
        <v>0</v>
      </c>
      <c r="I20" s="244"/>
    </row>
    <row r="21" spans="1:9" ht="12.75">
      <c r="A21" s="122">
        <f>'O&amp;M escalators-input '!$B18</f>
        <v>2017</v>
      </c>
      <c r="B21" s="243">
        <v>534.9085891506957</v>
      </c>
      <c r="C21" s="243">
        <v>59.43428768341062</v>
      </c>
      <c r="D21" s="243">
        <v>0</v>
      </c>
      <c r="E21" s="243">
        <v>0</v>
      </c>
      <c r="I21" s="244"/>
    </row>
    <row r="22" spans="1:9" ht="12.75">
      <c r="A22" s="122">
        <f>'O&amp;M escalators-input '!$B19</f>
        <v>2018</v>
      </c>
      <c r="B22" s="243">
        <v>548.2813038794629</v>
      </c>
      <c r="C22" s="243">
        <v>60.920144875495886</v>
      </c>
      <c r="D22" s="243">
        <v>0</v>
      </c>
      <c r="E22" s="243">
        <v>0</v>
      </c>
      <c r="I22" s="244"/>
    </row>
    <row r="23" spans="1:9" ht="12.75">
      <c r="A23" s="122">
        <f>'O&amp;M escalators-input '!$B20</f>
        <v>2019</v>
      </c>
      <c r="B23" s="243">
        <v>561.9883364764495</v>
      </c>
      <c r="C23" s="243">
        <v>62.44314849738327</v>
      </c>
      <c r="D23" s="243">
        <v>0</v>
      </c>
      <c r="E23" s="243">
        <v>0</v>
      </c>
      <c r="I23" s="244"/>
    </row>
    <row r="24" spans="1:9" ht="12.75">
      <c r="A24" s="122">
        <f>'O&amp;M escalators-input '!$B21</f>
        <v>2020</v>
      </c>
      <c r="B24" s="243">
        <v>576.0380448883607</v>
      </c>
      <c r="C24" s="243">
        <v>64.00422720981786</v>
      </c>
      <c r="D24" s="243">
        <v>0</v>
      </c>
      <c r="E24" s="243">
        <v>0</v>
      </c>
      <c r="I24" s="244"/>
    </row>
    <row r="25" spans="1:9" ht="12.75">
      <c r="A25" s="122">
        <f>'O&amp;M escalators-input '!$B22</f>
        <v>2021</v>
      </c>
      <c r="B25" s="243">
        <v>590.4389960105697</v>
      </c>
      <c r="C25" s="243">
        <v>65.6043328900633</v>
      </c>
      <c r="D25" s="243">
        <v>0</v>
      </c>
      <c r="E25" s="243">
        <v>0</v>
      </c>
      <c r="I25" s="244"/>
    </row>
    <row r="26" spans="1:9" ht="12.75">
      <c r="A26" s="122">
        <f>'O&amp;M escalators-input '!$B23</f>
        <v>2022</v>
      </c>
      <c r="B26" s="243">
        <v>605.1999709108339</v>
      </c>
      <c r="C26" s="243">
        <v>67.24444121231488</v>
      </c>
      <c r="D26" s="312">
        <v>0</v>
      </c>
      <c r="E26" s="243">
        <v>0</v>
      </c>
      <c r="I26" s="244"/>
    </row>
    <row r="27" spans="1:9" ht="12.75">
      <c r="A27" s="122">
        <f>'O&amp;M escalators-input '!$B24</f>
        <v>2023</v>
      </c>
      <c r="B27" s="243">
        <v>620.3299701836047</v>
      </c>
      <c r="C27" s="243">
        <v>68.92555224262274</v>
      </c>
      <c r="D27" s="243">
        <v>8.505413146739647</v>
      </c>
      <c r="E27" s="243">
        <v>0</v>
      </c>
      <c r="I27" s="244"/>
    </row>
    <row r="28" spans="1:9" ht="12.75">
      <c r="A28" s="122">
        <f>'O&amp;M escalators-input '!$B25</f>
        <v>2024</v>
      </c>
      <c r="B28" s="243">
        <v>635.8382194381948</v>
      </c>
      <c r="C28" s="243">
        <v>70.6486910486883</v>
      </c>
      <c r="D28" s="243">
        <v>9.777778841138462</v>
      </c>
      <c r="E28" s="243">
        <v>0</v>
      </c>
      <c r="I28" s="244"/>
    </row>
    <row r="29" spans="1:9" ht="12.75">
      <c r="A29" s="122">
        <f>'O&amp;M escalators-input '!$B26</f>
        <v>2025</v>
      </c>
      <c r="B29" s="243">
        <v>651.7341749241497</v>
      </c>
      <c r="C29" s="243">
        <v>72.41490832490553</v>
      </c>
      <c r="D29" s="243">
        <v>11.195344827030395</v>
      </c>
      <c r="E29" s="243">
        <v>0</v>
      </c>
      <c r="I29" s="244"/>
    </row>
    <row r="30" spans="1:9" ht="12.75">
      <c r="A30" s="122">
        <f>'O&amp;M escalators-input '!$B27</f>
        <v>2026</v>
      </c>
      <c r="B30" s="243">
        <v>668.0275292972534</v>
      </c>
      <c r="C30" s="243">
        <v>74.22528103302815</v>
      </c>
      <c r="D30" s="243">
        <v>12.766748337680843</v>
      </c>
      <c r="E30" s="243">
        <v>0</v>
      </c>
      <c r="I30" s="244"/>
    </row>
    <row r="31" spans="1:9" ht="12.75">
      <c r="A31" s="122">
        <f>'O&amp;M escalators-input '!$B28</f>
        <v>2027</v>
      </c>
      <c r="B31" s="243">
        <v>684.7282175296847</v>
      </c>
      <c r="C31" s="243">
        <v>76.08091305885385</v>
      </c>
      <c r="D31" s="243">
        <v>14.501022029017543</v>
      </c>
      <c r="E31" s="243">
        <v>0</v>
      </c>
      <c r="I31" s="244"/>
    </row>
    <row r="32" spans="1:9" ht="12.75">
      <c r="A32" s="122">
        <f>'O&amp;M escalators-input '!$B29</f>
        <v>2028</v>
      </c>
      <c r="B32" s="243">
        <v>701.8464229679267</v>
      </c>
      <c r="C32" s="243">
        <v>77.9829358853252</v>
      </c>
      <c r="D32" s="243">
        <v>16.423206297449486</v>
      </c>
      <c r="E32" s="243">
        <v>0</v>
      </c>
      <c r="I32" s="244"/>
    </row>
    <row r="33" spans="1:9" ht="12.75">
      <c r="A33" s="122">
        <f>'O&amp;M escalators-input '!$B30</f>
        <v>2029</v>
      </c>
      <c r="B33" s="243">
        <v>719.392583542125</v>
      </c>
      <c r="C33" s="243">
        <v>79.93250928245833</v>
      </c>
      <c r="D33" s="243">
        <v>18.752166677664725</v>
      </c>
      <c r="E33" s="243">
        <v>0</v>
      </c>
      <c r="I33" s="244"/>
    </row>
    <row r="34" spans="1:9" ht="12.75">
      <c r="A34" s="122">
        <f>'O&amp;M escalators-input '!$B31</f>
        <v>2030</v>
      </c>
      <c r="B34" s="243">
        <v>737.377398130678</v>
      </c>
      <c r="C34" s="243">
        <v>81.93082201451978</v>
      </c>
      <c r="D34" s="243">
        <v>21.367558381386758</v>
      </c>
      <c r="E34" s="243">
        <v>0</v>
      </c>
      <c r="I34" s="244"/>
    </row>
    <row r="35" spans="1:9" ht="12.75">
      <c r="A35" s="122">
        <f>'O&amp;M escalators-input '!$B32</f>
        <v>2031</v>
      </c>
      <c r="B35" s="243">
        <v>755.8118330839449</v>
      </c>
      <c r="C35" s="243">
        <v>83.97909256488276</v>
      </c>
      <c r="D35" s="243">
        <v>24.172877920298436</v>
      </c>
      <c r="E35" s="243">
        <v>0</v>
      </c>
      <c r="I35" s="244"/>
    </row>
    <row r="36" spans="1:9" ht="12.75">
      <c r="A36" s="122">
        <f>'O&amp;M escalators-input '!$B33</f>
        <v>2032</v>
      </c>
      <c r="B36" s="243">
        <v>774.7071289110435</v>
      </c>
      <c r="C36" s="243">
        <v>86.07856987900483</v>
      </c>
      <c r="D36" s="243">
        <v>27.262804652045943</v>
      </c>
      <c r="E36" s="243">
        <v>0</v>
      </c>
      <c r="I36" s="244"/>
    </row>
    <row r="37" spans="1:9" ht="12.75">
      <c r="A37" s="122">
        <f>'O&amp;M escalators-input '!$B34</f>
        <v>2033</v>
      </c>
      <c r="B37" s="243">
        <v>794.0748071338196</v>
      </c>
      <c r="C37" s="243">
        <v>88.23053412597996</v>
      </c>
      <c r="D37" s="243">
        <v>30.653758010327373</v>
      </c>
      <c r="E37" s="243">
        <v>0</v>
      </c>
      <c r="I37" s="244"/>
    </row>
    <row r="38" spans="1:9" ht="12.75">
      <c r="A38" s="122">
        <f>'O&amp;M escalators-input '!$B35</f>
        <v>2034</v>
      </c>
      <c r="B38" s="243">
        <v>813.926677312165</v>
      </c>
      <c r="C38" s="243">
        <v>90.43629747912945</v>
      </c>
      <c r="D38" s="243">
        <v>34.36289908057032</v>
      </c>
      <c r="E38" s="243">
        <v>0</v>
      </c>
      <c r="I38" s="244"/>
    </row>
    <row r="39" spans="1:9" ht="12.75">
      <c r="A39" s="122">
        <f>'O&amp;M escalators-input '!$B36</f>
        <v>2035</v>
      </c>
      <c r="B39" s="243">
        <v>834.274844244969</v>
      </c>
      <c r="C39" s="243">
        <v>92.69720491610767</v>
      </c>
      <c r="D39" s="243">
        <v>38.40815988500178</v>
      </c>
      <c r="E39" s="243">
        <v>0</v>
      </c>
      <c r="I39" s="244"/>
    </row>
    <row r="40" spans="1:9" ht="12.75">
      <c r="A40" s="122">
        <f>'O&amp;M escalators-input '!$B37</f>
        <v>2036</v>
      </c>
      <c r="B40" s="243">
        <v>855.1317153510931</v>
      </c>
      <c r="C40" s="243">
        <v>95.01463503901036</v>
      </c>
      <c r="D40" s="243">
        <v>42.808273729092775</v>
      </c>
      <c r="E40" s="243">
        <v>0</v>
      </c>
      <c r="I40" s="244"/>
    </row>
    <row r="41" spans="1:9" ht="12.75">
      <c r="A41" s="122">
        <f>'O&amp;M escalators-input '!$B38</f>
        <v>2037</v>
      </c>
      <c r="B41" s="243">
        <v>876.5100082348705</v>
      </c>
      <c r="C41" s="243">
        <v>97.3900009149856</v>
      </c>
      <c r="D41" s="243">
        <v>47.582806646994236</v>
      </c>
      <c r="E41" s="243">
        <v>0</v>
      </c>
      <c r="I41" s="244"/>
    </row>
    <row r="42" spans="1:9" ht="12.75">
      <c r="A42" s="122">
        <f>'O&amp;M escalators-input '!$B39</f>
        <v>2038</v>
      </c>
      <c r="B42" s="243">
        <v>898.4227584407422</v>
      </c>
      <c r="C42" s="243">
        <v>99.82475093786024</v>
      </c>
      <c r="D42" s="243">
        <v>52.7521899836311</v>
      </c>
      <c r="E42" s="243">
        <v>0</v>
      </c>
      <c r="I42" s="244"/>
    </row>
    <row r="43" spans="1:9" ht="12.75">
      <c r="A43" s="122">
        <f>'O&amp;M escalators-input '!$B40</f>
        <v>2039</v>
      </c>
      <c r="B43" s="243">
        <v>920.8833274017608</v>
      </c>
      <c r="C43" s="243">
        <v>102.32036971130675</v>
      </c>
      <c r="D43" s="243">
        <v>58.3377541501667</v>
      </c>
      <c r="E43" s="243">
        <v>0</v>
      </c>
      <c r="I43" s="244"/>
    </row>
    <row r="44" spans="1:9" ht="12.75">
      <c r="A44" s="122">
        <f>'O&amp;M escalators-input '!$B41</f>
        <v>2040</v>
      </c>
      <c r="B44" s="243">
        <v>943.9054105868046</v>
      </c>
      <c r="C44" s="243">
        <v>104.8783789540894</v>
      </c>
      <c r="D44" s="243">
        <v>64.36176359656316</v>
      </c>
      <c r="E44" s="243">
        <v>0</v>
      </c>
      <c r="I44" s="244"/>
    </row>
    <row r="45" spans="1:9" ht="12.75">
      <c r="A45" s="122">
        <f>'O&amp;M escalators-input '!$B42</f>
        <v>2041</v>
      </c>
      <c r="B45" s="243">
        <v>967.503045851475</v>
      </c>
      <c r="C45" s="243">
        <v>107.50033842794167</v>
      </c>
      <c r="D45" s="243">
        <v>70.84745303896636</v>
      </c>
      <c r="E45" s="243">
        <v>0</v>
      </c>
      <c r="I45" s="244"/>
    </row>
    <row r="46" spans="1:9" ht="12.75">
      <c r="A46" s="122">
        <f>'O&amp;M escalators-input '!$B43</f>
        <v>2042</v>
      </c>
      <c r="B46" s="243">
        <v>991.6906219977617</v>
      </c>
      <c r="C46" s="243">
        <v>110.18784688864018</v>
      </c>
      <c r="D46" s="243">
        <v>77.81906498658091</v>
      </c>
      <c r="E46" s="243">
        <v>0</v>
      </c>
      <c r="I46" s="244"/>
    </row>
    <row r="47" spans="1:9" ht="12.75">
      <c r="A47" s="122">
        <f>'O&amp;M escalators-input '!$B44</f>
        <v>2043</v>
      </c>
      <c r="B47" s="243">
        <v>1016.4828875477057</v>
      </c>
      <c r="C47" s="243">
        <v>112.94254306085618</v>
      </c>
      <c r="D47" s="243">
        <v>85.3018886124781</v>
      </c>
      <c r="E47" s="243">
        <v>0</v>
      </c>
      <c r="I47" s="244"/>
    </row>
    <row r="48" spans="1:9" ht="12.75">
      <c r="A48" s="122">
        <f>'O&amp;M escalators-input '!$B45</f>
        <v>2044</v>
      </c>
      <c r="B48" s="243">
        <v>1041.8949597363983</v>
      </c>
      <c r="C48" s="243">
        <v>115.76610663737759</v>
      </c>
      <c r="D48" s="243">
        <v>93.32230001137894</v>
      </c>
      <c r="E48" s="243">
        <v>0</v>
      </c>
      <c r="I48" s="244"/>
    </row>
    <row r="49" spans="1:9" ht="12.75">
      <c r="A49" s="122">
        <f>'O&amp;M escalators-input '!$B46</f>
        <v>2045</v>
      </c>
      <c r="B49" s="243">
        <v>1067.942333729808</v>
      </c>
      <c r="C49" s="243">
        <v>118.66025930331202</v>
      </c>
      <c r="D49" s="243">
        <v>101.9078038949196</v>
      </c>
      <c r="E49" s="243">
        <v>0</v>
      </c>
      <c r="I49" s="244"/>
    </row>
    <row r="50" spans="1:9" ht="12.75">
      <c r="A50" s="122">
        <f>'O&amp;M escalators-input '!$B47</f>
        <v>2046</v>
      </c>
      <c r="B50" s="243">
        <v>1094.6408920730535</v>
      </c>
      <c r="C50" s="243">
        <v>121.62676578589482</v>
      </c>
      <c r="D50" s="243">
        <v>111.08707677001394</v>
      </c>
      <c r="E50" s="243">
        <v>0</v>
      </c>
      <c r="I50" s="244"/>
    </row>
    <row r="51" spans="1:9" ht="12.75">
      <c r="A51" s="122">
        <f>'O&amp;M escalators-input '!$B48</f>
        <v>2047</v>
      </c>
      <c r="B51" s="243">
        <v>1122.0069143748797</v>
      </c>
      <c r="C51" s="243">
        <v>124.66743493054217</v>
      </c>
      <c r="D51" s="243">
        <v>120.89001165211192</v>
      </c>
      <c r="E51" s="243">
        <v>0</v>
      </c>
      <c r="I51" s="244"/>
    </row>
    <row r="52" spans="1:9" ht="12.75">
      <c r="A52" s="122">
        <f>'O&amp;M escalators-input '!$B49</f>
        <v>2048</v>
      </c>
      <c r="B52" s="243">
        <v>1150.0570872342514</v>
      </c>
      <c r="C52" s="243">
        <v>127.7841208038057</v>
      </c>
      <c r="D52" s="243">
        <v>131.347764364757</v>
      </c>
      <c r="E52" s="243">
        <v>0</v>
      </c>
      <c r="I52" s="244"/>
    </row>
    <row r="53" spans="1:9" ht="12.75">
      <c r="A53" s="122">
        <f>'O&amp;M escalators-input '!$B50</f>
        <v>2049</v>
      </c>
      <c r="B53" s="243">
        <v>1178.8085144151078</v>
      </c>
      <c r="C53" s="243">
        <v>130.97872382390085</v>
      </c>
      <c r="D53" s="243">
        <v>142.49280147783466</v>
      </c>
      <c r="E53" s="243">
        <v>0</v>
      </c>
      <c r="I53" s="244"/>
    </row>
    <row r="54" spans="1:9" ht="12.75">
      <c r="A54" s="122">
        <f>'O&amp;M escalators-input '!$B51</f>
        <v>2050</v>
      </c>
      <c r="B54" s="243">
        <v>1208.2787272754852</v>
      </c>
      <c r="C54" s="243">
        <v>134.25319191949836</v>
      </c>
      <c r="D54" s="243">
        <v>154.35894994139494</v>
      </c>
      <c r="E54" s="243">
        <v>0</v>
      </c>
      <c r="I54" s="244"/>
    </row>
    <row r="55" spans="1:9" ht="12.75">
      <c r="A55" s="122">
        <f>'O&amp;M escalators-input '!$B52</f>
        <v>2051</v>
      </c>
      <c r="B55" s="243">
        <v>1238.4856954573725</v>
      </c>
      <c r="C55" s="243">
        <v>137.60952171748582</v>
      </c>
      <c r="D55" s="243">
        <v>166.9814484710354</v>
      </c>
      <c r="E55" s="243">
        <v>0</v>
      </c>
      <c r="I55" s="244"/>
    </row>
    <row r="56" spans="1:9" ht="12.75">
      <c r="A56" s="122">
        <f>'O&amp;M escalators-input '!$B53</f>
        <v>2052</v>
      </c>
      <c r="B56" s="243">
        <v>1269.4478378438066</v>
      </c>
      <c r="C56" s="243">
        <v>141.04975976042294</v>
      </c>
      <c r="D56" s="243">
        <v>180.3970007431196</v>
      </c>
      <c r="E56" s="243">
        <v>0</v>
      </c>
      <c r="I56" s="244"/>
    </row>
    <row r="57" spans="1:9" ht="12.75">
      <c r="A57" s="122">
        <f>'O&amp;M escalators-input '!$B54</f>
        <v>2053</v>
      </c>
      <c r="B57" s="243">
        <v>1301.1840337899018</v>
      </c>
      <c r="C57" s="243">
        <v>144.57600375443354</v>
      </c>
      <c r="D57" s="243">
        <v>194.64383046260141</v>
      </c>
      <c r="E57" s="243">
        <v>0</v>
      </c>
      <c r="I57" s="244"/>
    </row>
    <row r="58" spans="1:9" ht="12.75">
      <c r="A58" s="122">
        <f>'O&amp;M escalators-input '!$B55</f>
        <v>2054</v>
      </c>
      <c r="B58" s="243">
        <v>1333.713634634649</v>
      </c>
      <c r="C58" s="243">
        <v>148.19040384829435</v>
      </c>
      <c r="D58" s="243">
        <v>209.761738362399</v>
      </c>
      <c r="E58" s="243">
        <v>0</v>
      </c>
      <c r="I58" s="244"/>
    </row>
    <row r="59" spans="1:9" ht="12.75">
      <c r="A59" s="122">
        <f>'O&amp;M escalators-input '!$B56</f>
        <v>2055</v>
      </c>
      <c r="B59" s="243">
        <v>1367.0564755005155</v>
      </c>
      <c r="C59" s="243">
        <v>151.89516394450172</v>
      </c>
      <c r="D59" s="243">
        <v>225.79216120353715</v>
      </c>
      <c r="E59" s="243">
        <v>0</v>
      </c>
      <c r="I59" s="244"/>
    </row>
    <row r="60" spans="1:9" ht="12.75">
      <c r="A60" s="122">
        <f>'O&amp;M escalators-input '!$B57</f>
        <v>2056</v>
      </c>
      <c r="B60" s="243">
        <v>1401.2328873880278</v>
      </c>
      <c r="C60" s="243">
        <v>155.69254304311423</v>
      </c>
      <c r="D60" s="243">
        <v>242.77823283915515</v>
      </c>
      <c r="E60" s="243">
        <v>0</v>
      </c>
      <c r="I60" s="244"/>
    </row>
    <row r="61" spans="1:9" ht="12.75">
      <c r="A61" s="122">
        <f>'O&amp;M escalators-input '!$B58</f>
        <v>2057</v>
      </c>
      <c r="B61" s="243">
        <v>1436.2637095727289</v>
      </c>
      <c r="C61" s="243">
        <v>159.5848566191921</v>
      </c>
      <c r="D61" s="243">
        <v>260.76484741280234</v>
      </c>
      <c r="E61" s="243">
        <v>0</v>
      </c>
      <c r="I61" s="244"/>
    </row>
    <row r="62" spans="1:9" ht="12.75">
      <c r="A62" s="122">
        <f>'O&amp;M escalators-input '!$B59</f>
        <v>2058</v>
      </c>
      <c r="B62" s="243">
        <v>1472.170302312047</v>
      </c>
      <c r="C62" s="243">
        <v>163.5744780346719</v>
      </c>
      <c r="D62" s="243">
        <v>279.7987247636993</v>
      </c>
      <c r="E62" s="243">
        <v>0</v>
      </c>
      <c r="I62" s="244"/>
    </row>
    <row r="63" spans="1:9" ht="12.75">
      <c r="A63" s="122">
        <f>'O&amp;M escalators-input '!$B60</f>
        <v>2059</v>
      </c>
      <c r="B63" s="243">
        <v>1508.974559869848</v>
      </c>
      <c r="C63" s="243">
        <v>167.66383998553866</v>
      </c>
      <c r="D63" s="243">
        <v>299.92847810731195</v>
      </c>
      <c r="E63" s="243">
        <v>0</v>
      </c>
      <c r="I63" s="244"/>
    </row>
    <row r="64" spans="1:9" ht="12.75">
      <c r="A64" s="122">
        <f>'O&amp;M escalators-input '!$B61</f>
        <v>2060</v>
      </c>
      <c r="B64" s="243">
        <v>1546.6989238665942</v>
      </c>
      <c r="C64" s="243">
        <v>171.85543598517714</v>
      </c>
      <c r="D64" s="243">
        <v>321.2046840738019</v>
      </c>
      <c r="E64" s="243">
        <v>0</v>
      </c>
      <c r="I64" s="244"/>
    </row>
    <row r="65" spans="1:9" ht="12.75">
      <c r="A65" s="122">
        <f>'O&amp;M escalators-input '!$B62</f>
        <v>2061</v>
      </c>
      <c r="B65" s="243">
        <v>1585.3663969632591</v>
      </c>
      <c r="C65" s="243">
        <v>176.1518218848066</v>
      </c>
      <c r="D65" s="243">
        <v>343.67995517754264</v>
      </c>
      <c r="E65" s="243">
        <v>0</v>
      </c>
      <c r="I65" s="244"/>
    </row>
    <row r="66" spans="1:9" ht="12.75">
      <c r="A66" s="122">
        <f>'O&amp;M escalators-input '!$B63</f>
        <v>2062</v>
      </c>
      <c r="B66" s="243">
        <v>1625.0005568873405</v>
      </c>
      <c r="C66" s="243">
        <v>180.55561743192672</v>
      </c>
      <c r="D66" s="243">
        <v>367.4090147997958</v>
      </c>
      <c r="E66" s="243">
        <v>0</v>
      </c>
      <c r="I66" s="244"/>
    </row>
    <row r="67" spans="1:9" ht="12.75">
      <c r="A67" s="122">
        <f>'O&amp;M escalators-input '!$B64</f>
        <v>2063</v>
      </c>
      <c r="B67" s="243">
        <v>1665.6255708095239</v>
      </c>
      <c r="C67" s="243">
        <v>185.06950786772487</v>
      </c>
      <c r="D67" s="243">
        <v>376.5942401697906</v>
      </c>
      <c r="E67" s="243">
        <v>0</v>
      </c>
      <c r="I67" s="244"/>
    </row>
  </sheetData>
  <sheetProtection/>
  <mergeCells count="1">
    <mergeCell ref="D8:E8"/>
  </mergeCells>
  <printOptions/>
  <pageMargins left="0" right="0" top="0" bottom="0" header="0" footer="0"/>
  <pageSetup fitToHeight="1" fitToWidth="1"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9"/>
  <sheetViews>
    <sheetView zoomScale="115" zoomScaleNormal="115" zoomScalePageLayoutView="0" workbookViewId="0" topLeftCell="A1">
      <selection activeCell="B7" sqref="B7"/>
    </sheetView>
  </sheetViews>
  <sheetFormatPr defaultColWidth="9.140625" defaultRowHeight="12.75"/>
  <cols>
    <col min="1" max="1" width="4.8515625" style="71" customWidth="1"/>
    <col min="2" max="2" width="8.28125" style="71" customWidth="1"/>
    <col min="3" max="3" width="12.7109375" style="71" customWidth="1"/>
    <col min="4" max="4" width="14.140625" style="71" customWidth="1"/>
    <col min="5" max="5" width="9.140625" style="246" bestFit="1" customWidth="1"/>
    <col min="6" max="6" width="2.7109375" style="246" customWidth="1"/>
    <col min="7" max="7" width="9.140625" style="71" customWidth="1"/>
    <col min="8" max="8" width="12.7109375" style="71" customWidth="1"/>
    <col min="9" max="16384" width="9.140625" style="71" customWidth="1"/>
  </cols>
  <sheetData>
    <row r="1" spans="2:6" s="336" customFormat="1" ht="15">
      <c r="B1" s="341" t="s">
        <v>114</v>
      </c>
      <c r="E1" s="337"/>
      <c r="F1" s="337"/>
    </row>
    <row r="2" spans="2:6" s="336" customFormat="1" ht="15">
      <c r="B2" s="341" t="s">
        <v>115</v>
      </c>
      <c r="E2" s="337"/>
      <c r="F2" s="337"/>
    </row>
    <row r="3" spans="2:6" s="336" customFormat="1" ht="15">
      <c r="B3" s="341" t="s">
        <v>116</v>
      </c>
      <c r="E3" s="337"/>
      <c r="F3" s="337"/>
    </row>
    <row r="4" spans="2:6" s="336" customFormat="1" ht="15">
      <c r="B4" s="341" t="s">
        <v>117</v>
      </c>
      <c r="E4" s="337"/>
      <c r="F4" s="337"/>
    </row>
    <row r="5" spans="2:6" s="336" customFormat="1" ht="15">
      <c r="B5" s="341" t="s">
        <v>118</v>
      </c>
      <c r="E5" s="337"/>
      <c r="F5" s="337"/>
    </row>
    <row r="6" spans="2:6" s="336" customFormat="1" ht="15">
      <c r="B6" s="341" t="s">
        <v>123</v>
      </c>
      <c r="E6" s="337"/>
      <c r="F6" s="337"/>
    </row>
    <row r="7" spans="5:6" s="336" customFormat="1" ht="12.75">
      <c r="E7" s="337"/>
      <c r="F7" s="337"/>
    </row>
    <row r="8" spans="1:5" ht="15.75">
      <c r="A8" s="318" t="s">
        <v>110</v>
      </c>
      <c r="D8" s="345"/>
      <c r="E8" s="345"/>
    </row>
    <row r="9" spans="1:6" ht="18.75">
      <c r="A9" s="247"/>
      <c r="B9" s="70"/>
      <c r="C9" s="247"/>
      <c r="D9" s="247"/>
      <c r="E9" s="184"/>
      <c r="F9" s="184"/>
    </row>
    <row r="10" spans="1:6" ht="18" customHeight="1">
      <c r="A10" s="189" t="s">
        <v>90</v>
      </c>
      <c r="C10" s="247"/>
      <c r="D10" s="247"/>
      <c r="E10" s="184"/>
      <c r="F10" s="184"/>
    </row>
    <row r="11" spans="1:6" ht="15.75">
      <c r="A11" s="247"/>
      <c r="B11" s="344" t="str">
        <f>'Unit &amp; Fin Data-input'!C13</f>
        <v>Roof Top Solar C/I</v>
      </c>
      <c r="C11" s="344"/>
      <c r="D11" s="344"/>
      <c r="E11" s="248"/>
      <c r="F11" s="248"/>
    </row>
    <row r="12" spans="1:10" s="69" customFormat="1" ht="15">
      <c r="A12" s="249"/>
      <c r="B12" s="347"/>
      <c r="C12" s="348"/>
      <c r="D12" s="349"/>
      <c r="E12" s="267"/>
      <c r="F12" s="268"/>
      <c r="G12" s="350" t="s">
        <v>100</v>
      </c>
      <c r="H12" s="350"/>
      <c r="I12" s="324">
        <v>4300</v>
      </c>
      <c r="J12" s="69" t="s">
        <v>102</v>
      </c>
    </row>
    <row r="13" spans="1:9" ht="12.75">
      <c r="A13" s="247"/>
      <c r="B13" s="250" t="s">
        <v>70</v>
      </c>
      <c r="C13" s="118"/>
      <c r="D13" s="251">
        <f>'Unit &amp; Fin Data-input'!$C$39</f>
        <v>2022</v>
      </c>
      <c r="E13" s="202"/>
      <c r="F13" s="184"/>
      <c r="G13" s="346" t="s">
        <v>101</v>
      </c>
      <c r="H13" s="346"/>
      <c r="I13" s="325">
        <v>26.8</v>
      </c>
    </row>
    <row r="14" spans="1:6" ht="62.25" customHeight="1">
      <c r="A14" s="247"/>
      <c r="B14" s="252" t="s">
        <v>26</v>
      </c>
      <c r="C14" s="253" t="s">
        <v>38</v>
      </c>
      <c r="D14" s="254" t="s">
        <v>88</v>
      </c>
      <c r="E14" s="255"/>
      <c r="F14" s="255"/>
    </row>
    <row r="15" spans="1:6" ht="12.75">
      <c r="A15" s="247"/>
      <c r="B15" s="100">
        <v>2014</v>
      </c>
      <c r="C15" s="256">
        <f>'Levelized Cost'!I17</f>
        <v>0</v>
      </c>
      <c r="D15" s="257">
        <v>0</v>
      </c>
      <c r="E15" s="258"/>
      <c r="F15" s="258"/>
    </row>
    <row r="16" spans="1:6" ht="12.75">
      <c r="A16" s="247"/>
      <c r="B16" s="100">
        <f>B15+1</f>
        <v>2015</v>
      </c>
      <c r="C16" s="256">
        <f>'Levelized Cost'!I18</f>
        <v>0</v>
      </c>
      <c r="D16" s="257">
        <v>0</v>
      </c>
      <c r="E16" s="258"/>
      <c r="F16" s="258"/>
    </row>
    <row r="17" spans="1:10" ht="12.75">
      <c r="A17" s="247"/>
      <c r="B17" s="100">
        <f aca="true" t="shared" si="0" ref="B17:B65">B16+1</f>
        <v>2016</v>
      </c>
      <c r="C17" s="256">
        <f>'Levelized Cost'!I19</f>
        <v>0</v>
      </c>
      <c r="D17" s="257">
        <v>0</v>
      </c>
      <c r="E17" s="258"/>
      <c r="F17" s="258"/>
      <c r="J17" s="329"/>
    </row>
    <row r="18" spans="1:10" ht="12.75">
      <c r="A18" s="247"/>
      <c r="B18" s="100">
        <f t="shared" si="0"/>
        <v>2017</v>
      </c>
      <c r="C18" s="256">
        <f>'Levelized Cost'!I20</f>
        <v>0</v>
      </c>
      <c r="D18" s="257">
        <v>0</v>
      </c>
      <c r="E18" s="258"/>
      <c r="F18" s="258"/>
      <c r="J18" s="329"/>
    </row>
    <row r="19" spans="1:10" ht="12.75">
      <c r="A19" s="247"/>
      <c r="B19" s="100">
        <f t="shared" si="0"/>
        <v>2018</v>
      </c>
      <c r="C19" s="256">
        <f>'Levelized Cost'!I21</f>
        <v>0</v>
      </c>
      <c r="D19" s="257">
        <v>0</v>
      </c>
      <c r="E19" s="258"/>
      <c r="F19" s="258"/>
      <c r="J19" s="329"/>
    </row>
    <row r="20" spans="1:10" ht="12.75">
      <c r="A20" s="247"/>
      <c r="B20" s="100">
        <f t="shared" si="0"/>
        <v>2019</v>
      </c>
      <c r="C20" s="256">
        <f>'Levelized Cost'!I22</f>
        <v>0</v>
      </c>
      <c r="D20" s="257">
        <v>0</v>
      </c>
      <c r="E20" s="258"/>
      <c r="F20" s="258"/>
      <c r="J20" s="329"/>
    </row>
    <row r="21" spans="1:10" ht="12.75">
      <c r="A21" s="247"/>
      <c r="B21" s="100">
        <f t="shared" si="0"/>
        <v>2020</v>
      </c>
      <c r="C21" s="256">
        <f>'Levelized Cost'!I23</f>
        <v>0</v>
      </c>
      <c r="D21" s="257">
        <v>0</v>
      </c>
      <c r="E21" s="258"/>
      <c r="F21" s="258"/>
      <c r="J21" s="329"/>
    </row>
    <row r="22" spans="1:10" ht="12.75">
      <c r="A22" s="247"/>
      <c r="B22" s="100">
        <f t="shared" si="0"/>
        <v>2021</v>
      </c>
      <c r="C22" s="256">
        <f>'Levelized Cost'!I24</f>
        <v>0</v>
      </c>
      <c r="D22" s="257">
        <v>0</v>
      </c>
      <c r="E22" s="258"/>
      <c r="F22" s="258"/>
      <c r="J22" s="329"/>
    </row>
    <row r="23" spans="1:10" ht="12.75">
      <c r="A23" s="247"/>
      <c r="B23" s="100">
        <f t="shared" si="0"/>
        <v>2022</v>
      </c>
      <c r="C23" s="256">
        <f>'Levelized Cost'!I25</f>
        <v>1</v>
      </c>
      <c r="D23" s="257">
        <v>13.713409688471549</v>
      </c>
      <c r="E23" s="258"/>
      <c r="F23" s="258"/>
      <c r="J23" s="329"/>
    </row>
    <row r="24" spans="1:10" ht="12.75">
      <c r="A24" s="247"/>
      <c r="B24" s="100">
        <f t="shared" si="0"/>
        <v>2023</v>
      </c>
      <c r="C24" s="256">
        <f>'Levelized Cost'!I26</f>
        <v>2</v>
      </c>
      <c r="D24" s="257">
        <v>21.56685808906187</v>
      </c>
      <c r="E24" s="258"/>
      <c r="F24" s="258"/>
      <c r="J24" s="329"/>
    </row>
    <row r="25" spans="1:10" ht="12.75">
      <c r="A25" s="247"/>
      <c r="B25" s="100">
        <f t="shared" si="0"/>
        <v>2024</v>
      </c>
      <c r="C25" s="256">
        <f>'Levelized Cost'!I27</f>
        <v>3</v>
      </c>
      <c r="D25" s="257">
        <v>19.524613066630266</v>
      </c>
      <c r="E25" s="258"/>
      <c r="F25" s="258"/>
      <c r="J25" s="329"/>
    </row>
    <row r="26" spans="1:10" ht="12.75">
      <c r="A26" s="247"/>
      <c r="B26" s="100">
        <f t="shared" si="0"/>
        <v>2025</v>
      </c>
      <c r="C26" s="256">
        <f>'Levelized Cost'!I28</f>
        <v>4</v>
      </c>
      <c r="D26" s="257">
        <v>18.097760255279724</v>
      </c>
      <c r="E26" s="258"/>
      <c r="F26" s="258"/>
      <c r="J26" s="329"/>
    </row>
    <row r="27" spans="1:10" ht="12.75">
      <c r="A27" s="247"/>
      <c r="B27" s="100">
        <f t="shared" si="0"/>
        <v>2026</v>
      </c>
      <c r="C27" s="256">
        <f>'Levelized Cost'!I29</f>
        <v>5</v>
      </c>
      <c r="D27" s="257">
        <v>16.901736991742816</v>
      </c>
      <c r="E27" s="258"/>
      <c r="F27" s="258"/>
      <c r="J27" s="329"/>
    </row>
    <row r="28" spans="1:10" ht="12.75">
      <c r="A28" s="247"/>
      <c r="B28" s="100">
        <f t="shared" si="0"/>
        <v>2027</v>
      </c>
      <c r="C28" s="256">
        <f>'Levelized Cost'!I30</f>
        <v>6</v>
      </c>
      <c r="D28" s="257">
        <v>15.878840758852864</v>
      </c>
      <c r="E28" s="258"/>
      <c r="F28" s="258"/>
      <c r="J28" s="329"/>
    </row>
    <row r="29" spans="1:10" ht="12.75">
      <c r="A29" s="247"/>
      <c r="B29" s="100">
        <f t="shared" si="0"/>
        <v>2028</v>
      </c>
      <c r="C29" s="256">
        <f>'Levelized Cost'!I31</f>
        <v>7</v>
      </c>
      <c r="D29" s="257">
        <v>15.202172622726765</v>
      </c>
      <c r="E29" s="258"/>
      <c r="F29" s="258"/>
      <c r="J29" s="329"/>
    </row>
    <row r="30" spans="1:6" ht="12.75">
      <c r="A30" s="247"/>
      <c r="B30" s="100">
        <f t="shared" si="0"/>
        <v>2029</v>
      </c>
      <c r="C30" s="256">
        <f>'Levelized Cost'!I32</f>
        <v>8</v>
      </c>
      <c r="D30" s="257">
        <v>14.69865472204025</v>
      </c>
      <c r="E30" s="258"/>
      <c r="F30" s="258"/>
    </row>
    <row r="31" spans="1:6" ht="12.75">
      <c r="A31" s="247"/>
      <c r="B31" s="100">
        <f t="shared" si="0"/>
        <v>2030</v>
      </c>
      <c r="C31" s="256">
        <f>'Levelized Cost'!I33</f>
        <v>9</v>
      </c>
      <c r="D31" s="257">
        <v>14.195279603271418</v>
      </c>
      <c r="E31" s="258"/>
      <c r="F31" s="258"/>
    </row>
    <row r="32" spans="1:6" ht="12.75">
      <c r="A32" s="247"/>
      <c r="B32" s="100">
        <f t="shared" si="0"/>
        <v>2031</v>
      </c>
      <c r="C32" s="256">
        <f>'Levelized Cost'!I34</f>
        <v>10</v>
      </c>
      <c r="D32" s="257">
        <v>13.691958471866965</v>
      </c>
      <c r="E32" s="258"/>
      <c r="F32" s="258"/>
    </row>
    <row r="33" spans="1:6" ht="12.75">
      <c r="A33" s="247"/>
      <c r="B33" s="100">
        <f t="shared" si="0"/>
        <v>2032</v>
      </c>
      <c r="C33" s="256">
        <f>'Levelized Cost'!I35</f>
        <v>11</v>
      </c>
      <c r="D33" s="257">
        <v>13.188650575703486</v>
      </c>
      <c r="E33" s="258"/>
      <c r="F33" s="258"/>
    </row>
    <row r="34" spans="1:6" ht="12.75">
      <c r="A34" s="247"/>
      <c r="B34" s="100">
        <f t="shared" si="0"/>
        <v>2033</v>
      </c>
      <c r="C34" s="256">
        <f>'Levelized Cost'!I36</f>
        <v>12</v>
      </c>
      <c r="D34" s="257">
        <v>12.685424724235403</v>
      </c>
      <c r="E34" s="258"/>
      <c r="F34" s="258"/>
    </row>
    <row r="35" spans="1:6" ht="12.75">
      <c r="A35" s="247"/>
      <c r="B35" s="100">
        <f t="shared" si="0"/>
        <v>2034</v>
      </c>
      <c r="C35" s="256">
        <f>'Levelized Cost'!I37</f>
        <v>13</v>
      </c>
      <c r="D35" s="257">
        <v>12.182225814704434</v>
      </c>
      <c r="E35" s="258"/>
      <c r="F35" s="258"/>
    </row>
    <row r="36" spans="1:6" ht="12.75">
      <c r="A36" s="247"/>
      <c r="B36" s="100">
        <f t="shared" si="0"/>
        <v>2035</v>
      </c>
      <c r="C36" s="256">
        <f>'Levelized Cost'!I38</f>
        <v>14</v>
      </c>
      <c r="D36" s="257">
        <v>11.679076752931628</v>
      </c>
      <c r="E36" s="258"/>
      <c r="F36" s="258"/>
    </row>
    <row r="37" spans="1:6" ht="12.75">
      <c r="A37" s="247"/>
      <c r="B37" s="100">
        <f t="shared" si="0"/>
        <v>2036</v>
      </c>
      <c r="C37" s="256">
        <f>'Levelized Cost'!I39</f>
        <v>15</v>
      </c>
      <c r="D37" s="257">
        <v>11.176068621752611</v>
      </c>
      <c r="E37" s="258"/>
      <c r="F37" s="258"/>
    </row>
    <row r="38" spans="1:6" ht="12.75">
      <c r="A38" s="247"/>
      <c r="B38" s="100">
        <f t="shared" si="0"/>
        <v>2037</v>
      </c>
      <c r="C38" s="256">
        <f>'Levelized Cost'!I40</f>
        <v>16</v>
      </c>
      <c r="D38" s="257">
        <v>10.673192704996529</v>
      </c>
      <c r="E38" s="258"/>
      <c r="F38" s="258"/>
    </row>
    <row r="39" spans="1:6" ht="12.75">
      <c r="A39" s="247"/>
      <c r="B39" s="100">
        <f t="shared" si="0"/>
        <v>2038</v>
      </c>
      <c r="C39" s="256">
        <f>'Levelized Cost'!I41</f>
        <v>17</v>
      </c>
      <c r="D39" s="257">
        <v>10.17040771009138</v>
      </c>
      <c r="E39" s="258"/>
      <c r="F39" s="258"/>
    </row>
    <row r="40" spans="1:6" ht="12.75">
      <c r="A40" s="247"/>
      <c r="B40" s="100">
        <f t="shared" si="0"/>
        <v>2039</v>
      </c>
      <c r="C40" s="256">
        <f>'Levelized Cost'!I42</f>
        <v>18</v>
      </c>
      <c r="D40" s="257">
        <v>9.667643631696524</v>
      </c>
      <c r="E40" s="258"/>
      <c r="F40" s="258"/>
    </row>
    <row r="41" spans="1:6" ht="12.75">
      <c r="A41" s="247"/>
      <c r="B41" s="100">
        <f t="shared" si="0"/>
        <v>2040</v>
      </c>
      <c r="C41" s="256">
        <f>'Levelized Cost'!I43</f>
        <v>19</v>
      </c>
      <c r="D41" s="257">
        <v>9.16493406961573</v>
      </c>
      <c r="E41" s="258"/>
      <c r="F41" s="258"/>
    </row>
    <row r="42" spans="1:6" ht="12.75">
      <c r="A42" s="247"/>
      <c r="B42" s="100">
        <f t="shared" si="0"/>
        <v>2041</v>
      </c>
      <c r="C42" s="256">
        <f>'Levelized Cost'!I44</f>
        <v>20</v>
      </c>
      <c r="D42" s="257">
        <v>8.662309599440453</v>
      </c>
      <c r="E42" s="258"/>
      <c r="F42" s="258"/>
    </row>
    <row r="43" spans="1:6" ht="12.75">
      <c r="A43" s="247"/>
      <c r="B43" s="100">
        <f t="shared" si="0"/>
        <v>2042</v>
      </c>
      <c r="C43" s="256">
        <f>'Levelized Cost'!I45</f>
        <v>21</v>
      </c>
      <c r="D43" s="257">
        <v>8.159769472257112</v>
      </c>
      <c r="E43" s="258"/>
      <c r="F43" s="258"/>
    </row>
    <row r="44" spans="1:6" ht="12.75">
      <c r="A44" s="247"/>
      <c r="B44" s="100">
        <f t="shared" si="0"/>
        <v>2043</v>
      </c>
      <c r="C44" s="256">
        <f>'Levelized Cost'!I46</f>
        <v>22</v>
      </c>
      <c r="D44" s="257">
        <v>7.6573158708662215</v>
      </c>
      <c r="E44" s="258"/>
      <c r="F44" s="258"/>
    </row>
    <row r="45" spans="1:6" ht="12.75">
      <c r="A45" s="247"/>
      <c r="B45" s="100">
        <f t="shared" si="0"/>
        <v>2044</v>
      </c>
      <c r="C45" s="256">
        <f>'Levelized Cost'!I47</f>
        <v>23</v>
      </c>
      <c r="D45" s="257">
        <v>7.154951034559267</v>
      </c>
      <c r="E45" s="258"/>
      <c r="F45" s="258"/>
    </row>
    <row r="46" spans="1:6" ht="12.75">
      <c r="A46" s="247"/>
      <c r="B46" s="100">
        <f t="shared" si="0"/>
        <v>2045</v>
      </c>
      <c r="C46" s="256">
        <f>'Levelized Cost'!I48</f>
        <v>24</v>
      </c>
      <c r="D46" s="257">
        <v>6.652677260580708</v>
      </c>
      <c r="E46" s="258"/>
      <c r="F46" s="258"/>
    </row>
    <row r="47" spans="1:6" ht="12.75">
      <c r="A47" s="247"/>
      <c r="B47" s="100">
        <f t="shared" si="0"/>
        <v>2046</v>
      </c>
      <c r="C47" s="256">
        <f>'Levelized Cost'!I49</f>
        <v>25</v>
      </c>
      <c r="D47" s="257">
        <v>6.150496905627796</v>
      </c>
      <c r="E47" s="258"/>
      <c r="F47" s="258"/>
    </row>
    <row r="48" spans="1:6" ht="12.75">
      <c r="A48" s="247"/>
      <c r="B48" s="100">
        <f t="shared" si="0"/>
        <v>2047</v>
      </c>
      <c r="C48" s="256">
        <f>'Levelized Cost'!I50</f>
        <v>26</v>
      </c>
      <c r="D48" s="257">
        <v>5.701699132255513</v>
      </c>
      <c r="E48" s="258"/>
      <c r="F48" s="258"/>
    </row>
    <row r="49" spans="1:6" ht="12.75">
      <c r="A49" s="247"/>
      <c r="B49" s="100">
        <f t="shared" si="0"/>
        <v>2048</v>
      </c>
      <c r="C49" s="256">
        <f>'Levelized Cost'!I51</f>
        <v>27</v>
      </c>
      <c r="D49" s="257">
        <v>5.291061636474923</v>
      </c>
      <c r="E49" s="258"/>
      <c r="F49" s="258"/>
    </row>
    <row r="50" spans="1:6" ht="12.75">
      <c r="A50" s="247"/>
      <c r="B50" s="100">
        <f t="shared" si="0"/>
        <v>2049</v>
      </c>
      <c r="C50" s="256">
        <f>'Levelized Cost'!I52</f>
        <v>28</v>
      </c>
      <c r="D50" s="257">
        <v>4.880525002115025</v>
      </c>
      <c r="E50" s="258"/>
      <c r="F50" s="258"/>
    </row>
    <row r="51" spans="1:6" ht="12.75">
      <c r="A51" s="247"/>
      <c r="B51" s="100">
        <f t="shared" si="0"/>
        <v>2050</v>
      </c>
      <c r="C51" s="256">
        <f>'Levelized Cost'!I53</f>
        <v>29</v>
      </c>
      <c r="D51" s="257">
        <v>4.470091839474025</v>
      </c>
      <c r="E51" s="258"/>
      <c r="F51" s="258"/>
    </row>
    <row r="52" spans="1:6" ht="12.75">
      <c r="A52" s="247"/>
      <c r="B52" s="100">
        <f t="shared" si="0"/>
        <v>2051</v>
      </c>
      <c r="C52" s="256">
        <f>'Levelized Cost'!I54</f>
        <v>30</v>
      </c>
      <c r="D52" s="257">
        <v>4.059764826404778</v>
      </c>
      <c r="E52" s="258"/>
      <c r="F52" s="258"/>
    </row>
    <row r="53" spans="1:6" ht="12.75">
      <c r="A53" s="247"/>
      <c r="B53" s="100">
        <f t="shared" si="0"/>
        <v>2052</v>
      </c>
      <c r="C53" s="256">
        <f>'Levelized Cost'!I55</f>
        <v>31</v>
      </c>
      <c r="D53" s="257">
        <v>1.57102195092414</v>
      </c>
      <c r="E53" s="258"/>
      <c r="F53" s="258"/>
    </row>
    <row r="54" spans="1:6" ht="12.75">
      <c r="A54" s="247"/>
      <c r="B54" s="100">
        <f t="shared" si="0"/>
        <v>2053</v>
      </c>
      <c r="C54" s="256">
        <f>'Levelized Cost'!I56</f>
        <v>0</v>
      </c>
      <c r="D54" s="257">
        <v>0</v>
      </c>
      <c r="E54" s="258"/>
      <c r="F54" s="258"/>
    </row>
    <row r="55" spans="1:6" ht="12.75">
      <c r="A55" s="247"/>
      <c r="B55" s="100">
        <f t="shared" si="0"/>
        <v>2054</v>
      </c>
      <c r="C55" s="256">
        <f>'Levelized Cost'!I57</f>
        <v>0</v>
      </c>
      <c r="D55" s="257">
        <v>0</v>
      </c>
      <c r="E55" s="258"/>
      <c r="F55" s="258"/>
    </row>
    <row r="56" spans="1:6" ht="12.75">
      <c r="A56" s="247"/>
      <c r="B56" s="100">
        <f t="shared" si="0"/>
        <v>2055</v>
      </c>
      <c r="C56" s="256">
        <f>'Levelized Cost'!I58</f>
        <v>0</v>
      </c>
      <c r="D56" s="257">
        <v>0</v>
      </c>
      <c r="E56" s="258"/>
      <c r="F56" s="258"/>
    </row>
    <row r="57" spans="1:6" ht="12.75">
      <c r="A57" s="247"/>
      <c r="B57" s="100">
        <f t="shared" si="0"/>
        <v>2056</v>
      </c>
      <c r="C57" s="256">
        <f>'Levelized Cost'!I59</f>
        <v>0</v>
      </c>
      <c r="D57" s="257">
        <v>0</v>
      </c>
      <c r="E57" s="258"/>
      <c r="F57" s="258"/>
    </row>
    <row r="58" spans="1:6" ht="12.75">
      <c r="A58" s="247"/>
      <c r="B58" s="100">
        <f t="shared" si="0"/>
        <v>2057</v>
      </c>
      <c r="C58" s="256">
        <f>'Levelized Cost'!I60</f>
        <v>0</v>
      </c>
      <c r="D58" s="257">
        <v>0</v>
      </c>
      <c r="E58" s="258"/>
      <c r="F58" s="258"/>
    </row>
    <row r="59" spans="1:6" ht="12.75">
      <c r="A59" s="247"/>
      <c r="B59" s="100">
        <f t="shared" si="0"/>
        <v>2058</v>
      </c>
      <c r="C59" s="256">
        <f>'Levelized Cost'!I61</f>
        <v>0</v>
      </c>
      <c r="D59" s="257">
        <v>0</v>
      </c>
      <c r="E59" s="258"/>
      <c r="F59" s="258"/>
    </row>
    <row r="60" spans="1:6" ht="12.75">
      <c r="A60" s="247"/>
      <c r="B60" s="100">
        <f t="shared" si="0"/>
        <v>2059</v>
      </c>
      <c r="C60" s="256">
        <f>'Levelized Cost'!I62</f>
        <v>0</v>
      </c>
      <c r="D60" s="257">
        <v>0</v>
      </c>
      <c r="E60" s="258"/>
      <c r="F60" s="258"/>
    </row>
    <row r="61" spans="1:6" ht="12.75">
      <c r="A61" s="247"/>
      <c r="B61" s="100">
        <f t="shared" si="0"/>
        <v>2060</v>
      </c>
      <c r="C61" s="256">
        <f>'Levelized Cost'!I63</f>
        <v>0</v>
      </c>
      <c r="D61" s="257">
        <v>0</v>
      </c>
      <c r="E61" s="258"/>
      <c r="F61" s="258"/>
    </row>
    <row r="62" spans="1:6" ht="12.75">
      <c r="A62" s="247"/>
      <c r="B62" s="100">
        <f t="shared" si="0"/>
        <v>2061</v>
      </c>
      <c r="C62" s="256">
        <f>'Levelized Cost'!I64</f>
        <v>0</v>
      </c>
      <c r="D62" s="257">
        <v>0</v>
      </c>
      <c r="E62" s="258"/>
      <c r="F62" s="258"/>
    </row>
    <row r="63" spans="1:6" ht="12.75">
      <c r="A63" s="247"/>
      <c r="B63" s="100">
        <f t="shared" si="0"/>
        <v>2062</v>
      </c>
      <c r="C63" s="256">
        <f>'Levelized Cost'!I65</f>
        <v>0</v>
      </c>
      <c r="D63" s="257">
        <v>0</v>
      </c>
      <c r="E63" s="258"/>
      <c r="F63" s="258"/>
    </row>
    <row r="64" spans="1:6" ht="12.75">
      <c r="A64" s="247"/>
      <c r="B64" s="100">
        <f t="shared" si="0"/>
        <v>2063</v>
      </c>
      <c r="C64" s="256">
        <f>'Levelized Cost'!I66</f>
        <v>0</v>
      </c>
      <c r="D64" s="257">
        <v>0</v>
      </c>
      <c r="E64" s="258"/>
      <c r="F64" s="258"/>
    </row>
    <row r="65" spans="1:7" ht="12.75">
      <c r="A65" s="247"/>
      <c r="B65" s="112">
        <f t="shared" si="0"/>
        <v>2064</v>
      </c>
      <c r="C65" s="270" t="e">
        <f>'Levelized Cost'!#REF!</f>
        <v>#REF!</v>
      </c>
      <c r="D65" s="323">
        <v>0</v>
      </c>
      <c r="E65" s="258"/>
      <c r="F65" s="258"/>
      <c r="G65" s="247"/>
    </row>
    <row r="66" spans="2:6" s="259" customFormat="1" ht="12.75">
      <c r="B66" s="260"/>
      <c r="C66" s="262"/>
      <c r="D66" s="263"/>
      <c r="E66" s="261"/>
      <c r="F66" s="261"/>
    </row>
    <row r="67" s="184" customFormat="1" ht="12.75">
      <c r="B67" s="260"/>
    </row>
    <row r="68" spans="2:3" s="184" customFormat="1" ht="15.75">
      <c r="B68" s="260"/>
      <c r="C68" s="248"/>
    </row>
    <row r="69" spans="2:3" s="184" customFormat="1" ht="15.75">
      <c r="B69" s="260"/>
      <c r="C69" s="248"/>
    </row>
    <row r="70" s="184" customFormat="1" ht="15.75">
      <c r="C70" s="248"/>
    </row>
    <row r="71" s="184" customFormat="1" ht="15.75">
      <c r="C71" s="248"/>
    </row>
    <row r="72" s="184" customFormat="1" ht="15.75">
      <c r="C72" s="248"/>
    </row>
    <row r="73" s="184" customFormat="1" ht="12.75"/>
    <row r="74" spans="2:4" s="184" customFormat="1" ht="12.75">
      <c r="B74" s="185"/>
      <c r="D74" s="264"/>
    </row>
    <row r="75" spans="2:4" s="184" customFormat="1" ht="12.75">
      <c r="B75" s="185"/>
      <c r="D75" s="264"/>
    </row>
    <row r="76" spans="2:4" s="184" customFormat="1" ht="12.75">
      <c r="B76" s="185"/>
      <c r="C76" s="265"/>
      <c r="D76" s="264"/>
    </row>
    <row r="77" spans="2:4" s="184" customFormat="1" ht="12.75">
      <c r="B77" s="185"/>
      <c r="C77" s="265"/>
      <c r="D77" s="264"/>
    </row>
    <row r="78" spans="2:4" s="184" customFormat="1" ht="12.75">
      <c r="B78" s="185"/>
      <c r="C78" s="265"/>
      <c r="D78" s="264"/>
    </row>
    <row r="79" spans="2:4" s="184" customFormat="1" ht="12.75">
      <c r="B79" s="185"/>
      <c r="C79" s="265"/>
      <c r="D79" s="264"/>
    </row>
    <row r="80" spans="2:4" s="184" customFormat="1" ht="12.75">
      <c r="B80" s="185"/>
      <c r="C80" s="265"/>
      <c r="D80" s="264"/>
    </row>
    <row r="81" spans="2:4" s="184" customFormat="1" ht="12.75">
      <c r="B81" s="185"/>
      <c r="C81" s="265"/>
      <c r="D81" s="264"/>
    </row>
    <row r="82" spans="2:4" s="184" customFormat="1" ht="12.75">
      <c r="B82" s="185"/>
      <c r="C82" s="265"/>
      <c r="D82" s="264"/>
    </row>
    <row r="83" spans="2:4" s="184" customFormat="1" ht="12.75">
      <c r="B83" s="185"/>
      <c r="C83" s="265"/>
      <c r="D83" s="264"/>
    </row>
    <row r="84" spans="2:4" s="184" customFormat="1" ht="12.75">
      <c r="B84" s="185"/>
      <c r="C84" s="265"/>
      <c r="D84" s="264"/>
    </row>
    <row r="85" spans="2:4" s="184" customFormat="1" ht="12.75">
      <c r="B85" s="185"/>
      <c r="C85" s="265"/>
      <c r="D85" s="264"/>
    </row>
    <row r="86" spans="2:4" s="184" customFormat="1" ht="12.75">
      <c r="B86" s="185"/>
      <c r="D86" s="264"/>
    </row>
    <row r="87" spans="2:4" s="184" customFormat="1" ht="12.75">
      <c r="B87" s="185"/>
      <c r="D87" s="264"/>
    </row>
    <row r="88" spans="2:4" s="184" customFormat="1" ht="12.75">
      <c r="B88" s="185"/>
      <c r="D88" s="264"/>
    </row>
    <row r="89" spans="2:4" s="184" customFormat="1" ht="12.75">
      <c r="B89" s="185"/>
      <c r="D89" s="264"/>
    </row>
    <row r="90" spans="2:4" s="184" customFormat="1" ht="12.75">
      <c r="B90" s="185"/>
      <c r="D90" s="264"/>
    </row>
    <row r="91" spans="2:4" s="184" customFormat="1" ht="12.75">
      <c r="B91" s="185"/>
      <c r="D91" s="264"/>
    </row>
    <row r="92" spans="2:4" s="184" customFormat="1" ht="12.75">
      <c r="B92" s="185"/>
      <c r="D92" s="264"/>
    </row>
    <row r="93" spans="2:4" s="184" customFormat="1" ht="12.75">
      <c r="B93" s="185"/>
      <c r="D93" s="264"/>
    </row>
    <row r="94" spans="2:4" s="184" customFormat="1" ht="12.75">
      <c r="B94" s="185"/>
      <c r="D94" s="264"/>
    </row>
    <row r="95" spans="2:4" s="184" customFormat="1" ht="12.75">
      <c r="B95" s="185"/>
      <c r="D95" s="264"/>
    </row>
    <row r="96" spans="2:4" s="184" customFormat="1" ht="12.75">
      <c r="B96" s="185"/>
      <c r="D96" s="264"/>
    </row>
    <row r="97" spans="2:4" s="184" customFormat="1" ht="12.75">
      <c r="B97" s="185"/>
      <c r="D97" s="264"/>
    </row>
    <row r="98" spans="2:4" s="184" customFormat="1" ht="12.75">
      <c r="B98" s="185"/>
      <c r="D98" s="264"/>
    </row>
    <row r="99" spans="2:4" s="184" customFormat="1" ht="12.75">
      <c r="B99" s="185"/>
      <c r="D99" s="264"/>
    </row>
    <row r="100" spans="2:4" s="184" customFormat="1" ht="12.75">
      <c r="B100" s="185"/>
      <c r="D100" s="264"/>
    </row>
    <row r="101" spans="2:4" s="184" customFormat="1" ht="12.75">
      <c r="B101" s="185"/>
      <c r="D101" s="264"/>
    </row>
    <row r="102" spans="2:4" s="184" customFormat="1" ht="12.75">
      <c r="B102" s="185"/>
      <c r="D102" s="264"/>
    </row>
    <row r="103" spans="2:4" s="184" customFormat="1" ht="12.75">
      <c r="B103" s="185"/>
      <c r="D103" s="264"/>
    </row>
    <row r="104" spans="2:4" s="184" customFormat="1" ht="12.75">
      <c r="B104" s="185"/>
      <c r="D104" s="264"/>
    </row>
    <row r="105" spans="2:4" s="184" customFormat="1" ht="12.75">
      <c r="B105" s="185"/>
      <c r="D105" s="264"/>
    </row>
    <row r="106" spans="2:4" s="184" customFormat="1" ht="12.75">
      <c r="B106" s="185"/>
      <c r="D106" s="264"/>
    </row>
    <row r="107" spans="2:4" s="184" customFormat="1" ht="12.75">
      <c r="B107" s="185"/>
      <c r="D107" s="264"/>
    </row>
    <row r="108" spans="2:4" s="184" customFormat="1" ht="12.75">
      <c r="B108" s="185"/>
      <c r="D108" s="264"/>
    </row>
    <row r="109" spans="2:4" s="184" customFormat="1" ht="12.75">
      <c r="B109" s="185"/>
      <c r="D109" s="264"/>
    </row>
    <row r="110" spans="2:4" s="184" customFormat="1" ht="12.75">
      <c r="B110" s="185"/>
      <c r="D110" s="264"/>
    </row>
    <row r="111" spans="2:4" s="184" customFormat="1" ht="12.75">
      <c r="B111" s="185"/>
      <c r="D111" s="264"/>
    </row>
    <row r="112" spans="2:4" s="184" customFormat="1" ht="12.75">
      <c r="B112" s="185"/>
      <c r="D112" s="264"/>
    </row>
    <row r="113" spans="2:4" s="184" customFormat="1" ht="12.75">
      <c r="B113" s="185"/>
      <c r="D113" s="264"/>
    </row>
    <row r="114" spans="2:4" s="184" customFormat="1" ht="12.75">
      <c r="B114" s="185"/>
      <c r="D114" s="264"/>
    </row>
    <row r="115" spans="2:4" s="184" customFormat="1" ht="12.75">
      <c r="B115" s="185"/>
      <c r="D115" s="264"/>
    </row>
    <row r="116" spans="2:4" s="184" customFormat="1" ht="12.75">
      <c r="B116" s="185"/>
      <c r="D116" s="264"/>
    </row>
    <row r="117" spans="2:4" s="184" customFormat="1" ht="12.75">
      <c r="B117" s="185"/>
      <c r="D117" s="264"/>
    </row>
    <row r="118" spans="2:4" s="184" customFormat="1" ht="12.75">
      <c r="B118" s="185"/>
      <c r="D118" s="264"/>
    </row>
    <row r="119" spans="2:4" s="184" customFormat="1" ht="12.75">
      <c r="B119" s="185"/>
      <c r="D119" s="264"/>
    </row>
    <row r="120" spans="2:4" s="184" customFormat="1" ht="12.75">
      <c r="B120" s="185"/>
      <c r="D120" s="264"/>
    </row>
    <row r="121" spans="2:4" s="184" customFormat="1" ht="12.75">
      <c r="B121" s="185"/>
      <c r="D121" s="264"/>
    </row>
    <row r="122" spans="2:4" s="184" customFormat="1" ht="12.75">
      <c r="B122" s="185"/>
      <c r="D122" s="264"/>
    </row>
    <row r="123" spans="2:4" s="184" customFormat="1" ht="12.75">
      <c r="B123" s="185"/>
      <c r="D123" s="264"/>
    </row>
    <row r="124" spans="2:4" s="184" customFormat="1" ht="12.75">
      <c r="B124" s="185"/>
      <c r="D124" s="264"/>
    </row>
    <row r="125" s="184" customFormat="1" ht="12.75">
      <c r="D125" s="264"/>
    </row>
    <row r="126" s="184" customFormat="1" ht="12.75"/>
    <row r="127" s="184" customFormat="1" ht="12.75"/>
    <row r="128" s="184" customFormat="1" ht="12.75"/>
    <row r="129" s="184" customFormat="1" ht="12.75">
      <c r="D129" s="266"/>
    </row>
    <row r="130" s="184" customFormat="1" ht="12.75"/>
    <row r="131" s="184" customFormat="1" ht="12.75"/>
    <row r="132" s="184" customFormat="1" ht="12.75"/>
    <row r="133" s="184" customFormat="1" ht="12.75"/>
    <row r="134" s="184" customFormat="1" ht="12.75"/>
    <row r="135" s="184" customFormat="1" ht="12.75"/>
    <row r="136" s="184" customFormat="1" ht="12.75"/>
    <row r="137" s="184" customFormat="1" ht="12.75"/>
    <row r="138" s="184" customFormat="1" ht="12.75"/>
    <row r="139" s="184" customFormat="1" ht="12.75"/>
    <row r="140" s="184" customFormat="1" ht="12.75"/>
    <row r="141" s="184" customFormat="1" ht="12.75"/>
    <row r="142" s="184" customFormat="1" ht="12.75"/>
    <row r="143" s="184" customFormat="1" ht="12.75"/>
    <row r="144" s="184" customFormat="1" ht="12.75"/>
    <row r="145" s="184" customFormat="1" ht="12.75"/>
    <row r="146" s="184" customFormat="1" ht="12.75"/>
    <row r="147" s="184" customFormat="1" ht="12.75"/>
    <row r="148" s="184" customFormat="1" ht="12.75"/>
    <row r="149" s="184" customFormat="1" ht="12.75"/>
    <row r="150" s="184" customFormat="1" ht="12.75"/>
    <row r="151" s="184" customFormat="1" ht="12.75"/>
    <row r="152" s="184" customFormat="1" ht="12.75"/>
    <row r="153" s="184" customFormat="1" ht="12.75"/>
    <row r="154" s="184" customFormat="1" ht="12.75"/>
    <row r="155" s="184" customFormat="1" ht="12.75"/>
    <row r="156" s="184" customFormat="1" ht="12.75"/>
    <row r="157" s="184" customFormat="1" ht="12.75"/>
    <row r="158" s="184" customFormat="1" ht="12.75"/>
    <row r="159" s="184" customFormat="1" ht="12.75"/>
    <row r="160" s="184" customFormat="1" ht="12.75"/>
    <row r="161" s="184" customFormat="1" ht="12.75"/>
    <row r="162" s="184" customFormat="1" ht="12.75"/>
    <row r="163" s="184" customFormat="1" ht="12.75"/>
    <row r="164" s="184" customFormat="1" ht="12.75"/>
    <row r="165" s="184" customFormat="1" ht="12.75"/>
    <row r="166" s="184" customFormat="1" ht="12.75"/>
    <row r="167" s="184" customFormat="1" ht="12.75"/>
    <row r="168" s="184" customFormat="1" ht="12.75"/>
    <row r="169" s="184" customFormat="1" ht="12.75"/>
    <row r="170" s="184" customFormat="1" ht="12.75"/>
    <row r="171" s="184" customFormat="1" ht="12.75"/>
    <row r="172" s="184" customFormat="1" ht="12.75"/>
    <row r="173" s="184" customFormat="1" ht="12.75"/>
    <row r="174" s="184" customFormat="1" ht="12.75"/>
    <row r="175" s="184" customFormat="1" ht="12.75"/>
    <row r="176" s="184" customFormat="1" ht="12.75"/>
    <row r="177" s="184" customFormat="1" ht="12.75"/>
    <row r="178" s="184" customFormat="1" ht="12.75"/>
    <row r="179" s="184" customFormat="1" ht="12.75"/>
    <row r="180" s="184" customFormat="1" ht="12.75"/>
    <row r="181" s="184" customFormat="1" ht="12.75"/>
    <row r="182" s="184" customFormat="1" ht="12.75"/>
    <row r="183" s="184" customFormat="1" ht="12.75"/>
    <row r="184" s="184" customFormat="1" ht="12.75"/>
    <row r="185" s="184" customFormat="1" ht="12.75"/>
    <row r="186" s="184" customFormat="1" ht="12.75"/>
    <row r="187" s="184" customFormat="1" ht="12.75"/>
    <row r="188" s="184" customFormat="1" ht="12.75"/>
    <row r="189" s="184" customFormat="1" ht="12.75"/>
    <row r="190" s="184" customFormat="1" ht="12.75"/>
    <row r="191" s="184" customFormat="1" ht="12.75"/>
    <row r="192" s="184" customFormat="1" ht="12.75"/>
    <row r="193" s="184" customFormat="1" ht="12.75"/>
    <row r="194" s="184" customFormat="1" ht="12.75"/>
    <row r="195" s="184" customFormat="1" ht="12.75"/>
    <row r="196" s="184" customFormat="1" ht="12.75"/>
    <row r="197" s="184" customFormat="1" ht="12.75"/>
    <row r="198" s="184" customFormat="1" ht="12.75"/>
    <row r="199" s="184" customFormat="1" ht="12.75"/>
    <row r="200" s="184" customFormat="1" ht="12.75"/>
    <row r="201" s="184" customFormat="1" ht="12.75"/>
    <row r="202" s="184" customFormat="1" ht="12.75"/>
    <row r="203" s="184" customFormat="1" ht="12.75"/>
    <row r="204" s="184" customFormat="1" ht="12.75"/>
    <row r="205" s="184" customFormat="1" ht="12.75"/>
    <row r="206" s="184" customFormat="1" ht="12.75"/>
    <row r="207" s="184" customFormat="1" ht="12.75"/>
    <row r="208" s="184" customFormat="1" ht="12.75"/>
    <row r="209" s="184" customFormat="1" ht="12.75"/>
    <row r="210" s="184" customFormat="1" ht="12.75"/>
    <row r="211" s="184" customFormat="1" ht="12.75"/>
    <row r="212" s="184" customFormat="1" ht="12.75"/>
    <row r="213" s="184" customFormat="1" ht="12.75"/>
    <row r="214" s="184" customFormat="1" ht="12.75"/>
    <row r="215" s="184" customFormat="1" ht="12.75"/>
    <row r="216" s="184" customFormat="1" ht="12.75"/>
    <row r="217" s="184" customFormat="1" ht="12.75"/>
    <row r="218" s="184" customFormat="1" ht="12.75"/>
    <row r="219" s="184" customFormat="1" ht="12.75"/>
    <row r="220" s="184" customFormat="1" ht="12.75"/>
    <row r="221" s="184" customFormat="1" ht="12.75"/>
    <row r="222" s="184" customFormat="1" ht="12.75"/>
    <row r="223" s="184" customFormat="1" ht="12.75"/>
    <row r="224" s="184" customFormat="1" ht="12.75"/>
    <row r="225" s="184" customFormat="1" ht="12.75"/>
    <row r="226" s="184" customFormat="1" ht="12.75"/>
    <row r="227" s="184" customFormat="1" ht="12.75"/>
    <row r="228" s="184" customFormat="1" ht="12.75"/>
    <row r="229" s="184" customFormat="1" ht="12.75"/>
    <row r="230" s="184" customFormat="1" ht="12.75"/>
    <row r="231" s="184" customFormat="1" ht="12.75"/>
    <row r="232" s="184" customFormat="1" ht="12.75"/>
    <row r="233" s="184" customFormat="1" ht="12.75"/>
    <row r="234" s="184" customFormat="1" ht="12.75"/>
    <row r="235" s="184" customFormat="1" ht="12.75"/>
    <row r="236" s="184" customFormat="1" ht="12.75"/>
    <row r="237" s="184" customFormat="1" ht="12.75"/>
    <row r="238" s="184" customFormat="1" ht="12.75"/>
    <row r="239" s="184" customFormat="1" ht="12.75"/>
    <row r="240" s="184" customFormat="1" ht="12.75"/>
    <row r="241" s="184" customFormat="1" ht="12.75"/>
    <row r="242" s="184" customFormat="1" ht="12.75"/>
    <row r="243" s="184" customFormat="1" ht="12.75"/>
    <row r="244" s="184" customFormat="1" ht="12.75"/>
    <row r="245" s="184" customFormat="1" ht="12.75"/>
    <row r="246" s="184" customFormat="1" ht="12.75"/>
    <row r="247" s="184" customFormat="1" ht="12.75"/>
    <row r="248" s="184" customFormat="1" ht="12.75"/>
    <row r="249" s="184" customFormat="1" ht="12.75"/>
    <row r="250" s="184" customFormat="1" ht="12.75"/>
    <row r="251" s="184" customFormat="1" ht="12.75"/>
    <row r="252" s="184" customFormat="1" ht="12.75"/>
    <row r="253" s="184" customFormat="1" ht="12.75"/>
  </sheetData>
  <sheetProtection/>
  <mergeCells count="5">
    <mergeCell ref="G13:H13"/>
    <mergeCell ref="B11:D11"/>
    <mergeCell ref="B12:D12"/>
    <mergeCell ref="D8:E8"/>
    <mergeCell ref="G12:H12"/>
  </mergeCells>
  <printOptions/>
  <pageMargins left="0" right="0" top="0" bottom="0" header="0" footer="0"/>
  <pageSetup fitToHeight="1" fitToWidth="1" horizontalDpi="600" verticalDpi="600" orientation="portrait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9.140625" style="57" customWidth="1"/>
    <col min="2" max="2" width="7.57421875" style="57" customWidth="1"/>
    <col min="3" max="3" width="2.7109375" style="57" customWidth="1"/>
    <col min="4" max="4" width="19.57421875" style="57" customWidth="1"/>
    <col min="5" max="5" width="11.7109375" style="57" customWidth="1"/>
    <col min="6" max="6" width="13.28125" style="57" customWidth="1"/>
    <col min="7" max="8" width="15.8515625" style="57" customWidth="1"/>
    <col min="9" max="16384" width="9.140625" style="57" customWidth="1"/>
  </cols>
  <sheetData>
    <row r="1" s="135" customFormat="1" ht="15">
      <c r="B1" s="341" t="s">
        <v>114</v>
      </c>
    </row>
    <row r="2" s="135" customFormat="1" ht="15">
      <c r="B2" s="341" t="s">
        <v>115</v>
      </c>
    </row>
    <row r="3" s="135" customFormat="1" ht="15">
      <c r="B3" s="341" t="s">
        <v>116</v>
      </c>
    </row>
    <row r="4" s="135" customFormat="1" ht="15">
      <c r="B4" s="341" t="s">
        <v>117</v>
      </c>
    </row>
    <row r="5" s="135" customFormat="1" ht="15">
      <c r="B5" s="341" t="s">
        <v>118</v>
      </c>
    </row>
    <row r="6" s="135" customFormat="1" ht="15">
      <c r="B6" s="341" t="s">
        <v>124</v>
      </c>
    </row>
    <row r="7" s="135" customFormat="1" ht="12.75"/>
    <row r="8" spans="1:6" ht="15.75">
      <c r="A8" s="318" t="s">
        <v>110</v>
      </c>
      <c r="E8" s="345"/>
      <c r="F8" s="345"/>
    </row>
    <row r="9" spans="2:6" ht="18.75">
      <c r="B9" s="15"/>
      <c r="F9" s="237"/>
    </row>
    <row r="10" ht="15.75">
      <c r="B10" s="145" t="s">
        <v>42</v>
      </c>
    </row>
    <row r="11" spans="2:6" ht="20.25" customHeight="1">
      <c r="B11" s="57" t="s">
        <v>5</v>
      </c>
      <c r="C11" s="351" t="str">
        <f>'Unit &amp; Fin Data-input'!C13</f>
        <v>Roof Top Solar C/I</v>
      </c>
      <c r="D11" s="351"/>
      <c r="E11" s="351"/>
      <c r="F11" s="351"/>
    </row>
    <row r="12" spans="2:8" s="271" customFormat="1" ht="15">
      <c r="B12" s="272"/>
      <c r="C12" s="273">
        <f>'Unit &amp; Fin Data-input'!C14</f>
        <v>0</v>
      </c>
      <c r="D12" s="274"/>
      <c r="E12" s="275" t="s">
        <v>93</v>
      </c>
      <c r="F12" s="319">
        <f>'Unit &amp; Fin Data-input'!C41</f>
        <v>2014</v>
      </c>
      <c r="G12" s="137"/>
      <c r="H12" s="137"/>
    </row>
    <row r="13" spans="2:6" ht="12.75">
      <c r="B13" s="276"/>
      <c r="C13" s="277"/>
      <c r="F13" s="278"/>
    </row>
    <row r="14" spans="2:12" ht="40.5" customHeight="1">
      <c r="B14" s="279" t="s">
        <v>26</v>
      </c>
      <c r="C14" s="280"/>
      <c r="D14" s="222" t="s">
        <v>35</v>
      </c>
      <c r="E14" s="222" t="s">
        <v>36</v>
      </c>
      <c r="F14" s="281" t="s">
        <v>37</v>
      </c>
      <c r="G14" s="282"/>
      <c r="H14" s="282"/>
      <c r="J14" s="283"/>
      <c r="K14" s="283"/>
      <c r="L14" s="282"/>
    </row>
    <row r="15" spans="2:12" ht="12.75">
      <c r="B15" s="284">
        <v>2014</v>
      </c>
      <c r="C15" s="285"/>
      <c r="D15" s="286">
        <f>'Unit &amp; Fin Data-input'!$C$28*'O&amp;M escalators-input '!$M15</f>
        <v>0</v>
      </c>
      <c r="E15" s="286">
        <f>'Unit &amp; Fin Data-input'!$C$29*'O&amp;M escalators-input '!$N15</f>
        <v>1345.18</v>
      </c>
      <c r="F15" s="287">
        <f>'Unit &amp; Fin Data-input'!$C$30*8760/1000*'O&amp;M escalators-input '!$O15</f>
        <v>0</v>
      </c>
      <c r="G15" s="142"/>
      <c r="H15" s="122"/>
      <c r="J15" s="122"/>
      <c r="K15" s="226"/>
      <c r="L15" s="225"/>
    </row>
    <row r="16" spans="2:12" ht="12.75">
      <c r="B16" s="12">
        <f>B15+1</f>
        <v>2015</v>
      </c>
      <c r="C16" s="288"/>
      <c r="D16" s="225">
        <f>'Unit &amp; Fin Data-input'!$C$28*'O&amp;M escalators-input '!$M16</f>
        <v>0</v>
      </c>
      <c r="E16" s="225">
        <f>'Unit &amp; Fin Data-input'!$C$29*'O&amp;M escalators-input '!$N16</f>
        <v>1378.8094999999998</v>
      </c>
      <c r="F16" s="289">
        <f>'Unit &amp; Fin Data-input'!$C$30*8760/1000*'O&amp;M escalators-input '!$O16</f>
        <v>0</v>
      </c>
      <c r="G16" s="142"/>
      <c r="H16" s="122"/>
      <c r="J16" s="122"/>
      <c r="K16" s="226"/>
      <c r="L16" s="225"/>
    </row>
    <row r="17" spans="2:12" ht="12.75">
      <c r="B17" s="12">
        <f aca="true" t="shared" si="0" ref="B17:B64">B16+1</f>
        <v>2016</v>
      </c>
      <c r="C17" s="288"/>
      <c r="D17" s="225">
        <f>'Unit &amp; Fin Data-input'!$C$28*'O&amp;M escalators-input '!$M17</f>
        <v>0</v>
      </c>
      <c r="E17" s="225">
        <f>'Unit &amp; Fin Data-input'!$C$29*'O&amp;M escalators-input '!$N17</f>
        <v>1413.2797375</v>
      </c>
      <c r="F17" s="289">
        <f>'Unit &amp; Fin Data-input'!$C$30*8760/1000*'O&amp;M escalators-input '!$O17</f>
        <v>0</v>
      </c>
      <c r="G17" s="142"/>
      <c r="H17" s="122"/>
      <c r="J17" s="122"/>
      <c r="K17" s="226"/>
      <c r="L17" s="225"/>
    </row>
    <row r="18" spans="2:12" ht="12.75">
      <c r="B18" s="12">
        <f t="shared" si="0"/>
        <v>2017</v>
      </c>
      <c r="C18" s="288"/>
      <c r="D18" s="225">
        <f>'Unit &amp; Fin Data-input'!$C$28*'O&amp;M escalators-input '!$M18</f>
        <v>0</v>
      </c>
      <c r="E18" s="225">
        <f>'Unit &amp; Fin Data-input'!$C$29*'O&amp;M escalators-input '!$N18</f>
        <v>1448.6117309375</v>
      </c>
      <c r="F18" s="289">
        <f>'Unit &amp; Fin Data-input'!$C$30*8760/1000*'O&amp;M escalators-input '!$O18</f>
        <v>0</v>
      </c>
      <c r="G18" s="142"/>
      <c r="H18" s="122"/>
      <c r="J18" s="122"/>
      <c r="K18" s="226"/>
      <c r="L18" s="225"/>
    </row>
    <row r="19" spans="2:12" ht="12.75">
      <c r="B19" s="12">
        <f t="shared" si="0"/>
        <v>2018</v>
      </c>
      <c r="C19" s="288"/>
      <c r="D19" s="225">
        <f>'Unit &amp; Fin Data-input'!$C$28*'O&amp;M escalators-input '!$M19</f>
        <v>0</v>
      </c>
      <c r="E19" s="225">
        <f>'Unit &amp; Fin Data-input'!$C$29*'O&amp;M escalators-input '!$N19</f>
        <v>1484.8270242109372</v>
      </c>
      <c r="F19" s="289">
        <f>'Unit &amp; Fin Data-input'!$C$30*8760/1000*'O&amp;M escalators-input '!$O19</f>
        <v>0</v>
      </c>
      <c r="G19" s="142"/>
      <c r="H19" s="122"/>
      <c r="J19" s="122"/>
      <c r="K19" s="226"/>
      <c r="L19" s="225"/>
    </row>
    <row r="20" spans="2:15" ht="12.75">
      <c r="B20" s="12">
        <f t="shared" si="0"/>
        <v>2019</v>
      </c>
      <c r="C20" s="288"/>
      <c r="D20" s="225">
        <f>'Unit &amp; Fin Data-input'!$C$28*'O&amp;M escalators-input '!$M20</f>
        <v>0</v>
      </c>
      <c r="E20" s="225">
        <f>'Unit &amp; Fin Data-input'!$C$29*'O&amp;M escalators-input '!$N20</f>
        <v>1521.9476998162106</v>
      </c>
      <c r="F20" s="289">
        <f>'Unit &amp; Fin Data-input'!$C$30*8760/1000*'O&amp;M escalators-input '!$O20</f>
        <v>0</v>
      </c>
      <c r="G20" s="142"/>
      <c r="H20" s="122"/>
      <c r="J20" s="122"/>
      <c r="K20" s="226"/>
      <c r="L20" s="225"/>
      <c r="M20" s="290"/>
      <c r="N20" s="290"/>
      <c r="O20" s="290"/>
    </row>
    <row r="21" spans="2:15" ht="12.75">
      <c r="B21" s="12">
        <f t="shared" si="0"/>
        <v>2020</v>
      </c>
      <c r="C21" s="288"/>
      <c r="D21" s="225">
        <f>'Unit &amp; Fin Data-input'!$C$28*'O&amp;M escalators-input '!$M21</f>
        <v>0</v>
      </c>
      <c r="E21" s="225">
        <f>'Unit &amp; Fin Data-input'!$C$29*'O&amp;M escalators-input '!$N21</f>
        <v>1559.9963923116156</v>
      </c>
      <c r="F21" s="289">
        <f>'Unit &amp; Fin Data-input'!$C$30*8760/1000*'O&amp;M escalators-input '!$O21</f>
        <v>0</v>
      </c>
      <c r="G21" s="142"/>
      <c r="H21" s="122"/>
      <c r="J21" s="122"/>
      <c r="K21" s="226"/>
      <c r="L21" s="225"/>
      <c r="M21" s="290"/>
      <c r="N21" s="290"/>
      <c r="O21" s="290"/>
    </row>
    <row r="22" spans="2:15" ht="12.75">
      <c r="B22" s="12">
        <f t="shared" si="0"/>
        <v>2021</v>
      </c>
      <c r="C22" s="288"/>
      <c r="D22" s="225">
        <f>'Unit &amp; Fin Data-input'!$C$28*'O&amp;M escalators-input '!$M22</f>
        <v>0</v>
      </c>
      <c r="E22" s="225">
        <f>'Unit &amp; Fin Data-input'!$C$29*'O&amp;M escalators-input '!$N22</f>
        <v>1598.9963021194058</v>
      </c>
      <c r="F22" s="289">
        <f>'Unit &amp; Fin Data-input'!$C$30*8760/1000*'O&amp;M escalators-input '!$O22</f>
        <v>0</v>
      </c>
      <c r="G22" s="142"/>
      <c r="H22" s="122"/>
      <c r="J22" s="122"/>
      <c r="K22" s="226"/>
      <c r="L22" s="225"/>
      <c r="M22" s="290"/>
      <c r="N22" s="290"/>
      <c r="O22" s="290"/>
    </row>
    <row r="23" spans="2:15" ht="12.75">
      <c r="B23" s="12">
        <f t="shared" si="0"/>
        <v>2022</v>
      </c>
      <c r="C23" s="288"/>
      <c r="D23" s="225">
        <f>'Unit &amp; Fin Data-input'!$C$28*'O&amp;M escalators-input '!$M23</f>
        <v>0</v>
      </c>
      <c r="E23" s="225">
        <f>'Unit &amp; Fin Data-input'!$C$29*'O&amp;M escalators-input '!$N23</f>
        <v>1638.9712096723908</v>
      </c>
      <c r="F23" s="289">
        <f>'Unit &amp; Fin Data-input'!$C$30*8760/1000*'O&amp;M escalators-input '!$O23</f>
        <v>0</v>
      </c>
      <c r="G23" s="142"/>
      <c r="H23" s="122"/>
      <c r="J23" s="122"/>
      <c r="K23" s="226"/>
      <c r="L23" s="225"/>
      <c r="M23" s="290"/>
      <c r="N23" s="290"/>
      <c r="O23" s="290"/>
    </row>
    <row r="24" spans="2:15" ht="12.75">
      <c r="B24" s="12">
        <f t="shared" si="0"/>
        <v>2023</v>
      </c>
      <c r="C24" s="288"/>
      <c r="D24" s="225">
        <f>'Unit &amp; Fin Data-input'!$C$28*'O&amp;M escalators-input '!$M24</f>
        <v>0</v>
      </c>
      <c r="E24" s="225">
        <f>'Unit &amp; Fin Data-input'!$C$29*'O&amp;M escalators-input '!$N24</f>
        <v>1679.9454899142004</v>
      </c>
      <c r="F24" s="289">
        <f>'Unit &amp; Fin Data-input'!$C$30*8760/1000*'O&amp;M escalators-input '!$O24</f>
        <v>0</v>
      </c>
      <c r="G24" s="142"/>
      <c r="H24" s="122"/>
      <c r="J24" s="122"/>
      <c r="K24" s="226"/>
      <c r="L24" s="225"/>
      <c r="M24" s="290"/>
      <c r="N24" s="290"/>
      <c r="O24" s="290"/>
    </row>
    <row r="25" spans="2:15" ht="12.75">
      <c r="B25" s="12">
        <f t="shared" si="0"/>
        <v>2024</v>
      </c>
      <c r="C25" s="288"/>
      <c r="D25" s="225">
        <f>'Unit &amp; Fin Data-input'!$C$28*'O&amp;M escalators-input '!$M25</f>
        <v>0</v>
      </c>
      <c r="E25" s="225">
        <f>'Unit &amp; Fin Data-input'!$C$29*'O&amp;M escalators-input '!$N25</f>
        <v>1721.944127162055</v>
      </c>
      <c r="F25" s="289">
        <f>'Unit &amp; Fin Data-input'!$C$30*8760/1000*'O&amp;M escalators-input '!$O25</f>
        <v>0</v>
      </c>
      <c r="G25" s="142"/>
      <c r="H25" s="122"/>
      <c r="J25" s="122"/>
      <c r="K25" s="226"/>
      <c r="L25" s="225"/>
      <c r="M25" s="290"/>
      <c r="N25" s="290"/>
      <c r="O25" s="290"/>
    </row>
    <row r="26" spans="2:15" ht="12.75">
      <c r="B26" s="12">
        <f t="shared" si="0"/>
        <v>2025</v>
      </c>
      <c r="C26" s="288"/>
      <c r="D26" s="225">
        <f>'Unit &amp; Fin Data-input'!$C$28*'O&amp;M escalators-input '!$M26</f>
        <v>0</v>
      </c>
      <c r="E26" s="225">
        <f>'Unit &amp; Fin Data-input'!$C$29*'O&amp;M escalators-input '!$N26</f>
        <v>1764.9927303411064</v>
      </c>
      <c r="F26" s="289">
        <f>'Unit &amp; Fin Data-input'!$C$30*8760/1000*'O&amp;M escalators-input '!$O26</f>
        <v>0</v>
      </c>
      <c r="G26" s="142"/>
      <c r="H26" s="122"/>
      <c r="J26" s="122"/>
      <c r="K26" s="226"/>
      <c r="L26" s="225"/>
      <c r="M26" s="290"/>
      <c r="N26" s="290"/>
      <c r="O26" s="290"/>
    </row>
    <row r="27" spans="2:15" ht="12.75">
      <c r="B27" s="12">
        <f t="shared" si="0"/>
        <v>2026</v>
      </c>
      <c r="C27" s="288"/>
      <c r="D27" s="225">
        <f>'Unit &amp; Fin Data-input'!$C$28*'O&amp;M escalators-input '!$M27</f>
        <v>0</v>
      </c>
      <c r="E27" s="225">
        <f>'Unit &amp; Fin Data-input'!$C$29*'O&amp;M escalators-input '!$N27</f>
        <v>1809.117548599634</v>
      </c>
      <c r="F27" s="289">
        <f>'Unit &amp; Fin Data-input'!$C$30*8760/1000*'O&amp;M escalators-input '!$O27</f>
        <v>0</v>
      </c>
      <c r="G27" s="142"/>
      <c r="H27" s="122"/>
      <c r="J27" s="122"/>
      <c r="K27" s="226"/>
      <c r="L27" s="225"/>
      <c r="M27" s="290"/>
      <c r="N27" s="290"/>
      <c r="O27" s="290"/>
    </row>
    <row r="28" spans="2:15" ht="12.75">
      <c r="B28" s="12">
        <f t="shared" si="0"/>
        <v>2027</v>
      </c>
      <c r="C28" s="288"/>
      <c r="D28" s="225">
        <f>'Unit &amp; Fin Data-input'!$C$28*'O&amp;M escalators-input '!$M28</f>
        <v>0</v>
      </c>
      <c r="E28" s="225">
        <f>'Unit &amp; Fin Data-input'!$C$29*'O&amp;M escalators-input '!$N28</f>
        <v>1854.3454873146247</v>
      </c>
      <c r="F28" s="289">
        <f>'Unit &amp; Fin Data-input'!$C$30*8760/1000*'O&amp;M escalators-input '!$O28</f>
        <v>0</v>
      </c>
      <c r="G28" s="142"/>
      <c r="H28" s="122"/>
      <c r="J28" s="122"/>
      <c r="K28" s="226"/>
      <c r="L28" s="225"/>
      <c r="M28" s="290"/>
      <c r="N28" s="290"/>
      <c r="O28" s="290"/>
    </row>
    <row r="29" spans="2:15" ht="12.75">
      <c r="B29" s="12">
        <f t="shared" si="0"/>
        <v>2028</v>
      </c>
      <c r="C29" s="288"/>
      <c r="D29" s="225">
        <f>'Unit &amp; Fin Data-input'!$C$28*'O&amp;M escalators-input '!$M29</f>
        <v>0</v>
      </c>
      <c r="E29" s="225">
        <f>'Unit &amp; Fin Data-input'!$C$29*'O&amp;M escalators-input '!$N29</f>
        <v>1900.7041244974903</v>
      </c>
      <c r="F29" s="289">
        <f>'Unit &amp; Fin Data-input'!$C$30*8760/1000*'O&amp;M escalators-input '!$O29</f>
        <v>0</v>
      </c>
      <c r="G29" s="142"/>
      <c r="H29" s="122"/>
      <c r="J29" s="122"/>
      <c r="K29" s="226"/>
      <c r="L29" s="225"/>
      <c r="M29" s="290"/>
      <c r="N29" s="290"/>
      <c r="O29" s="290"/>
    </row>
    <row r="30" spans="2:15" ht="12.75">
      <c r="B30" s="12">
        <f t="shared" si="0"/>
        <v>2029</v>
      </c>
      <c r="C30" s="288"/>
      <c r="D30" s="225">
        <f>'Unit &amp; Fin Data-input'!$C$28*'O&amp;M escalators-input '!$M30</f>
        <v>0</v>
      </c>
      <c r="E30" s="225">
        <f>'Unit &amp; Fin Data-input'!$C$29*'O&amp;M escalators-input '!$N30</f>
        <v>1948.2217276099273</v>
      </c>
      <c r="F30" s="289">
        <f>'Unit &amp; Fin Data-input'!$C$30*8760/1000*'O&amp;M escalators-input '!$O30</f>
        <v>0</v>
      </c>
      <c r="G30" s="142"/>
      <c r="H30" s="122"/>
      <c r="J30" s="122"/>
      <c r="K30" s="226"/>
      <c r="L30" s="225"/>
      <c r="M30" s="290"/>
      <c r="N30" s="290"/>
      <c r="O30" s="290"/>
    </row>
    <row r="31" spans="2:15" ht="12.75">
      <c r="B31" s="12">
        <f t="shared" si="0"/>
        <v>2030</v>
      </c>
      <c r="C31" s="288"/>
      <c r="D31" s="225">
        <f>'Unit &amp; Fin Data-input'!$C$28*'O&amp;M escalators-input '!$M31</f>
        <v>0</v>
      </c>
      <c r="E31" s="225">
        <f>'Unit &amp; Fin Data-input'!$C$29*'O&amp;M escalators-input '!$N31</f>
        <v>1996.9272708001752</v>
      </c>
      <c r="F31" s="289">
        <f>'Unit &amp; Fin Data-input'!$C$30*8760/1000*'O&amp;M escalators-input '!$O31</f>
        <v>0</v>
      </c>
      <c r="G31" s="142"/>
      <c r="H31" s="122"/>
      <c r="J31" s="122"/>
      <c r="K31" s="226"/>
      <c r="L31" s="225"/>
      <c r="M31" s="290"/>
      <c r="N31" s="290"/>
      <c r="O31" s="290"/>
    </row>
    <row r="32" spans="2:15" ht="12.75">
      <c r="B32" s="12">
        <f t="shared" si="0"/>
        <v>2031</v>
      </c>
      <c r="C32" s="288"/>
      <c r="D32" s="225">
        <f>'Unit &amp; Fin Data-input'!$C$28*'O&amp;M escalators-input '!$M32</f>
        <v>0</v>
      </c>
      <c r="E32" s="225">
        <f>'Unit &amp; Fin Data-input'!$C$29*'O&amp;M escalators-input '!$N32</f>
        <v>2046.8504525701794</v>
      </c>
      <c r="F32" s="289">
        <f>'Unit &amp; Fin Data-input'!$C$30*8760/1000*'O&amp;M escalators-input '!$O32</f>
        <v>0</v>
      </c>
      <c r="G32" s="142"/>
      <c r="H32" s="122"/>
      <c r="J32" s="122"/>
      <c r="K32" s="226"/>
      <c r="L32" s="225"/>
      <c r="M32" s="290"/>
      <c r="N32" s="290"/>
      <c r="O32" s="290"/>
    </row>
    <row r="33" spans="2:15" ht="12.75">
      <c r="B33" s="12">
        <f t="shared" si="0"/>
        <v>2032</v>
      </c>
      <c r="C33" s="288"/>
      <c r="D33" s="225">
        <f>'Unit &amp; Fin Data-input'!$C$28*'O&amp;M escalators-input '!$M33</f>
        <v>0</v>
      </c>
      <c r="E33" s="225">
        <f>'Unit &amp; Fin Data-input'!$C$29*'O&amp;M escalators-input '!$N33</f>
        <v>2098.0217138844337</v>
      </c>
      <c r="F33" s="289">
        <f>'Unit &amp; Fin Data-input'!$C$30*8760/1000*'O&amp;M escalators-input '!$O33</f>
        <v>0</v>
      </c>
      <c r="G33" s="142"/>
      <c r="H33" s="122"/>
      <c r="J33" s="122"/>
      <c r="K33" s="226"/>
      <c r="L33" s="225"/>
      <c r="M33" s="290"/>
      <c r="N33" s="290"/>
      <c r="O33" s="290"/>
    </row>
    <row r="34" spans="2:15" ht="12.75">
      <c r="B34" s="12">
        <f t="shared" si="0"/>
        <v>2033</v>
      </c>
      <c r="C34" s="288"/>
      <c r="D34" s="225">
        <f>'Unit &amp; Fin Data-input'!$C$28*'O&amp;M escalators-input '!$M34</f>
        <v>0</v>
      </c>
      <c r="E34" s="225">
        <f>'Unit &amp; Fin Data-input'!$C$29*'O&amp;M escalators-input '!$N34</f>
        <v>2150.4722567315443</v>
      </c>
      <c r="F34" s="289">
        <f>'Unit &amp; Fin Data-input'!$C$30*8760/1000*'O&amp;M escalators-input '!$O34</f>
        <v>0</v>
      </c>
      <c r="G34" s="142"/>
      <c r="H34" s="122"/>
      <c r="J34" s="122"/>
      <c r="K34" s="226"/>
      <c r="L34" s="225"/>
      <c r="M34" s="290"/>
      <c r="N34" s="290"/>
      <c r="O34" s="290"/>
    </row>
    <row r="35" spans="2:15" ht="12.75">
      <c r="B35" s="12">
        <f t="shared" si="0"/>
        <v>2034</v>
      </c>
      <c r="C35" s="288"/>
      <c r="D35" s="225">
        <f>'Unit &amp; Fin Data-input'!$C$28*'O&amp;M escalators-input '!$M35</f>
        <v>0</v>
      </c>
      <c r="E35" s="225">
        <f>'Unit &amp; Fin Data-input'!$C$29*'O&amp;M escalators-input '!$N35</f>
        <v>2204.2340631498328</v>
      </c>
      <c r="F35" s="289">
        <f>'Unit &amp; Fin Data-input'!$C$30*8760/1000*'O&amp;M escalators-input '!$O35</f>
        <v>0</v>
      </c>
      <c r="G35" s="142"/>
      <c r="H35" s="122"/>
      <c r="J35" s="122"/>
      <c r="K35" s="226"/>
      <c r="L35" s="225"/>
      <c r="M35" s="290"/>
      <c r="N35" s="290"/>
      <c r="O35" s="290"/>
    </row>
    <row r="36" spans="2:15" ht="12.75">
      <c r="B36" s="12">
        <f t="shared" si="0"/>
        <v>2035</v>
      </c>
      <c r="C36" s="288"/>
      <c r="D36" s="225">
        <f>'Unit &amp; Fin Data-input'!$C$28*'O&amp;M escalators-input '!$M36</f>
        <v>0</v>
      </c>
      <c r="E36" s="225">
        <f>'Unit &amp; Fin Data-input'!$C$29*'O&amp;M escalators-input '!$N36</f>
        <v>2259.339914728578</v>
      </c>
      <c r="F36" s="289">
        <f>'Unit &amp; Fin Data-input'!$C$30*8760/1000*'O&amp;M escalators-input '!$O36</f>
        <v>0</v>
      </c>
      <c r="G36" s="142"/>
      <c r="H36" s="122"/>
      <c r="J36" s="122"/>
      <c r="K36" s="226"/>
      <c r="L36" s="225"/>
      <c r="M36" s="290"/>
      <c r="N36" s="290"/>
      <c r="O36" s="290"/>
    </row>
    <row r="37" spans="2:15" ht="12.75">
      <c r="B37" s="12">
        <f t="shared" si="0"/>
        <v>2036</v>
      </c>
      <c r="C37" s="288"/>
      <c r="D37" s="225">
        <f>'Unit &amp; Fin Data-input'!$C$28*'O&amp;M escalators-input '!$M37</f>
        <v>0</v>
      </c>
      <c r="E37" s="225">
        <f>'Unit &amp; Fin Data-input'!$C$29*'O&amp;M escalators-input '!$N37</f>
        <v>2315.8234125967924</v>
      </c>
      <c r="F37" s="289">
        <f>'Unit &amp; Fin Data-input'!$C$30*8760/1000*'O&amp;M escalators-input '!$O37</f>
        <v>0</v>
      </c>
      <c r="G37" s="142"/>
      <c r="H37" s="122"/>
      <c r="J37" s="122"/>
      <c r="K37" s="226"/>
      <c r="L37" s="225"/>
      <c r="M37" s="290"/>
      <c r="N37" s="290"/>
      <c r="O37" s="290"/>
    </row>
    <row r="38" spans="2:15" ht="12.75">
      <c r="B38" s="12">
        <f t="shared" si="0"/>
        <v>2037</v>
      </c>
      <c r="C38" s="288"/>
      <c r="D38" s="225">
        <f>'Unit &amp; Fin Data-input'!$C$28*'O&amp;M escalators-input '!$M38</f>
        <v>0</v>
      </c>
      <c r="E38" s="225">
        <f>'Unit &amp; Fin Data-input'!$C$29*'O&amp;M escalators-input '!$N38</f>
        <v>2373.718997911712</v>
      </c>
      <c r="F38" s="289">
        <f>'Unit &amp; Fin Data-input'!$C$30*8760/1000*'O&amp;M escalators-input '!$O38</f>
        <v>0</v>
      </c>
      <c r="G38" s="142"/>
      <c r="H38" s="122"/>
      <c r="J38" s="122"/>
      <c r="K38" s="226"/>
      <c r="L38" s="225"/>
      <c r="M38" s="290"/>
      <c r="N38" s="290"/>
      <c r="O38" s="290"/>
    </row>
    <row r="39" spans="2:15" ht="12.75">
      <c r="B39" s="12">
        <f t="shared" si="0"/>
        <v>2038</v>
      </c>
      <c r="C39" s="288"/>
      <c r="D39" s="225">
        <f>'Unit &amp; Fin Data-input'!$C$28*'O&amp;M escalators-input '!$M39</f>
        <v>0</v>
      </c>
      <c r="E39" s="225">
        <f>'Unit &amp; Fin Data-input'!$C$29*'O&amp;M escalators-input '!$N39</f>
        <v>2433.0619728595047</v>
      </c>
      <c r="F39" s="289">
        <f>'Unit &amp; Fin Data-input'!$C$30*8760/1000*'O&amp;M escalators-input '!$O39</f>
        <v>0</v>
      </c>
      <c r="G39" s="142"/>
      <c r="H39" s="122"/>
      <c r="J39" s="122"/>
      <c r="K39" s="226"/>
      <c r="L39" s="225"/>
      <c r="M39" s="290"/>
      <c r="N39" s="290"/>
      <c r="O39" s="290"/>
    </row>
    <row r="40" spans="2:15" ht="12.75">
      <c r="B40" s="12">
        <f t="shared" si="0"/>
        <v>2039</v>
      </c>
      <c r="C40" s="288"/>
      <c r="D40" s="225">
        <f>'Unit &amp; Fin Data-input'!$C$28*'O&amp;M escalators-input '!$M40</f>
        <v>0</v>
      </c>
      <c r="E40" s="225">
        <f>'Unit &amp; Fin Data-input'!$C$29*'O&amp;M escalators-input '!$N40</f>
        <v>2493.888522180992</v>
      </c>
      <c r="F40" s="289">
        <f>'Unit &amp; Fin Data-input'!$C$30*8760/1000*'O&amp;M escalators-input '!$O40</f>
        <v>0</v>
      </c>
      <c r="G40" s="142"/>
      <c r="H40" s="122"/>
      <c r="J40" s="122"/>
      <c r="K40" s="226"/>
      <c r="L40" s="225"/>
      <c r="M40" s="290"/>
      <c r="N40" s="290"/>
      <c r="O40" s="290"/>
    </row>
    <row r="41" spans="2:15" ht="12.75">
      <c r="B41" s="12">
        <f t="shared" si="0"/>
        <v>2040</v>
      </c>
      <c r="C41" s="288"/>
      <c r="D41" s="225">
        <f>'Unit &amp; Fin Data-input'!$C$28*'O&amp;M escalators-input '!$M41</f>
        <v>0</v>
      </c>
      <c r="E41" s="225">
        <f>'Unit &amp; Fin Data-input'!$C$29*'O&amp;M escalators-input '!$N41</f>
        <v>2556.2357352355166</v>
      </c>
      <c r="F41" s="289">
        <f>'Unit &amp; Fin Data-input'!$C$30*8760/1000*'O&amp;M escalators-input '!$O41</f>
        <v>0</v>
      </c>
      <c r="G41" s="142"/>
      <c r="H41" s="122"/>
      <c r="J41" s="122"/>
      <c r="K41" s="226"/>
      <c r="L41" s="225"/>
      <c r="M41" s="290"/>
      <c r="N41" s="290"/>
      <c r="O41" s="290"/>
    </row>
    <row r="42" spans="2:15" ht="12.75">
      <c r="B42" s="12">
        <f t="shared" si="0"/>
        <v>2041</v>
      </c>
      <c r="C42" s="288"/>
      <c r="D42" s="225">
        <f>'Unit &amp; Fin Data-input'!$C$28*'O&amp;M escalators-input '!$M42</f>
        <v>0</v>
      </c>
      <c r="E42" s="225">
        <f>'Unit &amp; Fin Data-input'!$C$29*'O&amp;M escalators-input '!$N42</f>
        <v>2620.1416286164044</v>
      </c>
      <c r="F42" s="289">
        <f>'Unit &amp; Fin Data-input'!$C$30*8760/1000*'O&amp;M escalators-input '!$O42</f>
        <v>0</v>
      </c>
      <c r="G42" s="142"/>
      <c r="H42" s="122"/>
      <c r="J42" s="122"/>
      <c r="K42" s="226"/>
      <c r="L42" s="225"/>
      <c r="M42" s="290"/>
      <c r="N42" s="290"/>
      <c r="O42" s="290"/>
    </row>
    <row r="43" spans="2:15" ht="10.5" customHeight="1">
      <c r="B43" s="12">
        <f t="shared" si="0"/>
        <v>2042</v>
      </c>
      <c r="C43" s="288"/>
      <c r="D43" s="225">
        <f>'Unit &amp; Fin Data-input'!$C$28*'O&amp;M escalators-input '!$M43</f>
        <v>0</v>
      </c>
      <c r="E43" s="225">
        <f>'Unit &amp; Fin Data-input'!$C$29*'O&amp;M escalators-input '!$N43</f>
        <v>2685.645169331814</v>
      </c>
      <c r="F43" s="289">
        <f>'Unit &amp; Fin Data-input'!$C$30*8760/1000*'O&amp;M escalators-input '!$O43</f>
        <v>0</v>
      </c>
      <c r="G43" s="142"/>
      <c r="H43" s="122"/>
      <c r="J43" s="122"/>
      <c r="K43" s="226"/>
      <c r="L43" s="225"/>
      <c r="M43" s="290"/>
      <c r="N43" s="290"/>
      <c r="O43" s="290"/>
    </row>
    <row r="44" spans="2:15" ht="12.75">
      <c r="B44" s="12">
        <f t="shared" si="0"/>
        <v>2043</v>
      </c>
      <c r="C44" s="288"/>
      <c r="D44" s="225">
        <f>'Unit &amp; Fin Data-input'!$C$28*'O&amp;M escalators-input '!$M44</f>
        <v>0</v>
      </c>
      <c r="E44" s="225">
        <f>'Unit &amp; Fin Data-input'!$C$29*'O&amp;M escalators-input '!$N44</f>
        <v>2752.786298565109</v>
      </c>
      <c r="F44" s="289">
        <f>'Unit &amp; Fin Data-input'!$C$30*8760/1000*'O&amp;M escalators-input '!$O44</f>
        <v>0</v>
      </c>
      <c r="G44" s="142"/>
      <c r="H44" s="122"/>
      <c r="J44" s="122"/>
      <c r="K44" s="226"/>
      <c r="L44" s="225"/>
      <c r="M44" s="290"/>
      <c r="N44" s="290"/>
      <c r="O44" s="290"/>
    </row>
    <row r="45" spans="2:15" ht="12.75">
      <c r="B45" s="12">
        <f t="shared" si="0"/>
        <v>2044</v>
      </c>
      <c r="C45" s="288"/>
      <c r="D45" s="225">
        <f>'Unit &amp; Fin Data-input'!$C$28*'O&amp;M escalators-input '!$M45</f>
        <v>0</v>
      </c>
      <c r="E45" s="225">
        <f>'Unit &amp; Fin Data-input'!$C$29*'O&amp;M escalators-input '!$N45</f>
        <v>2821.605956029237</v>
      </c>
      <c r="F45" s="289">
        <f>'Unit &amp; Fin Data-input'!$C$30*8760/1000*'O&amp;M escalators-input '!$O45</f>
        <v>0</v>
      </c>
      <c r="G45" s="142"/>
      <c r="H45" s="122"/>
      <c r="J45" s="122"/>
      <c r="K45" s="226"/>
      <c r="L45" s="225"/>
      <c r="M45" s="290"/>
      <c r="N45" s="290"/>
      <c r="O45" s="290"/>
    </row>
    <row r="46" spans="2:15" ht="12.75">
      <c r="B46" s="12">
        <f t="shared" si="0"/>
        <v>2045</v>
      </c>
      <c r="C46" s="288"/>
      <c r="D46" s="225">
        <f>'Unit &amp; Fin Data-input'!$C$28*'O&amp;M escalators-input '!$M46</f>
        <v>0</v>
      </c>
      <c r="E46" s="225">
        <f>'Unit &amp; Fin Data-input'!$C$29*'O&amp;M escalators-input '!$N46</f>
        <v>2892.1461049299674</v>
      </c>
      <c r="F46" s="289">
        <f>'Unit &amp; Fin Data-input'!$C$30*8760/1000*'O&amp;M escalators-input '!$O46</f>
        <v>0</v>
      </c>
      <c r="G46" s="142"/>
      <c r="H46" s="122"/>
      <c r="J46" s="122"/>
      <c r="K46" s="226"/>
      <c r="L46" s="225"/>
      <c r="M46" s="290"/>
      <c r="N46" s="290"/>
      <c r="O46" s="290"/>
    </row>
    <row r="47" spans="2:15" ht="12.75">
      <c r="B47" s="12">
        <f t="shared" si="0"/>
        <v>2046</v>
      </c>
      <c r="C47" s="288"/>
      <c r="D47" s="225">
        <f>'Unit &amp; Fin Data-input'!$C$28*'O&amp;M escalators-input '!$M47</f>
        <v>0</v>
      </c>
      <c r="E47" s="225">
        <f>'Unit &amp; Fin Data-input'!$C$29*'O&amp;M escalators-input '!$N47</f>
        <v>2964.449757553216</v>
      </c>
      <c r="F47" s="289">
        <f>'Unit &amp; Fin Data-input'!$C$30*8760/1000*'O&amp;M escalators-input '!$O47</f>
        <v>0</v>
      </c>
      <c r="G47" s="142"/>
      <c r="H47" s="122"/>
      <c r="J47" s="122"/>
      <c r="K47" s="226"/>
      <c r="L47" s="225"/>
      <c r="M47" s="290"/>
      <c r="N47" s="290"/>
      <c r="O47" s="290"/>
    </row>
    <row r="48" spans="2:15" ht="12.75">
      <c r="B48" s="12">
        <f t="shared" si="0"/>
        <v>2047</v>
      </c>
      <c r="C48" s="288"/>
      <c r="D48" s="225">
        <f>'Unit &amp; Fin Data-input'!$C$28*'O&amp;M escalators-input '!$M48</f>
        <v>0</v>
      </c>
      <c r="E48" s="225">
        <f>'Unit &amp; Fin Data-input'!$C$29*'O&amp;M escalators-input '!$N48</f>
        <v>3038.561001492046</v>
      </c>
      <c r="F48" s="289">
        <f>'Unit &amp; Fin Data-input'!$C$30*8760/1000*'O&amp;M escalators-input '!$O48</f>
        <v>0</v>
      </c>
      <c r="G48" s="142"/>
      <c r="H48" s="122"/>
      <c r="J48" s="122"/>
      <c r="K48" s="226"/>
      <c r="L48" s="225"/>
      <c r="M48" s="290"/>
      <c r="N48" s="290"/>
      <c r="O48" s="290"/>
    </row>
    <row r="49" spans="2:15" ht="12.75">
      <c r="B49" s="12">
        <f t="shared" si="0"/>
        <v>2048</v>
      </c>
      <c r="C49" s="288"/>
      <c r="D49" s="225">
        <f>'Unit &amp; Fin Data-input'!$C$28*'O&amp;M escalators-input '!$M49</f>
        <v>0</v>
      </c>
      <c r="E49" s="225">
        <f>'Unit &amp; Fin Data-input'!$C$29*'O&amp;M escalators-input '!$N49</f>
        <v>3114.525026529347</v>
      </c>
      <c r="F49" s="289">
        <f>'Unit &amp; Fin Data-input'!$C$30*8760/1000*'O&amp;M escalators-input '!$O49</f>
        <v>0</v>
      </c>
      <c r="G49" s="142"/>
      <c r="H49" s="122"/>
      <c r="J49" s="122"/>
      <c r="K49" s="226"/>
      <c r="L49" s="225"/>
      <c r="M49" s="290"/>
      <c r="N49" s="290"/>
      <c r="O49" s="290"/>
    </row>
    <row r="50" spans="2:15" ht="12.75">
      <c r="B50" s="12">
        <f t="shared" si="0"/>
        <v>2049</v>
      </c>
      <c r="C50" s="288"/>
      <c r="D50" s="225">
        <f>'Unit &amp; Fin Data-input'!$C$28*'O&amp;M escalators-input '!$M50</f>
        <v>0</v>
      </c>
      <c r="E50" s="225">
        <f>'Unit &amp; Fin Data-input'!$C$29*'O&amp;M escalators-input '!$N50</f>
        <v>3192.3881521925805</v>
      </c>
      <c r="F50" s="289">
        <f>'Unit &amp; Fin Data-input'!$C$30*8760/1000*'O&amp;M escalators-input '!$O50</f>
        <v>0</v>
      </c>
      <c r="G50" s="142"/>
      <c r="H50" s="122"/>
      <c r="J50" s="122"/>
      <c r="K50" s="226"/>
      <c r="L50" s="225"/>
      <c r="M50" s="290"/>
      <c r="N50" s="290"/>
      <c r="O50" s="290"/>
    </row>
    <row r="51" spans="2:15" ht="12.75">
      <c r="B51" s="12">
        <f t="shared" si="0"/>
        <v>2050</v>
      </c>
      <c r="C51" s="288"/>
      <c r="D51" s="225">
        <f>'Unit &amp; Fin Data-input'!$C$28*'O&amp;M escalators-input '!$M51</f>
        <v>0</v>
      </c>
      <c r="E51" s="225">
        <f>'Unit &amp; Fin Data-input'!$C$29*'O&amp;M escalators-input '!$N51</f>
        <v>3272.1978559973945</v>
      </c>
      <c r="F51" s="289">
        <f>'Unit &amp; Fin Data-input'!$C$30*8760/1000*'O&amp;M escalators-input '!$O51</f>
        <v>0</v>
      </c>
      <c r="G51" s="142"/>
      <c r="H51" s="122"/>
      <c r="J51" s="122"/>
      <c r="K51" s="226"/>
      <c r="L51" s="225"/>
      <c r="M51" s="290"/>
      <c r="N51" s="290"/>
      <c r="O51" s="290"/>
    </row>
    <row r="52" spans="2:15" ht="12.75">
      <c r="B52" s="12">
        <f t="shared" si="0"/>
        <v>2051</v>
      </c>
      <c r="C52" s="288"/>
      <c r="D52" s="225">
        <f>'Unit &amp; Fin Data-input'!$C$28*'O&amp;M escalators-input '!$M52</f>
        <v>0</v>
      </c>
      <c r="E52" s="225">
        <f>'Unit &amp; Fin Data-input'!$C$29*'O&amp;M escalators-input '!$N52</f>
        <v>3354.002802397329</v>
      </c>
      <c r="F52" s="289">
        <f>'Unit &amp; Fin Data-input'!$C$30*8760/1000*'O&amp;M escalators-input '!$O52</f>
        <v>0</v>
      </c>
      <c r="G52" s="142"/>
      <c r="H52" s="122"/>
      <c r="J52" s="122"/>
      <c r="K52" s="226"/>
      <c r="L52" s="225"/>
      <c r="M52" s="290"/>
      <c r="N52" s="290"/>
      <c r="O52" s="290"/>
    </row>
    <row r="53" spans="2:15" ht="12.75">
      <c r="B53" s="12">
        <f t="shared" si="0"/>
        <v>2052</v>
      </c>
      <c r="C53" s="288"/>
      <c r="D53" s="225">
        <f>'Unit &amp; Fin Data-input'!$C$28*'O&amp;M escalators-input '!$M53</f>
        <v>0</v>
      </c>
      <c r="E53" s="225">
        <f>'Unit &amp; Fin Data-input'!$C$29*'O&amp;M escalators-input '!$N53</f>
        <v>3437.8528724572625</v>
      </c>
      <c r="F53" s="289">
        <f>'Unit &amp; Fin Data-input'!$C$30*8760/1000*'O&amp;M escalators-input '!$O53</f>
        <v>0</v>
      </c>
      <c r="G53" s="142"/>
      <c r="H53" s="122"/>
      <c r="J53" s="122"/>
      <c r="K53" s="226"/>
      <c r="L53" s="225"/>
      <c r="M53" s="290"/>
      <c r="N53" s="290"/>
      <c r="O53" s="290"/>
    </row>
    <row r="54" spans="2:15" ht="12.75">
      <c r="B54" s="12">
        <f t="shared" si="0"/>
        <v>2053</v>
      </c>
      <c r="C54" s="288"/>
      <c r="D54" s="225">
        <f>'Unit &amp; Fin Data-input'!$C$28*'O&amp;M escalators-input '!$M54</f>
        <v>0</v>
      </c>
      <c r="E54" s="225">
        <f>'Unit &amp; Fin Data-input'!$C$29*'O&amp;M escalators-input '!$N54</f>
        <v>3523.799194268694</v>
      </c>
      <c r="F54" s="289">
        <f>'Unit &amp; Fin Data-input'!$C$30*8760/1000*'O&amp;M escalators-input '!$O54</f>
        <v>0</v>
      </c>
      <c r="G54" s="142"/>
      <c r="H54" s="122"/>
      <c r="J54" s="122"/>
      <c r="K54" s="226"/>
      <c r="L54" s="225"/>
      <c r="M54" s="290"/>
      <c r="N54" s="290"/>
      <c r="O54" s="290"/>
    </row>
    <row r="55" spans="2:15" ht="12.75">
      <c r="B55" s="12">
        <f t="shared" si="0"/>
        <v>2054</v>
      </c>
      <c r="C55" s="288"/>
      <c r="D55" s="225">
        <f>'Unit &amp; Fin Data-input'!$C$28*'O&amp;M escalators-input '!$M55</f>
        <v>0</v>
      </c>
      <c r="E55" s="225">
        <f>'Unit &amp; Fin Data-input'!$C$29*'O&amp;M escalators-input '!$N55</f>
        <v>3611.8941741254107</v>
      </c>
      <c r="F55" s="289">
        <f>'Unit &amp; Fin Data-input'!$C$30*8760/1000*'O&amp;M escalators-input '!$O55</f>
        <v>0</v>
      </c>
      <c r="G55" s="142"/>
      <c r="H55" s="122"/>
      <c r="J55" s="122"/>
      <c r="K55" s="226"/>
      <c r="L55" s="225"/>
      <c r="M55" s="290"/>
      <c r="N55" s="290"/>
      <c r="O55" s="290"/>
    </row>
    <row r="56" spans="2:15" ht="12.75">
      <c r="B56" s="12">
        <f t="shared" si="0"/>
        <v>2055</v>
      </c>
      <c r="C56" s="288"/>
      <c r="D56" s="225">
        <f>'Unit &amp; Fin Data-input'!$C$28*'O&amp;M escalators-input '!$M56</f>
        <v>0</v>
      </c>
      <c r="E56" s="225">
        <f>'Unit &amp; Fin Data-input'!$C$29*'O&amp;M escalators-input '!$N56</f>
        <v>3702.1915284785455</v>
      </c>
      <c r="F56" s="289">
        <f>'Unit &amp; Fin Data-input'!$C$30*8760/1000*'O&amp;M escalators-input '!$O56</f>
        <v>0</v>
      </c>
      <c r="G56" s="142"/>
      <c r="H56" s="122"/>
      <c r="J56" s="122"/>
      <c r="K56" s="226"/>
      <c r="L56" s="225"/>
      <c r="M56" s="290"/>
      <c r="N56" s="290"/>
      <c r="O56" s="290"/>
    </row>
    <row r="57" spans="2:15" ht="12.75">
      <c r="B57" s="12">
        <f t="shared" si="0"/>
        <v>2056</v>
      </c>
      <c r="C57" s="288"/>
      <c r="D57" s="225">
        <f>'Unit &amp; Fin Data-input'!$C$28*'O&amp;M escalators-input '!$M57</f>
        <v>0</v>
      </c>
      <c r="E57" s="225">
        <f>'Unit &amp; Fin Data-input'!$C$29*'O&amp;M escalators-input '!$N57</f>
        <v>3794.746316690509</v>
      </c>
      <c r="F57" s="289">
        <f>'Unit &amp; Fin Data-input'!$C$30*8760/1000*'O&amp;M escalators-input '!$O57</f>
        <v>0</v>
      </c>
      <c r="G57" s="142"/>
      <c r="H57" s="122"/>
      <c r="J57" s="122"/>
      <c r="K57" s="226"/>
      <c r="L57" s="225"/>
      <c r="M57" s="290"/>
      <c r="N57" s="290"/>
      <c r="O57" s="290"/>
    </row>
    <row r="58" spans="2:15" ht="12.75">
      <c r="B58" s="12">
        <f t="shared" si="0"/>
        <v>2057</v>
      </c>
      <c r="C58" s="288"/>
      <c r="D58" s="225">
        <f>'Unit &amp; Fin Data-input'!$C$28*'O&amp;M escalators-input '!$M58</f>
        <v>0</v>
      </c>
      <c r="E58" s="225">
        <f>'Unit &amp; Fin Data-input'!$C$29*'O&amp;M escalators-input '!$N58</f>
        <v>3889.6149746077717</v>
      </c>
      <c r="F58" s="289">
        <f>'Unit &amp; Fin Data-input'!$C$30*8760/1000*'O&amp;M escalators-input '!$O58</f>
        <v>0</v>
      </c>
      <c r="G58" s="142"/>
      <c r="H58" s="122"/>
      <c r="J58" s="122"/>
      <c r="K58" s="226"/>
      <c r="L58" s="225"/>
      <c r="M58" s="290"/>
      <c r="N58" s="290"/>
      <c r="O58" s="290"/>
    </row>
    <row r="59" spans="2:15" ht="12.75">
      <c r="B59" s="12">
        <f t="shared" si="0"/>
        <v>2058</v>
      </c>
      <c r="C59" s="288"/>
      <c r="D59" s="225">
        <f>'Unit &amp; Fin Data-input'!$C$28*'O&amp;M escalators-input '!$M59</f>
        <v>0</v>
      </c>
      <c r="E59" s="225">
        <f>'Unit &amp; Fin Data-input'!$C$29*'O&amp;M escalators-input '!$N59</f>
        <v>3986.8553489729657</v>
      </c>
      <c r="F59" s="289">
        <f>'Unit &amp; Fin Data-input'!$C$30*8760/1000*'O&amp;M escalators-input '!$O59</f>
        <v>0</v>
      </c>
      <c r="G59" s="142"/>
      <c r="H59" s="122"/>
      <c r="J59" s="122"/>
      <c r="K59" s="226"/>
      <c r="L59" s="225"/>
      <c r="M59" s="290"/>
      <c r="N59" s="290"/>
      <c r="O59" s="290"/>
    </row>
    <row r="60" spans="2:15" ht="12.75">
      <c r="B60" s="12">
        <f t="shared" si="0"/>
        <v>2059</v>
      </c>
      <c r="C60" s="288"/>
      <c r="D60" s="225">
        <f>'Unit &amp; Fin Data-input'!$C$28*'O&amp;M escalators-input '!$M60</f>
        <v>0</v>
      </c>
      <c r="E60" s="225">
        <f>'Unit &amp; Fin Data-input'!$C$29*'O&amp;M escalators-input '!$N60</f>
        <v>4086.52673269729</v>
      </c>
      <c r="F60" s="289">
        <f>'Unit &amp; Fin Data-input'!$C$30*8760/1000*'O&amp;M escalators-input '!$O60</f>
        <v>0</v>
      </c>
      <c r="G60" s="142"/>
      <c r="H60" s="122"/>
      <c r="J60" s="122"/>
      <c r="K60" s="226"/>
      <c r="L60" s="225"/>
      <c r="M60" s="290"/>
      <c r="N60" s="290"/>
      <c r="O60" s="290"/>
    </row>
    <row r="61" spans="2:15" ht="12.75">
      <c r="B61" s="12">
        <f t="shared" si="0"/>
        <v>2060</v>
      </c>
      <c r="C61" s="288"/>
      <c r="D61" s="225">
        <f>'Unit &amp; Fin Data-input'!$C$28*'O&amp;M escalators-input '!$M61</f>
        <v>0</v>
      </c>
      <c r="E61" s="225">
        <f>'Unit &amp; Fin Data-input'!$C$29*'O&amp;M escalators-input '!$N61</f>
        <v>4188.689901014722</v>
      </c>
      <c r="F61" s="289">
        <f>'Unit &amp; Fin Data-input'!$C$30*8760/1000*'O&amp;M escalators-input '!$O61</f>
        <v>0</v>
      </c>
      <c r="G61" s="142"/>
      <c r="H61" s="122"/>
      <c r="J61" s="122"/>
      <c r="K61" s="226"/>
      <c r="L61" s="225"/>
      <c r="M61" s="290"/>
      <c r="N61" s="290"/>
      <c r="O61" s="290"/>
    </row>
    <row r="62" spans="2:15" ht="12.75">
      <c r="B62" s="12">
        <f t="shared" si="0"/>
        <v>2061</v>
      </c>
      <c r="C62" s="288"/>
      <c r="D62" s="225">
        <f>'Unit &amp; Fin Data-input'!$C$28*'O&amp;M escalators-input '!$M62</f>
        <v>0</v>
      </c>
      <c r="E62" s="225">
        <f>'Unit &amp; Fin Data-input'!$C$29*'O&amp;M escalators-input '!$N62</f>
        <v>4293.40714854009</v>
      </c>
      <c r="F62" s="289">
        <f>'Unit &amp; Fin Data-input'!$C$30*8760/1000*'O&amp;M escalators-input '!$O62</f>
        <v>0</v>
      </c>
      <c r="G62" s="142"/>
      <c r="H62" s="122"/>
      <c r="J62" s="122"/>
      <c r="K62" s="226"/>
      <c r="L62" s="225"/>
      <c r="M62" s="290"/>
      <c r="N62" s="290"/>
      <c r="O62" s="290"/>
    </row>
    <row r="63" spans="2:15" ht="12.75">
      <c r="B63" s="12">
        <f t="shared" si="0"/>
        <v>2062</v>
      </c>
      <c r="C63" s="288"/>
      <c r="D63" s="225">
        <f>'Unit &amp; Fin Data-input'!$C$28*'O&amp;M escalators-input '!$M63</f>
        <v>0</v>
      </c>
      <c r="E63" s="225">
        <f>'Unit &amp; Fin Data-input'!$C$29*'O&amp;M escalators-input '!$N63</f>
        <v>4400.742327253592</v>
      </c>
      <c r="F63" s="289">
        <f>'Unit &amp; Fin Data-input'!$C$30*8760/1000*'O&amp;M escalators-input '!$O63</f>
        <v>0</v>
      </c>
      <c r="G63" s="142"/>
      <c r="H63" s="122"/>
      <c r="J63" s="122"/>
      <c r="K63" s="226"/>
      <c r="L63" s="225"/>
      <c r="M63" s="290"/>
      <c r="N63" s="290"/>
      <c r="O63" s="290"/>
    </row>
    <row r="64" spans="2:15" ht="12.75">
      <c r="B64" s="291">
        <f t="shared" si="0"/>
        <v>2063</v>
      </c>
      <c r="C64" s="317"/>
      <c r="D64" s="292">
        <f>'Unit &amp; Fin Data-input'!$C$28*'O&amp;M escalators-input '!$M64</f>
        <v>0</v>
      </c>
      <c r="E64" s="292">
        <f>'Unit &amp; Fin Data-input'!$C$29*'O&amp;M escalators-input '!$N64</f>
        <v>4510.760885434931</v>
      </c>
      <c r="F64" s="293">
        <f>'Unit &amp; Fin Data-input'!$C$30*8760/1000*'O&amp;M escalators-input '!$O64</f>
        <v>0</v>
      </c>
      <c r="G64" s="142"/>
      <c r="H64" s="122"/>
      <c r="J64" s="122"/>
      <c r="K64" s="226"/>
      <c r="L64" s="225"/>
      <c r="M64" s="290"/>
      <c r="N64" s="290"/>
      <c r="O64" s="290"/>
    </row>
  </sheetData>
  <sheetProtection/>
  <mergeCells count="2">
    <mergeCell ref="C11:F11"/>
    <mergeCell ref="E8:F8"/>
  </mergeCells>
  <printOptions/>
  <pageMargins left="0" right="0" top="0" bottom="0" header="0" footer="0"/>
  <pageSetup fitToHeight="1" fitToWidth="1" horizontalDpi="600" verticalDpi="600" orientation="portrait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.140625" style="22" customWidth="1"/>
    <col min="2" max="2" width="14.8515625" style="22" customWidth="1"/>
    <col min="3" max="3" width="17.28125" style="22" customWidth="1"/>
    <col min="4" max="4" width="9.8515625" style="22" customWidth="1"/>
    <col min="5" max="5" width="4.8515625" style="22" customWidth="1"/>
    <col min="6" max="6" width="6.421875" style="22" bestFit="1" customWidth="1"/>
    <col min="7" max="7" width="6.28125" style="22" hidden="1" customWidth="1"/>
    <col min="8" max="8" width="10.421875" style="22" hidden="1" customWidth="1"/>
    <col min="9" max="9" width="10.421875" style="22" customWidth="1"/>
    <col min="10" max="10" width="13.7109375" style="23" bestFit="1" customWidth="1"/>
    <col min="11" max="11" width="13.28125" style="23" bestFit="1" customWidth="1"/>
    <col min="12" max="12" width="11.140625" style="23" bestFit="1" customWidth="1"/>
    <col min="13" max="13" width="16.140625" style="23" customWidth="1"/>
    <col min="14" max="14" width="10.57421875" style="24" customWidth="1"/>
    <col min="15" max="15" width="17.57421875" style="24" bestFit="1" customWidth="1"/>
    <col min="16" max="16" width="10.57421875" style="24" customWidth="1"/>
    <col min="17" max="17" width="13.00390625" style="24" bestFit="1" customWidth="1"/>
    <col min="18" max="18" width="11.8515625" style="24" customWidth="1"/>
    <col min="19" max="19" width="10.57421875" style="24" bestFit="1" customWidth="1"/>
    <col min="20" max="20" width="11.7109375" style="24" customWidth="1"/>
    <col min="21" max="21" width="9.140625" style="25" customWidth="1"/>
    <col min="22" max="22" width="9.421875" style="56" bestFit="1" customWidth="1"/>
    <col min="23" max="23" width="9.8515625" style="56" customWidth="1"/>
    <col min="24" max="24" width="10.140625" style="27" customWidth="1"/>
    <col min="25" max="25" width="8.8515625" style="29" bestFit="1" customWidth="1"/>
    <col min="26" max="26" width="10.421875" style="29" customWidth="1"/>
    <col min="27" max="27" width="11.8515625" style="29" bestFit="1" customWidth="1"/>
    <col min="28" max="16384" width="9.140625" style="22" customWidth="1"/>
  </cols>
  <sheetData>
    <row r="1" spans="2:27" s="332" customFormat="1" ht="15">
      <c r="B1" s="341" t="s">
        <v>114</v>
      </c>
      <c r="N1" s="333"/>
      <c r="O1" s="333"/>
      <c r="P1" s="333"/>
      <c r="Q1" s="333"/>
      <c r="R1" s="333"/>
      <c r="S1" s="333"/>
      <c r="T1" s="333"/>
      <c r="U1" s="333"/>
      <c r="V1" s="334"/>
      <c r="W1" s="334"/>
      <c r="X1" s="335"/>
      <c r="Y1" s="335"/>
      <c r="Z1" s="335"/>
      <c r="AA1" s="335"/>
    </row>
    <row r="2" spans="2:27" s="332" customFormat="1" ht="15">
      <c r="B2" s="341" t="s">
        <v>115</v>
      </c>
      <c r="N2" s="333"/>
      <c r="O2" s="333"/>
      <c r="P2" s="333"/>
      <c r="Q2" s="333"/>
      <c r="R2" s="333"/>
      <c r="S2" s="333"/>
      <c r="T2" s="333"/>
      <c r="U2" s="333"/>
      <c r="V2" s="334"/>
      <c r="W2" s="334"/>
      <c r="X2" s="335"/>
      <c r="Y2" s="335"/>
      <c r="Z2" s="335"/>
      <c r="AA2" s="335"/>
    </row>
    <row r="3" spans="2:27" s="332" customFormat="1" ht="15">
      <c r="B3" s="341" t="s">
        <v>116</v>
      </c>
      <c r="N3" s="333"/>
      <c r="O3" s="333"/>
      <c r="P3" s="333"/>
      <c r="Q3" s="333"/>
      <c r="R3" s="333"/>
      <c r="S3" s="333"/>
      <c r="T3" s="333"/>
      <c r="U3" s="333"/>
      <c r="V3" s="334"/>
      <c r="W3" s="334"/>
      <c r="X3" s="335"/>
      <c r="Y3" s="335"/>
      <c r="Z3" s="335"/>
      <c r="AA3" s="335"/>
    </row>
    <row r="4" spans="2:27" s="332" customFormat="1" ht="15">
      <c r="B4" s="341" t="s">
        <v>117</v>
      </c>
      <c r="N4" s="333"/>
      <c r="O4" s="333"/>
      <c r="P4" s="333"/>
      <c r="Q4" s="333"/>
      <c r="R4" s="333"/>
      <c r="S4" s="333"/>
      <c r="T4" s="333"/>
      <c r="U4" s="333"/>
      <c r="V4" s="334"/>
      <c r="W4" s="334"/>
      <c r="X4" s="335"/>
      <c r="Y4" s="335"/>
      <c r="Z4" s="335"/>
      <c r="AA4" s="335"/>
    </row>
    <row r="5" spans="2:27" s="332" customFormat="1" ht="15">
      <c r="B5" s="341" t="s">
        <v>118</v>
      </c>
      <c r="N5" s="333"/>
      <c r="O5" s="333"/>
      <c r="P5" s="333"/>
      <c r="Q5" s="333"/>
      <c r="R5" s="333"/>
      <c r="S5" s="333"/>
      <c r="T5" s="333"/>
      <c r="U5" s="333"/>
      <c r="V5" s="334"/>
      <c r="W5" s="334"/>
      <c r="X5" s="335"/>
      <c r="Y5" s="335"/>
      <c r="Z5" s="335"/>
      <c r="AA5" s="335"/>
    </row>
    <row r="6" spans="2:27" s="332" customFormat="1" ht="15">
      <c r="B6" s="341" t="s">
        <v>125</v>
      </c>
      <c r="N6" s="333"/>
      <c r="O6" s="333"/>
      <c r="P6" s="333"/>
      <c r="Q6" s="333"/>
      <c r="R6" s="333"/>
      <c r="S6" s="333"/>
      <c r="T6" s="333"/>
      <c r="U6" s="333"/>
      <c r="V6" s="334"/>
      <c r="W6" s="334"/>
      <c r="X6" s="335"/>
      <c r="Y6" s="335"/>
      <c r="Z6" s="335"/>
      <c r="AA6" s="335"/>
    </row>
    <row r="7" spans="14:27" s="332" customFormat="1" ht="12.75">
      <c r="N7" s="333"/>
      <c r="O7" s="333"/>
      <c r="P7" s="333"/>
      <c r="Q7" s="333"/>
      <c r="R7" s="333"/>
      <c r="S7" s="333"/>
      <c r="T7" s="333"/>
      <c r="U7" s="333"/>
      <c r="V7" s="334"/>
      <c r="W7" s="334"/>
      <c r="X7" s="335"/>
      <c r="Y7" s="335"/>
      <c r="Z7" s="335"/>
      <c r="AA7" s="335"/>
    </row>
    <row r="8" spans="1:20" ht="15.75">
      <c r="A8" s="318" t="s">
        <v>110</v>
      </c>
      <c r="R8" s="342"/>
      <c r="S8" s="342"/>
      <c r="T8" s="342"/>
    </row>
    <row r="9" spans="2:20" ht="19.5" thickBot="1">
      <c r="B9" s="1"/>
      <c r="C9" s="1"/>
      <c r="F9" s="15"/>
      <c r="H9" s="72"/>
      <c r="I9" s="360" t="s">
        <v>104</v>
      </c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</row>
    <row r="10" spans="2:20" ht="12.75">
      <c r="B10" s="294"/>
      <c r="C10" s="73"/>
      <c r="D10" s="73"/>
      <c r="E10" s="73"/>
      <c r="F10" s="73"/>
      <c r="G10" s="73"/>
      <c r="H10" s="73"/>
      <c r="I10" s="73"/>
      <c r="J10" s="74"/>
      <c r="K10" s="74"/>
      <c r="L10" s="74"/>
      <c r="M10" s="74"/>
      <c r="N10" s="75"/>
      <c r="O10" s="136"/>
      <c r="P10" s="76"/>
      <c r="Q10" s="76"/>
      <c r="R10" s="77" t="str">
        <f>'Unit &amp; Fin Data-input'!C18</f>
        <v>Solar</v>
      </c>
      <c r="S10" s="76"/>
      <c r="T10" s="78"/>
    </row>
    <row r="11" spans="2:20" ht="12.75">
      <c r="B11" s="361" t="str">
        <f>'Unit &amp; Fin Data-input'!C13</f>
        <v>Roof Top Solar C/I</v>
      </c>
      <c r="C11" s="361"/>
      <c r="D11" s="361"/>
      <c r="E11" s="73"/>
      <c r="F11" s="73"/>
      <c r="G11" s="73"/>
      <c r="H11" s="73"/>
      <c r="I11" s="73"/>
      <c r="J11" s="80"/>
      <c r="K11" s="81"/>
      <c r="L11" s="80"/>
      <c r="M11" s="74"/>
      <c r="N11" s="76"/>
      <c r="O11" s="76"/>
      <c r="P11" s="76"/>
      <c r="Q11" s="76"/>
      <c r="R11" s="77">
        <f>'Unit &amp; Fin Data-input'!C19</f>
        <v>1</v>
      </c>
      <c r="S11" s="76"/>
      <c r="T11" s="76"/>
    </row>
    <row r="12" spans="2:27" ht="12.75">
      <c r="B12" s="359"/>
      <c r="C12" s="359"/>
      <c r="D12" s="359"/>
      <c r="E12" s="73"/>
      <c r="F12" s="73"/>
      <c r="G12" s="73"/>
      <c r="H12" s="82"/>
      <c r="I12" s="357" t="s">
        <v>40</v>
      </c>
      <c r="J12" s="352"/>
      <c r="K12" s="352"/>
      <c r="L12" s="352"/>
      <c r="M12" s="358"/>
      <c r="N12" s="353" t="s">
        <v>41</v>
      </c>
      <c r="O12" s="354"/>
      <c r="P12" s="354"/>
      <c r="Q12" s="354"/>
      <c r="R12" s="354"/>
      <c r="S12" s="355"/>
      <c r="T12" s="83"/>
      <c r="U12" s="7"/>
      <c r="V12" s="356"/>
      <c r="W12" s="356"/>
      <c r="X12" s="356"/>
      <c r="Y12" s="356"/>
      <c r="Z12" s="356"/>
      <c r="AA12" s="356"/>
    </row>
    <row r="13" spans="2:27" ht="12.75">
      <c r="B13" s="84"/>
      <c r="C13" s="85"/>
      <c r="D13" s="86"/>
      <c r="E13" s="73"/>
      <c r="F13" s="73"/>
      <c r="G13" s="73"/>
      <c r="H13" s="87"/>
      <c r="I13" s="87"/>
      <c r="J13" s="88"/>
      <c r="K13" s="88"/>
      <c r="L13" s="88"/>
      <c r="M13" s="89"/>
      <c r="N13" s="90"/>
      <c r="O13" s="91"/>
      <c r="P13" s="91"/>
      <c r="Q13" s="91"/>
      <c r="R13" s="91"/>
      <c r="S13" s="92"/>
      <c r="T13" s="93"/>
      <c r="U13" s="7"/>
      <c r="V13" s="16"/>
      <c r="W13" s="57"/>
      <c r="X13" s="16"/>
      <c r="Y13" s="16"/>
      <c r="Z13" s="16"/>
      <c r="AA13" s="16"/>
    </row>
    <row r="14" spans="2:27" ht="12.75">
      <c r="B14" s="94"/>
      <c r="C14" s="95" t="s">
        <v>39</v>
      </c>
      <c r="D14" s="320">
        <f>'Unit &amp; Fin Data-input'!C38</f>
        <v>0.0754</v>
      </c>
      <c r="E14" s="73"/>
      <c r="F14" s="73"/>
      <c r="G14" s="73"/>
      <c r="H14" s="87"/>
      <c r="I14" s="87"/>
      <c r="J14" s="88"/>
      <c r="K14" s="88" t="s">
        <v>44</v>
      </c>
      <c r="L14" s="88" t="s">
        <v>45</v>
      </c>
      <c r="M14" s="89" t="s">
        <v>0</v>
      </c>
      <c r="N14" s="90" t="s">
        <v>46</v>
      </c>
      <c r="O14" s="91" t="s">
        <v>47</v>
      </c>
      <c r="P14" s="91" t="s">
        <v>48</v>
      </c>
      <c r="Q14" s="91" t="s">
        <v>49</v>
      </c>
      <c r="R14" s="91" t="s">
        <v>7</v>
      </c>
      <c r="S14" s="92" t="s">
        <v>50</v>
      </c>
      <c r="T14" s="93"/>
      <c r="U14" s="7"/>
      <c r="V14" s="16"/>
      <c r="W14" s="16"/>
      <c r="X14" s="16"/>
      <c r="Y14" s="16"/>
      <c r="Z14" s="16"/>
      <c r="AA14" s="16"/>
    </row>
    <row r="15" spans="2:27" ht="12.75">
      <c r="B15" s="94"/>
      <c r="C15" s="96" t="s">
        <v>84</v>
      </c>
      <c r="D15" s="331">
        <f>'Unit &amp; Fin Data-input'!C25</f>
        <v>0.0268</v>
      </c>
      <c r="E15" s="73"/>
      <c r="F15" s="73"/>
      <c r="G15" s="73"/>
      <c r="H15" s="87" t="s">
        <v>67</v>
      </c>
      <c r="I15" s="87" t="s">
        <v>51</v>
      </c>
      <c r="J15" s="88" t="s">
        <v>45</v>
      </c>
      <c r="K15" s="88" t="s">
        <v>52</v>
      </c>
      <c r="L15" s="88" t="s">
        <v>53</v>
      </c>
      <c r="M15" s="89" t="s">
        <v>54</v>
      </c>
      <c r="N15" s="90" t="s">
        <v>55</v>
      </c>
      <c r="O15" s="91" t="s">
        <v>55</v>
      </c>
      <c r="P15" s="91" t="s">
        <v>55</v>
      </c>
      <c r="Q15" s="91" t="s">
        <v>55</v>
      </c>
      <c r="R15" s="91" t="s">
        <v>56</v>
      </c>
      <c r="S15" s="92" t="s">
        <v>57</v>
      </c>
      <c r="T15" s="97" t="s">
        <v>58</v>
      </c>
      <c r="U15" s="7"/>
      <c r="V15" s="16"/>
      <c r="W15" s="16"/>
      <c r="X15" s="16"/>
      <c r="Y15" s="16"/>
      <c r="Z15" s="16"/>
      <c r="AA15" s="16"/>
    </row>
    <row r="16" spans="2:27" ht="12.75">
      <c r="B16" s="94"/>
      <c r="C16" s="18" t="s">
        <v>61</v>
      </c>
      <c r="D16" s="295">
        <f>'Unit &amp; Fin Data-input'!C26</f>
        <v>0</v>
      </c>
      <c r="E16" s="73"/>
      <c r="F16" s="79" t="s">
        <v>26</v>
      </c>
      <c r="G16" s="79"/>
      <c r="H16" s="98" t="s">
        <v>68</v>
      </c>
      <c r="I16" s="90" t="s">
        <v>59</v>
      </c>
      <c r="J16" s="313" t="s">
        <v>60</v>
      </c>
      <c r="K16" s="299" t="s">
        <v>60</v>
      </c>
      <c r="L16" s="299" t="s">
        <v>60</v>
      </c>
      <c r="M16" s="300" t="s">
        <v>60</v>
      </c>
      <c r="N16" s="303" t="s">
        <v>60</v>
      </c>
      <c r="O16" s="299" t="s">
        <v>60</v>
      </c>
      <c r="P16" s="299" t="s">
        <v>60</v>
      </c>
      <c r="Q16" s="299" t="s">
        <v>60</v>
      </c>
      <c r="R16" s="299" t="s">
        <v>60</v>
      </c>
      <c r="S16" s="300" t="s">
        <v>60</v>
      </c>
      <c r="T16" s="306" t="s">
        <v>60</v>
      </c>
      <c r="U16" s="7"/>
      <c r="V16" s="16"/>
      <c r="W16" s="16"/>
      <c r="X16" s="58"/>
      <c r="Y16" s="16"/>
      <c r="Z16" s="59"/>
      <c r="AA16" s="16"/>
    </row>
    <row r="17" spans="2:28" ht="12.75">
      <c r="B17" s="84"/>
      <c r="C17" s="21" t="s">
        <v>62</v>
      </c>
      <c r="D17" s="296">
        <f>'Unit &amp; Fin Data-input'!C28</f>
        <v>0</v>
      </c>
      <c r="E17" s="99"/>
      <c r="F17" s="13">
        <v>2014</v>
      </c>
      <c r="G17" s="13">
        <v>1</v>
      </c>
      <c r="H17" s="100">
        <f>IF(AND(F17&gt;=$D$21,F17&lt;$D$21+$D$22)=TRUE,1,0)</f>
        <v>0</v>
      </c>
      <c r="I17" s="301">
        <f>H17</f>
        <v>0</v>
      </c>
      <c r="J17" s="101">
        <f>'Capital costs-input'!D15</f>
        <v>0</v>
      </c>
      <c r="K17" s="308">
        <f>IF($H17=0,0,' O&amp;M costs'!D15*'Levelized Cost'!$D$15)</f>
        <v>0</v>
      </c>
      <c r="L17" s="308">
        <f>IF($H17=0,0,' O&amp;M costs'!E15*'Levelized Cost'!$D$15)</f>
        <v>0</v>
      </c>
      <c r="M17" s="302">
        <f aca="true" t="shared" si="0" ref="M17:M24">IF($H17=0,0,$D$20*$D$15)</f>
        <v>0</v>
      </c>
      <c r="N17" s="304">
        <f>IF($H17=0,0,'Unit &amp; Fin Data-input'!$C$32*'Unit &amp; Fin Data-input'!$C$26*8760/2000*'Levelized Cost'!$D$15*'Emission costs-input'!B18/1000000)</f>
        <v>0</v>
      </c>
      <c r="O17" s="305">
        <f>IF($H17=0,0,'Unit &amp; Fin Data-input'!$C$33*'Unit &amp; Fin Data-input'!$C$26*8760/2000*'Levelized Cost'!$D$15*'Emission costs-input'!C18/1000000)</f>
        <v>0</v>
      </c>
      <c r="P17" s="305">
        <f>IF($H17=0,0,'Unit &amp; Fin Data-input'!$C$34*'Unit &amp; Fin Data-input'!$C$26*8760/2000*'Levelized Cost'!$D$15*'Emission costs-input'!D18/1000000)</f>
        <v>0</v>
      </c>
      <c r="Q17" s="305">
        <f>IF($H17=0,0,'Unit &amp; Fin Data-input'!$C$25*8760*'Unit &amp; Fin Data-input'!$C$26/1000*'Unit &amp; Fin Data-input'!$C$35/1000*'Emission costs-input'!E18/1000000)</f>
        <v>0</v>
      </c>
      <c r="R17" s="305">
        <f aca="true" t="shared" si="1" ref="R17:R26">IF(F17&lt;$D$21,0,HLOOKUP($R$11,fuelprice,G17)*$D$16*8760*$D$15/1000000)*H17</f>
        <v>0</v>
      </c>
      <c r="S17" s="305">
        <f>IF($H17=0,0,' O&amp;M costs'!F15*'Levelized Cost'!$D$15)</f>
        <v>0</v>
      </c>
      <c r="T17" s="307">
        <f aca="true" t="shared" si="2" ref="T17:T27">SUM(J17:S17)</f>
        <v>0</v>
      </c>
      <c r="V17" s="60"/>
      <c r="W17" s="27"/>
      <c r="X17" s="28"/>
      <c r="AA17" s="34"/>
      <c r="AB17" s="30"/>
    </row>
    <row r="18" spans="2:28" ht="12.75">
      <c r="B18" s="94"/>
      <c r="C18" s="19" t="s">
        <v>16</v>
      </c>
      <c r="D18" s="297">
        <f>'Unit &amp; Fin Data-input'!C29</f>
        <v>1345.18</v>
      </c>
      <c r="E18" s="99"/>
      <c r="F18" s="13">
        <f aca="true" t="shared" si="3" ref="F18:F49">F17+1</f>
        <v>2015</v>
      </c>
      <c r="G18" s="13">
        <f>G17+1</f>
        <v>2</v>
      </c>
      <c r="H18" s="100">
        <f aca="true" t="shared" si="4" ref="H18:H66">IF(AND(F18&gt;=$D$21,F18&lt;$D$21+$D$22)=TRUE,1,0)</f>
        <v>0</v>
      </c>
      <c r="I18" s="100">
        <f>IF(COUNTIF(H$17:H18,1)&gt;0,COUNTIF(H$17:H18,1),0)</f>
        <v>0</v>
      </c>
      <c r="J18" s="101">
        <f>'Capital costs-input'!D16</f>
        <v>0</v>
      </c>
      <c r="K18" s="269">
        <f>IF($H18=0,0,' O&amp;M costs'!D16*'Levelized Cost'!$D$15)</f>
        <v>0</v>
      </c>
      <c r="L18" s="269">
        <f>IF($H18=0,0,' O&amp;M costs'!E16*'Levelized Cost'!$D$15)</f>
        <v>0</v>
      </c>
      <c r="M18" s="101">
        <f t="shared" si="0"/>
        <v>0</v>
      </c>
      <c r="N18" s="64">
        <f>IF($H18=0,0,'Unit &amp; Fin Data-input'!$C$32*'Unit &amp; Fin Data-input'!$C$26*8760/2000*'Levelized Cost'!$D$15*'Emission costs-input'!B19/1000000)</f>
        <v>0</v>
      </c>
      <c r="O18" s="62">
        <f>IF($H18=0,0,'Unit &amp; Fin Data-input'!$C$33*'Unit &amp; Fin Data-input'!$C$26*8760/2000*'Levelized Cost'!$D$15*'Emission costs-input'!C19/1000000)</f>
        <v>0</v>
      </c>
      <c r="P18" s="62">
        <f>IF($H18=0,0,'Unit &amp; Fin Data-input'!$C$34*'Unit &amp; Fin Data-input'!$C$26*8760/2000*'Levelized Cost'!$D$15*'Emission costs-input'!D19/1000000)</f>
        <v>0</v>
      </c>
      <c r="Q18" s="62">
        <f>IF($H18=0,0,'Unit &amp; Fin Data-input'!$C$25*8760*'Unit &amp; Fin Data-input'!$C$26/1000*'Unit &amp; Fin Data-input'!$C$35/1000*'Emission costs-input'!E19/1000000)</f>
        <v>0</v>
      </c>
      <c r="R18" s="62">
        <f t="shared" si="1"/>
        <v>0</v>
      </c>
      <c r="S18" s="62">
        <f>IF($H18=0,0,' O&amp;M costs'!F16*'Levelized Cost'!$D$15)</f>
        <v>0</v>
      </c>
      <c r="T18" s="102">
        <f t="shared" si="2"/>
        <v>0</v>
      </c>
      <c r="V18" s="60"/>
      <c r="W18" s="27"/>
      <c r="X18" s="28"/>
      <c r="AA18" s="34"/>
      <c r="AB18" s="30"/>
    </row>
    <row r="19" spans="2:28" ht="12.75">
      <c r="B19" s="94"/>
      <c r="C19" s="18" t="s">
        <v>17</v>
      </c>
      <c r="D19" s="297">
        <f>'Unit &amp; Fin Data-input'!C30</f>
        <v>0</v>
      </c>
      <c r="E19" s="99"/>
      <c r="F19" s="13">
        <f t="shared" si="3"/>
        <v>2016</v>
      </c>
      <c r="G19" s="13">
        <f aca="true" t="shared" si="5" ref="G19:G66">G18+1</f>
        <v>3</v>
      </c>
      <c r="H19" s="100">
        <f t="shared" si="4"/>
        <v>0</v>
      </c>
      <c r="I19" s="100">
        <f>IF(COUNTIF(H$17:H19,1)&gt;0,COUNTIF(H$17:H19,1),0)</f>
        <v>0</v>
      </c>
      <c r="J19" s="101">
        <f>'Capital costs-input'!D17</f>
        <v>0</v>
      </c>
      <c r="K19" s="269">
        <f>IF($H19=0,0,' O&amp;M costs'!D17*'Levelized Cost'!$D$15)</f>
        <v>0</v>
      </c>
      <c r="L19" s="269">
        <f>IF($H19=0,0,' O&amp;M costs'!E17*'Levelized Cost'!$D$15)</f>
        <v>0</v>
      </c>
      <c r="M19" s="101">
        <f t="shared" si="0"/>
        <v>0</v>
      </c>
      <c r="N19" s="64">
        <f>IF($H19=0,0,'Unit &amp; Fin Data-input'!$C$32*'Unit &amp; Fin Data-input'!$C$26*8760/2000*'Levelized Cost'!$D$15*'Emission costs-input'!B20/1000000)</f>
        <v>0</v>
      </c>
      <c r="O19" s="62">
        <f>IF($H19=0,0,'Unit &amp; Fin Data-input'!$C$33*'Unit &amp; Fin Data-input'!$C$26*8760/2000*'Levelized Cost'!$D$15*'Emission costs-input'!C20/1000000)</f>
        <v>0</v>
      </c>
      <c r="P19" s="62">
        <f>IF($H19=0,0,'Unit &amp; Fin Data-input'!$C$34*'Unit &amp; Fin Data-input'!$C$26*8760/2000*'Levelized Cost'!$D$15*'Emission costs-input'!D20/1000000)</f>
        <v>0</v>
      </c>
      <c r="Q19" s="62">
        <f>IF($H19=0,0,'Unit &amp; Fin Data-input'!$C$25*8760*'Unit &amp; Fin Data-input'!$C$26/1000*'Unit &amp; Fin Data-input'!$C$35/1000*'Emission costs-input'!E20/1000000)</f>
        <v>0</v>
      </c>
      <c r="R19" s="62">
        <f t="shared" si="1"/>
        <v>0</v>
      </c>
      <c r="S19" s="62">
        <f>IF($H19=0,0,' O&amp;M costs'!F17*'Levelized Cost'!$D$15)</f>
        <v>0</v>
      </c>
      <c r="T19" s="102">
        <f t="shared" si="2"/>
        <v>0</v>
      </c>
      <c r="V19" s="60"/>
      <c r="W19" s="27"/>
      <c r="X19" s="28"/>
      <c r="AA19" s="34"/>
      <c r="AB19" s="30"/>
    </row>
    <row r="20" spans="2:28" ht="12.75">
      <c r="B20" s="103"/>
      <c r="C20" s="104" t="s">
        <v>63</v>
      </c>
      <c r="D20" s="105">
        <f>'Unit &amp; Fin Data-input'!C23</f>
        <v>0</v>
      </c>
      <c r="E20" s="99"/>
      <c r="F20" s="13">
        <f t="shared" si="3"/>
        <v>2017</v>
      </c>
      <c r="G20" s="13">
        <f t="shared" si="5"/>
        <v>4</v>
      </c>
      <c r="H20" s="100">
        <f t="shared" si="4"/>
        <v>0</v>
      </c>
      <c r="I20" s="100">
        <f>IF(COUNTIF(H$17:H20,1)&gt;0,COUNTIF(H$17:H20,1),0)</f>
        <v>0</v>
      </c>
      <c r="J20" s="101">
        <f>'Capital costs-input'!D18</f>
        <v>0</v>
      </c>
      <c r="K20" s="269">
        <f>IF($H20=0,0,' O&amp;M costs'!D18*'Levelized Cost'!$D$15)</f>
        <v>0</v>
      </c>
      <c r="L20" s="269">
        <f>IF($H20=0,0,' O&amp;M costs'!E18*'Levelized Cost'!$D$15)</f>
        <v>0</v>
      </c>
      <c r="M20" s="101">
        <f t="shared" si="0"/>
        <v>0</v>
      </c>
      <c r="N20" s="64">
        <f>IF($H20=0,0,'Unit &amp; Fin Data-input'!$C$32*'Unit &amp; Fin Data-input'!$C$26*8760/2000*'Levelized Cost'!$D$15*'Emission costs-input'!B21/1000000)</f>
        <v>0</v>
      </c>
      <c r="O20" s="62">
        <f>IF($H20=0,0,'Unit &amp; Fin Data-input'!$C$33*'Unit &amp; Fin Data-input'!$C$26*8760/2000*'Levelized Cost'!$D$15*'Emission costs-input'!C21/1000000)</f>
        <v>0</v>
      </c>
      <c r="P20" s="62">
        <f>IF($H20=0,0,'Unit &amp; Fin Data-input'!$C$34*'Unit &amp; Fin Data-input'!$C$26*8760/2000*'Levelized Cost'!$D$15*'Emission costs-input'!D21/1000000)</f>
        <v>0</v>
      </c>
      <c r="Q20" s="62">
        <f>IF($H20=0,0,'Unit &amp; Fin Data-input'!$C$25*8760*'Unit &amp; Fin Data-input'!$C$26/1000*'Unit &amp; Fin Data-input'!$C$35/1000*'Emission costs-input'!E21/1000000)</f>
        <v>0</v>
      </c>
      <c r="R20" s="62">
        <f t="shared" si="1"/>
        <v>0</v>
      </c>
      <c r="S20" s="62">
        <f>IF($H20=0,0,' O&amp;M costs'!F18*'Levelized Cost'!$D$15)</f>
        <v>0</v>
      </c>
      <c r="T20" s="102">
        <f t="shared" si="2"/>
        <v>0</v>
      </c>
      <c r="V20" s="60"/>
      <c r="W20" s="31"/>
      <c r="X20" s="28"/>
      <c r="Y20" s="31"/>
      <c r="Z20" s="31"/>
      <c r="AA20" s="31"/>
      <c r="AB20" s="32"/>
    </row>
    <row r="21" spans="2:28" ht="12.75">
      <c r="B21" s="84"/>
      <c r="C21" s="85" t="s">
        <v>66</v>
      </c>
      <c r="D21" s="86">
        <f>'Unit &amp; Fin Data-input'!C39</f>
        <v>2022</v>
      </c>
      <c r="E21" s="106"/>
      <c r="F21" s="13">
        <f t="shared" si="3"/>
        <v>2018</v>
      </c>
      <c r="G21" s="13">
        <f t="shared" si="5"/>
        <v>5</v>
      </c>
      <c r="H21" s="100">
        <f t="shared" si="4"/>
        <v>0</v>
      </c>
      <c r="I21" s="100">
        <f>IF(H21&gt;0,COUNTIF(H$17:H21,1),0)</f>
        <v>0</v>
      </c>
      <c r="J21" s="101">
        <f>'Capital costs-input'!D19</f>
        <v>0</v>
      </c>
      <c r="K21" s="269">
        <f>IF($H21=0,0,' O&amp;M costs'!D19*'Levelized Cost'!$D$15)</f>
        <v>0</v>
      </c>
      <c r="L21" s="269">
        <f>IF($H21=0,0,' O&amp;M costs'!E19*'Levelized Cost'!$D$15)</f>
        <v>0</v>
      </c>
      <c r="M21" s="101">
        <f t="shared" si="0"/>
        <v>0</v>
      </c>
      <c r="N21" s="64">
        <f>IF($H21=0,0,'Unit &amp; Fin Data-input'!$C$32*'Unit &amp; Fin Data-input'!$C$26*8760/2000*'Levelized Cost'!$D$15*'Emission costs-input'!B22/1000000)</f>
        <v>0</v>
      </c>
      <c r="O21" s="62">
        <f>IF($H21=0,0,'Unit &amp; Fin Data-input'!$C$33*'Unit &amp; Fin Data-input'!$C$26*8760/2000*'Levelized Cost'!$D$15*'Emission costs-input'!C22/1000000)</f>
        <v>0</v>
      </c>
      <c r="P21" s="62">
        <f>IF($H21=0,0,'Unit &amp; Fin Data-input'!$C$34*'Unit &amp; Fin Data-input'!$C$26*8760/2000*'Levelized Cost'!$D$15*'Emission costs-input'!D22/1000000)</f>
        <v>0</v>
      </c>
      <c r="Q21" s="62">
        <f>IF($H21=0,0,'Unit &amp; Fin Data-input'!$C$25*8760*'Unit &amp; Fin Data-input'!$C$26/1000*'Unit &amp; Fin Data-input'!$C$35/1000*'Emission costs-input'!E22/1000000)</f>
        <v>0</v>
      </c>
      <c r="R21" s="62">
        <f t="shared" si="1"/>
        <v>0</v>
      </c>
      <c r="S21" s="62">
        <f>IF($H21=0,0,' O&amp;M costs'!F19*'Levelized Cost'!$D$15)</f>
        <v>0</v>
      </c>
      <c r="T21" s="102">
        <f t="shared" si="2"/>
        <v>0</v>
      </c>
      <c r="V21" s="60"/>
      <c r="W21" s="27"/>
      <c r="X21" s="28"/>
      <c r="AA21" s="34"/>
      <c r="AB21" s="30"/>
    </row>
    <row r="22" spans="2:35" ht="12.75">
      <c r="B22" s="94"/>
      <c r="C22" s="95" t="s">
        <v>65</v>
      </c>
      <c r="D22" s="107">
        <f>'Unit &amp; Fin Data-input'!C40</f>
        <v>31</v>
      </c>
      <c r="E22" s="106"/>
      <c r="F22" s="13">
        <f t="shared" si="3"/>
        <v>2019</v>
      </c>
      <c r="G22" s="13">
        <f t="shared" si="5"/>
        <v>6</v>
      </c>
      <c r="H22" s="100">
        <f t="shared" si="4"/>
        <v>0</v>
      </c>
      <c r="I22" s="100">
        <f>IF(H22&gt;0,COUNTIF(H$17:H22,1),0)</f>
        <v>0</v>
      </c>
      <c r="J22" s="101">
        <f>'Capital costs-input'!D20</f>
        <v>0</v>
      </c>
      <c r="K22" s="269">
        <f>IF($H22=0,0,' O&amp;M costs'!D20*'Levelized Cost'!$D$15)</f>
        <v>0</v>
      </c>
      <c r="L22" s="269">
        <f>IF($H22=0,0,' O&amp;M costs'!E20*'Levelized Cost'!$D$15)</f>
        <v>0</v>
      </c>
      <c r="M22" s="101">
        <f t="shared" si="0"/>
        <v>0</v>
      </c>
      <c r="N22" s="64">
        <f>IF($H22=0,0,'Unit &amp; Fin Data-input'!$C$32*'Unit &amp; Fin Data-input'!$C$26*8760/2000*'Levelized Cost'!$D$15*'Emission costs-input'!B23/1000000)</f>
        <v>0</v>
      </c>
      <c r="O22" s="62">
        <f>IF($H22=0,0,'Unit &amp; Fin Data-input'!$C$33*'Unit &amp; Fin Data-input'!$C$26*8760/2000*'Levelized Cost'!$D$15*'Emission costs-input'!C23/1000000)</f>
        <v>0</v>
      </c>
      <c r="P22" s="62">
        <f>IF($H22=0,0,'Unit &amp; Fin Data-input'!$C$34*'Unit &amp; Fin Data-input'!$C$26*8760/2000*'Levelized Cost'!$D$15*'Emission costs-input'!D23/1000000)</f>
        <v>0</v>
      </c>
      <c r="Q22" s="62">
        <f>IF($H22=0,0,'Unit &amp; Fin Data-input'!$C$25*8760*'Unit &amp; Fin Data-input'!$C$26/1000*'Unit &amp; Fin Data-input'!$C$35/1000*'Emission costs-input'!E23/1000000)</f>
        <v>0</v>
      </c>
      <c r="R22" s="62">
        <f t="shared" si="1"/>
        <v>0</v>
      </c>
      <c r="S22" s="62">
        <f>IF($H22=0,0,' O&amp;M costs'!F20*'Levelized Cost'!$D$15)</f>
        <v>0</v>
      </c>
      <c r="T22" s="108">
        <f t="shared" si="2"/>
        <v>0</v>
      </c>
      <c r="V22" s="60"/>
      <c r="W22" s="33"/>
      <c r="X22" s="34"/>
      <c r="Y22" s="298"/>
      <c r="Z22" s="34"/>
      <c r="AA22" s="34"/>
      <c r="AB22" s="30"/>
      <c r="AE22" s="23"/>
      <c r="AF22" s="23"/>
      <c r="AG22" s="23"/>
      <c r="AH22" s="23"/>
      <c r="AI22" s="23"/>
    </row>
    <row r="23" spans="2:35" ht="12.75">
      <c r="B23" s="109"/>
      <c r="C23" s="309" t="s">
        <v>69</v>
      </c>
      <c r="D23" s="310">
        <f>'Unit &amp; Fin Data-input'!C41</f>
        <v>2014</v>
      </c>
      <c r="E23" s="35"/>
      <c r="F23" s="13">
        <f t="shared" si="3"/>
        <v>2020</v>
      </c>
      <c r="G23" s="13">
        <f t="shared" si="5"/>
        <v>7</v>
      </c>
      <c r="H23" s="100">
        <f t="shared" si="4"/>
        <v>0</v>
      </c>
      <c r="I23" s="100">
        <f>IF(H23&gt;0,COUNTIF(H$17:H23,1),0)</f>
        <v>0</v>
      </c>
      <c r="J23" s="101">
        <f>'Capital costs-input'!D21</f>
        <v>0</v>
      </c>
      <c r="K23" s="269">
        <f>IF($H23=0,0,' O&amp;M costs'!D21*'Levelized Cost'!$D$15)</f>
        <v>0</v>
      </c>
      <c r="L23" s="269">
        <f>IF($H23=0,0,' O&amp;M costs'!E21*'Levelized Cost'!$D$15)</f>
        <v>0</v>
      </c>
      <c r="M23" s="101">
        <f t="shared" si="0"/>
        <v>0</v>
      </c>
      <c r="N23" s="64">
        <f>IF($H23=0,0,'Unit &amp; Fin Data-input'!$C$32*'Unit &amp; Fin Data-input'!$C$26*8760/2000*'Levelized Cost'!$D$15*'Emission costs-input'!B24/1000000)</f>
        <v>0</v>
      </c>
      <c r="O23" s="62">
        <f>IF($H23=0,0,'Unit &amp; Fin Data-input'!$C$33*'Unit &amp; Fin Data-input'!$C$26*8760/2000*'Levelized Cost'!$D$15*'Emission costs-input'!C24/1000000)</f>
        <v>0</v>
      </c>
      <c r="P23" s="62">
        <f>IF($H23=0,0,'Unit &amp; Fin Data-input'!$C$34*'Unit &amp; Fin Data-input'!$C$26*8760/2000*'Levelized Cost'!$D$15*'Emission costs-input'!D24/1000000)</f>
        <v>0</v>
      </c>
      <c r="Q23" s="62">
        <f>IF($H23=0,0,'Unit &amp; Fin Data-input'!$C$25*8760*'Unit &amp; Fin Data-input'!$C$26/1000*'Unit &amp; Fin Data-input'!$C$35/1000*'Emission costs-input'!E24/1000000)</f>
        <v>0</v>
      </c>
      <c r="R23" s="62">
        <f t="shared" si="1"/>
        <v>0</v>
      </c>
      <c r="S23" s="62">
        <f>IF($H23=0,0,' O&amp;M costs'!F21*'Levelized Cost'!$D$15)</f>
        <v>0</v>
      </c>
      <c r="T23" s="108">
        <f t="shared" si="2"/>
        <v>0</v>
      </c>
      <c r="V23" s="60"/>
      <c r="W23" s="33"/>
      <c r="X23" s="34"/>
      <c r="Y23" s="298"/>
      <c r="Z23" s="34"/>
      <c r="AA23" s="34"/>
      <c r="AB23" s="30"/>
      <c r="AE23" s="23"/>
      <c r="AF23" s="23"/>
      <c r="AG23" s="23"/>
      <c r="AH23" s="23"/>
      <c r="AI23" s="23"/>
    </row>
    <row r="24" spans="2:35" ht="12.75">
      <c r="B24" s="352"/>
      <c r="C24" s="352"/>
      <c r="D24" s="352"/>
      <c r="E24" s="35"/>
      <c r="F24" s="13">
        <f t="shared" si="3"/>
        <v>2021</v>
      </c>
      <c r="G24" s="13">
        <f t="shared" si="5"/>
        <v>8</v>
      </c>
      <c r="H24" s="100">
        <f t="shared" si="4"/>
        <v>0</v>
      </c>
      <c r="I24" s="100">
        <f>IF(H24&gt;0,COUNTIF(H$17:H24,1),0)</f>
        <v>0</v>
      </c>
      <c r="J24" s="101">
        <f>'Capital costs-input'!D22</f>
        <v>0</v>
      </c>
      <c r="K24" s="269">
        <f>IF($H24=0,0,' O&amp;M costs'!D22*'Levelized Cost'!$D$15)</f>
        <v>0</v>
      </c>
      <c r="L24" s="269">
        <f>IF($H24=0,0,' O&amp;M costs'!E22*'Levelized Cost'!$D$15)</f>
        <v>0</v>
      </c>
      <c r="M24" s="101">
        <f t="shared" si="0"/>
        <v>0</v>
      </c>
      <c r="N24" s="64">
        <f>IF($H24=0,0,'Unit &amp; Fin Data-input'!$C$32*'Unit &amp; Fin Data-input'!$C$26*8760/2000*'Levelized Cost'!$D$15*'Emission costs-input'!B25/1000000)</f>
        <v>0</v>
      </c>
      <c r="O24" s="62">
        <f>IF($H24=0,0,'Unit &amp; Fin Data-input'!$C$33*'Unit &amp; Fin Data-input'!$C$26*8760/2000*'Levelized Cost'!$D$15*'Emission costs-input'!C25/1000000)</f>
        <v>0</v>
      </c>
      <c r="P24" s="62">
        <f>IF($H24=0,0,'Unit &amp; Fin Data-input'!$C$34*'Unit &amp; Fin Data-input'!$C$26*8760/2000*'Levelized Cost'!$D$15*'Emission costs-input'!D25/1000000)</f>
        <v>0</v>
      </c>
      <c r="Q24" s="62">
        <f>IF($H24=0,0,'Unit &amp; Fin Data-input'!$C$25*8760*'Unit &amp; Fin Data-input'!$C$26/1000*'Unit &amp; Fin Data-input'!$C$35/1000*'Emission costs-input'!E25/1000000)</f>
        <v>0</v>
      </c>
      <c r="R24" s="62">
        <f t="shared" si="1"/>
        <v>0</v>
      </c>
      <c r="S24" s="62">
        <f>IF($H24=0,0,' O&amp;M costs'!F22*'Levelized Cost'!$D$15)</f>
        <v>0</v>
      </c>
      <c r="T24" s="108">
        <f t="shared" si="2"/>
        <v>0</v>
      </c>
      <c r="V24" s="60"/>
      <c r="W24" s="33"/>
      <c r="X24" s="34"/>
      <c r="Y24" s="298"/>
      <c r="Z24" s="34"/>
      <c r="AA24" s="34"/>
      <c r="AB24" s="30"/>
      <c r="AE24" s="23"/>
      <c r="AF24" s="23"/>
      <c r="AG24" s="23"/>
      <c r="AH24" s="23"/>
      <c r="AI24" s="23"/>
    </row>
    <row r="25" spans="2:35" ht="12.75">
      <c r="B25" s="110" t="s">
        <v>1</v>
      </c>
      <c r="C25" s="110"/>
      <c r="D25" s="110"/>
      <c r="E25" s="35"/>
      <c r="F25" s="13">
        <f t="shared" si="3"/>
        <v>2022</v>
      </c>
      <c r="G25" s="13">
        <f t="shared" si="5"/>
        <v>9</v>
      </c>
      <c r="H25" s="100">
        <f t="shared" si="4"/>
        <v>1</v>
      </c>
      <c r="I25" s="100">
        <f>IF(H25&gt;0,COUNTIF(H$17:H25,1),0)</f>
        <v>1</v>
      </c>
      <c r="J25" s="101">
        <f>IF($H25=0,0,IF('Unit &amp; Fin Data-input'!$C$27="Y",'Capital costs-input'!D23*12*'Unit &amp; Fin Data-input'!$C$25,'Capital costs-input'!D23))</f>
        <v>13.713409688471549</v>
      </c>
      <c r="K25" s="269">
        <f>IF($H25=0,0,' O&amp;M costs'!D23*'Levelized Cost'!$D$15)</f>
        <v>0</v>
      </c>
      <c r="L25" s="269">
        <f>IF($H25=0,0,' O&amp;M costs'!E23*'Levelized Cost'!$D$15)</f>
        <v>43.92442841922008</v>
      </c>
      <c r="M25" s="101">
        <f aca="true" t="shared" si="6" ref="M25:M66">IF($H25=0,0,$D$20*$D$15)</f>
        <v>0</v>
      </c>
      <c r="N25" s="64">
        <f>IF($H25=0,0,'Unit &amp; Fin Data-input'!$C$32*'Unit &amp; Fin Data-input'!$C$26*8760/2000*'Levelized Cost'!$D$15*'Emission costs-input'!B26/1000000)</f>
        <v>0</v>
      </c>
      <c r="O25" s="62">
        <f>IF($H25=0,0,'Unit &amp; Fin Data-input'!$C$33*'Unit &amp; Fin Data-input'!$C$26*8760/2000*'Levelized Cost'!$D$15*'Emission costs-input'!C26/1000000)</f>
        <v>0</v>
      </c>
      <c r="P25" s="62">
        <f>IF($H25=0,0,'Unit &amp; Fin Data-input'!$C$34*'Unit &amp; Fin Data-input'!$C$26*8760/2000*'Levelized Cost'!$D$15*'Emission costs-input'!D26/1000000)</f>
        <v>0</v>
      </c>
      <c r="Q25" s="62">
        <f>IF($H25=0,0,'Unit &amp; Fin Data-input'!$C$25*8760*'Unit &amp; Fin Data-input'!$C$26/1000*'Unit &amp; Fin Data-input'!$C$35/1000*'Emission costs-input'!E26/1000000)</f>
        <v>0</v>
      </c>
      <c r="R25" s="62">
        <f t="shared" si="1"/>
        <v>0</v>
      </c>
      <c r="S25" s="62">
        <f>IF($H25=0,0,' O&amp;M costs'!F23*'Levelized Cost'!$D$15)</f>
        <v>0</v>
      </c>
      <c r="T25" s="108">
        <f t="shared" si="2"/>
        <v>57.63783810769163</v>
      </c>
      <c r="V25" s="60"/>
      <c r="W25" s="33"/>
      <c r="X25" s="34"/>
      <c r="Y25" s="298"/>
      <c r="Z25" s="34"/>
      <c r="AA25" s="34"/>
      <c r="AB25" s="30"/>
      <c r="AE25" s="23"/>
      <c r="AF25" s="23"/>
      <c r="AG25" s="23"/>
      <c r="AH25" s="23"/>
      <c r="AI25" s="23"/>
    </row>
    <row r="26" spans="2:35" ht="12.75">
      <c r="B26" s="111" t="s">
        <v>2</v>
      </c>
      <c r="C26" s="111" t="s">
        <v>3</v>
      </c>
      <c r="D26" s="111" t="s">
        <v>3</v>
      </c>
      <c r="E26" s="35"/>
      <c r="F26" s="13">
        <f t="shared" si="3"/>
        <v>2023</v>
      </c>
      <c r="G26" s="13">
        <f t="shared" si="5"/>
        <v>10</v>
      </c>
      <c r="H26" s="100">
        <f t="shared" si="4"/>
        <v>1</v>
      </c>
      <c r="I26" s="100">
        <f>IF(H26&gt;0,COUNTIF(H$17:H26,1),0)</f>
        <v>2</v>
      </c>
      <c r="J26" s="101">
        <f>IF($H26=0,0,IF('Unit &amp; Fin Data-input'!$C$27="Y",'Capital costs-input'!D24*12*'Unit &amp; Fin Data-input'!$C$25,'Capital costs-input'!D24))</f>
        <v>21.56685808906187</v>
      </c>
      <c r="K26" s="269">
        <f>IF($H26=0,0,' O&amp;M costs'!D24*'Levelized Cost'!$D$15)</f>
        <v>0</v>
      </c>
      <c r="L26" s="269">
        <v>0</v>
      </c>
      <c r="M26" s="101">
        <f t="shared" si="6"/>
        <v>0</v>
      </c>
      <c r="N26" s="64">
        <f>IF($H26=0,0,'Unit &amp; Fin Data-input'!$C$32*'Unit &amp; Fin Data-input'!$C$26*8760/2000*'Levelized Cost'!$D$15*'Emission costs-input'!B27/1000000)</f>
        <v>0</v>
      </c>
      <c r="O26" s="62">
        <f>IF($H26=0,0,'Unit &amp; Fin Data-input'!$C$33*'Unit &amp; Fin Data-input'!$C$26*8760/2000*'Levelized Cost'!$D$15*'Emission costs-input'!C27/1000000)</f>
        <v>0</v>
      </c>
      <c r="P26" s="62">
        <f>IF($H26=0,0,'Unit &amp; Fin Data-input'!$C$34*'Unit &amp; Fin Data-input'!$C$26*8760/2000*'Levelized Cost'!$D$15*'Emission costs-input'!D27/1000000)</f>
        <v>0</v>
      </c>
      <c r="Q26" s="62">
        <f>IF($H26=0,0,'Unit &amp; Fin Data-input'!$C$25*8760*'Unit &amp; Fin Data-input'!$C$26/1000*'Unit &amp; Fin Data-input'!$C$35/1000*'Emission costs-input'!E27/1000000)</f>
        <v>0</v>
      </c>
      <c r="R26" s="62">
        <f t="shared" si="1"/>
        <v>0</v>
      </c>
      <c r="S26" s="62">
        <f>IF($H26=0,0,' O&amp;M costs'!F24*'Levelized Cost'!$D$15)</f>
        <v>0</v>
      </c>
      <c r="T26" s="108">
        <f t="shared" si="2"/>
        <v>21.56685808906187</v>
      </c>
      <c r="V26" s="311"/>
      <c r="W26" s="33"/>
      <c r="X26" s="34"/>
      <c r="Y26" s="298"/>
      <c r="Z26" s="34"/>
      <c r="AA26" s="34"/>
      <c r="AB26" s="30"/>
      <c r="AE26" s="23"/>
      <c r="AF26" s="23"/>
      <c r="AG26" s="23"/>
      <c r="AH26" s="23"/>
      <c r="AI26" s="23"/>
    </row>
    <row r="27" spans="2:35" ht="12.75">
      <c r="B27" s="3" t="s">
        <v>4</v>
      </c>
      <c r="C27" s="3" t="s">
        <v>94</v>
      </c>
      <c r="D27" s="3" t="s">
        <v>96</v>
      </c>
      <c r="E27" s="35"/>
      <c r="F27" s="13">
        <f t="shared" si="3"/>
        <v>2024</v>
      </c>
      <c r="G27" s="13">
        <f t="shared" si="5"/>
        <v>11</v>
      </c>
      <c r="H27" s="100">
        <f t="shared" si="4"/>
        <v>1</v>
      </c>
      <c r="I27" s="100">
        <f>IF(H27&gt;0,COUNTIF(H$17:H27,1),0)</f>
        <v>3</v>
      </c>
      <c r="J27" s="101">
        <f>IF($H27=0,0,IF('Unit &amp; Fin Data-input'!$C$27="Y",'Capital costs-input'!D25*12*'Unit &amp; Fin Data-input'!$C$25,'Capital costs-input'!D25))</f>
        <v>19.524613066630266</v>
      </c>
      <c r="K27" s="269">
        <f>IF($H27=0,0,' O&amp;M costs'!D25*'Levelized Cost'!$D$15)/2</f>
        <v>0</v>
      </c>
      <c r="L27" s="269">
        <v>0</v>
      </c>
      <c r="M27" s="101">
        <f t="shared" si="6"/>
        <v>0</v>
      </c>
      <c r="N27" s="64">
        <f>IF($H27=0,0,'Unit &amp; Fin Data-input'!$C$32*'Unit &amp; Fin Data-input'!$C$26*8760/2000*'Levelized Cost'!$D$15*'Emission costs-input'!B28/1000000)</f>
        <v>0</v>
      </c>
      <c r="O27" s="62">
        <f>IF($H27=0,0,'Unit &amp; Fin Data-input'!$C$33*'Unit &amp; Fin Data-input'!$C$26*8760/2000*'Levelized Cost'!$D$15*'Emission costs-input'!C28/1000000)</f>
        <v>0</v>
      </c>
      <c r="P27" s="62">
        <f>IF($H27=0,0,'Unit &amp; Fin Data-input'!$C$34*'Unit &amp; Fin Data-input'!$C$26*8760/2000*'Levelized Cost'!$D$15*'Emission costs-input'!D28/1000000)</f>
        <v>0</v>
      </c>
      <c r="Q27" s="62">
        <f>IF($H27=0,0,'Unit &amp; Fin Data-input'!$C$25*8760*'Unit &amp; Fin Data-input'!$C$26/1000*'Unit &amp; Fin Data-input'!$C$35/1000*'Emission costs-input'!E28/1000000)</f>
        <v>0</v>
      </c>
      <c r="R27" s="62">
        <f aca="true" t="shared" si="7" ref="R27:R66">(IF(F27&lt;$D$21,0,HLOOKUP($R$11,fuelprice,G27)*$D$16*8760*$D$15/1000000)*H27)/0.92</f>
        <v>0</v>
      </c>
      <c r="S27" s="62">
        <f>IF($H27=0,0,' O&amp;M costs'!F25*'Levelized Cost'!$D$15)</f>
        <v>0</v>
      </c>
      <c r="T27" s="108">
        <f t="shared" si="2"/>
        <v>19.524613066630266</v>
      </c>
      <c r="V27" s="60"/>
      <c r="W27" s="33"/>
      <c r="X27" s="34"/>
      <c r="Y27" s="298"/>
      <c r="Z27" s="34"/>
      <c r="AA27" s="34"/>
      <c r="AB27" s="30"/>
      <c r="AE27" s="23"/>
      <c r="AF27" s="23"/>
      <c r="AG27" s="23"/>
      <c r="AH27" s="23"/>
      <c r="AI27" s="23"/>
    </row>
    <row r="28" spans="2:35" ht="12.75">
      <c r="B28" s="4">
        <v>0</v>
      </c>
      <c r="C28" s="50">
        <f aca="true" t="shared" si="8" ref="C28:C48">$J$70+$K$70+$L$70+$M$70+(($N$70+$O$70+$P$70+$Q$70+$R$70+$S$70)*B28/100)</f>
        <v>743.2840334122461</v>
      </c>
      <c r="D28" s="51">
        <f>IF(B28=0,0,C28*1000/(8760*B28/100))*1000</f>
        <v>0</v>
      </c>
      <c r="E28" s="35"/>
      <c r="F28" s="13">
        <f t="shared" si="3"/>
        <v>2025</v>
      </c>
      <c r="G28" s="13">
        <f t="shared" si="5"/>
        <v>12</v>
      </c>
      <c r="H28" s="100">
        <f t="shared" si="4"/>
        <v>1</v>
      </c>
      <c r="I28" s="100">
        <f>IF(H28&gt;0,COUNTIF(H$17:H28,1),0)</f>
        <v>4</v>
      </c>
      <c r="J28" s="101">
        <f>IF($H28=0,0,IF('Unit &amp; Fin Data-input'!$C$27="Y",'Capital costs-input'!D26*12*'Unit &amp; Fin Data-input'!$C$25,'Capital costs-input'!D26))</f>
        <v>18.097760255279724</v>
      </c>
      <c r="K28" s="269">
        <f>IF($H28=0,0,' O&amp;M costs'!D26*'Levelized Cost'!$D$15)</f>
        <v>0</v>
      </c>
      <c r="L28" s="269">
        <v>0</v>
      </c>
      <c r="M28" s="101">
        <f t="shared" si="6"/>
        <v>0</v>
      </c>
      <c r="N28" s="64">
        <f>IF($H28=0,0,'Unit &amp; Fin Data-input'!$C$32*'Unit &amp; Fin Data-input'!$C$26*8760/2000*'Levelized Cost'!$D$15*'Emission costs-input'!B29/1000000)</f>
        <v>0</v>
      </c>
      <c r="O28" s="62">
        <f>IF($H28=0,0,'Unit &amp; Fin Data-input'!$C$33*'Unit &amp; Fin Data-input'!$C$26*8760/2000*'Levelized Cost'!$D$15*'Emission costs-input'!C29/1000000)</f>
        <v>0</v>
      </c>
      <c r="P28" s="62">
        <f>IF($H28=0,0,'Unit &amp; Fin Data-input'!$C$34*'Unit &amp; Fin Data-input'!$C$26*8760/2000*'Levelized Cost'!$D$15*'Emission costs-input'!D29/1000000)</f>
        <v>0</v>
      </c>
      <c r="Q28" s="62">
        <f>IF($H28=0,0,'Unit &amp; Fin Data-input'!$C$25*8760*'Unit &amp; Fin Data-input'!$C$26/1000*'Unit &amp; Fin Data-input'!$C$35/1000*'Emission costs-input'!E29/1000000)</f>
        <v>0</v>
      </c>
      <c r="R28" s="62">
        <f t="shared" si="7"/>
        <v>0</v>
      </c>
      <c r="S28" s="62">
        <f>IF($H28=0,0,' O&amp;M costs'!F26*'Levelized Cost'!$D$15)</f>
        <v>0</v>
      </c>
      <c r="T28" s="108">
        <f aca="true" t="shared" si="9" ref="T28:T48">SUM(J28:S28)</f>
        <v>18.097760255279724</v>
      </c>
      <c r="V28" s="60"/>
      <c r="W28" s="33"/>
      <c r="X28" s="34"/>
      <c r="Y28" s="298"/>
      <c r="Z28" s="34"/>
      <c r="AA28" s="34"/>
      <c r="AB28" s="30"/>
      <c r="AE28" s="23"/>
      <c r="AF28" s="23"/>
      <c r="AG28" s="23"/>
      <c r="AH28" s="23"/>
      <c r="AI28" s="23"/>
    </row>
    <row r="29" spans="2:35" ht="12.75">
      <c r="B29" s="5">
        <v>5</v>
      </c>
      <c r="C29" s="52">
        <f t="shared" si="8"/>
        <v>743.2840334122461</v>
      </c>
      <c r="D29" s="53">
        <f aca="true" t="shared" si="10" ref="D29:D48">IF(B29=0,0,C29*1000/(8760*B29/100))</f>
        <v>1696.9955100736213</v>
      </c>
      <c r="E29" s="35"/>
      <c r="F29" s="13">
        <f t="shared" si="3"/>
        <v>2026</v>
      </c>
      <c r="G29" s="13">
        <f t="shared" si="5"/>
        <v>13</v>
      </c>
      <c r="H29" s="100">
        <f t="shared" si="4"/>
        <v>1</v>
      </c>
      <c r="I29" s="100">
        <f>IF(H29&gt;0,COUNTIF(H$17:H29,1),0)</f>
        <v>5</v>
      </c>
      <c r="J29" s="101">
        <f>IF($H29=0,0,IF('Unit &amp; Fin Data-input'!$C$27="Y",'Capital costs-input'!D27*12*'Unit &amp; Fin Data-input'!$C$25,'Capital costs-input'!D27))</f>
        <v>16.901736991742816</v>
      </c>
      <c r="K29" s="101">
        <f>IF($H29=0,0,' O&amp;M costs'!D27*'Levelized Cost'!$D$15)</f>
        <v>0</v>
      </c>
      <c r="L29" s="101">
        <v>0</v>
      </c>
      <c r="M29" s="101">
        <f t="shared" si="6"/>
        <v>0</v>
      </c>
      <c r="N29" s="64">
        <f>IF($H29=0,0,'Unit &amp; Fin Data-input'!$C$32*'Unit &amp; Fin Data-input'!$C$26*8760/2000*'Levelized Cost'!$D$15*'Emission costs-input'!B30/1000000)</f>
        <v>0</v>
      </c>
      <c r="O29" s="62">
        <f>IF($H29=0,0,'Unit &amp; Fin Data-input'!$C$33*'Unit &amp; Fin Data-input'!$C$26*8760/2000*'Levelized Cost'!$D$15*'Emission costs-input'!C30/1000000)</f>
        <v>0</v>
      </c>
      <c r="P29" s="62">
        <f>IF($H29=0,0,'Unit &amp; Fin Data-input'!$C$34*'Unit &amp; Fin Data-input'!$C$26*8760/2000*'Levelized Cost'!$D$15*'Emission costs-input'!D30/1000000)</f>
        <v>0</v>
      </c>
      <c r="Q29" s="62">
        <f>IF($H29=0,0,'Unit &amp; Fin Data-input'!$C$25*8760*'Unit &amp; Fin Data-input'!$C$26/1000*'Unit &amp; Fin Data-input'!$C$35/1000*'Emission costs-input'!E30/1000000)</f>
        <v>0</v>
      </c>
      <c r="R29" s="62">
        <f t="shared" si="7"/>
        <v>0</v>
      </c>
      <c r="S29" s="62">
        <f>IF($H29=0,0,' O&amp;M costs'!F27*'Levelized Cost'!$D$15)</f>
        <v>0</v>
      </c>
      <c r="T29" s="108">
        <f t="shared" si="9"/>
        <v>16.901736991742816</v>
      </c>
      <c r="V29" s="60"/>
      <c r="W29" s="33"/>
      <c r="X29" s="34"/>
      <c r="Y29" s="298"/>
      <c r="Z29" s="34"/>
      <c r="AA29" s="34"/>
      <c r="AB29" s="30"/>
      <c r="AE29" s="23"/>
      <c r="AF29" s="23"/>
      <c r="AG29" s="23"/>
      <c r="AH29" s="23"/>
      <c r="AI29" s="23"/>
    </row>
    <row r="30" spans="2:35" ht="12.75">
      <c r="B30" s="5">
        <v>10</v>
      </c>
      <c r="C30" s="52">
        <f t="shared" si="8"/>
        <v>743.2840334122461</v>
      </c>
      <c r="D30" s="53">
        <f t="shared" si="10"/>
        <v>848.4977550368106</v>
      </c>
      <c r="E30" s="35"/>
      <c r="F30" s="13">
        <f t="shared" si="3"/>
        <v>2027</v>
      </c>
      <c r="G30" s="13">
        <f t="shared" si="5"/>
        <v>14</v>
      </c>
      <c r="H30" s="100">
        <f t="shared" si="4"/>
        <v>1</v>
      </c>
      <c r="I30" s="100">
        <f>IF(H30&gt;0,COUNTIF(H$17:H30,1),0)</f>
        <v>6</v>
      </c>
      <c r="J30" s="101">
        <f>IF($H30=0,0,IF('Unit &amp; Fin Data-input'!$C$27="Y",'Capital costs-input'!D28*12*'Unit &amp; Fin Data-input'!$C$25,'Capital costs-input'!D28))</f>
        <v>15.878840758852864</v>
      </c>
      <c r="K30" s="101">
        <f>IF($H30=0,0,' O&amp;M costs'!D28*'Levelized Cost'!$D$15)</f>
        <v>0</v>
      </c>
      <c r="L30" s="101">
        <v>0</v>
      </c>
      <c r="M30" s="101">
        <f t="shared" si="6"/>
        <v>0</v>
      </c>
      <c r="N30" s="64">
        <f>IF($H30=0,0,'Unit &amp; Fin Data-input'!$C$32*'Unit &amp; Fin Data-input'!$C$26*8760/2000*'Levelized Cost'!$D$15*'Emission costs-input'!B31/1000000)</f>
        <v>0</v>
      </c>
      <c r="O30" s="62">
        <f>IF($H30=0,0,'Unit &amp; Fin Data-input'!$C$33*'Unit &amp; Fin Data-input'!$C$26*8760/2000*'Levelized Cost'!$D$15*'Emission costs-input'!C31/1000000)</f>
        <v>0</v>
      </c>
      <c r="P30" s="62">
        <f>IF($H30=0,0,'Unit &amp; Fin Data-input'!$C$34*'Unit &amp; Fin Data-input'!$C$26*8760/2000*'Levelized Cost'!$D$15*'Emission costs-input'!D31/1000000)</f>
        <v>0</v>
      </c>
      <c r="Q30" s="62">
        <f>IF($H30=0,0,'Unit &amp; Fin Data-input'!$C$25*8760*'Unit &amp; Fin Data-input'!$C$26/1000*'Unit &amp; Fin Data-input'!$C$35/1000*'Emission costs-input'!E31/1000000)</f>
        <v>0</v>
      </c>
      <c r="R30" s="62">
        <f t="shared" si="7"/>
        <v>0</v>
      </c>
      <c r="S30" s="62">
        <f>IF($H30=0,0,' O&amp;M costs'!F28*'Levelized Cost'!$D$15)</f>
        <v>0</v>
      </c>
      <c r="T30" s="108">
        <f t="shared" si="9"/>
        <v>15.878840758852864</v>
      </c>
      <c r="V30" s="60"/>
      <c r="W30" s="33"/>
      <c r="X30" s="34"/>
      <c r="Y30" s="298"/>
      <c r="Z30" s="34"/>
      <c r="AA30" s="34"/>
      <c r="AB30" s="30"/>
      <c r="AE30" s="23"/>
      <c r="AF30" s="23"/>
      <c r="AG30" s="23"/>
      <c r="AH30" s="23"/>
      <c r="AI30" s="23"/>
    </row>
    <row r="31" spans="2:35" ht="12.75">
      <c r="B31" s="5">
        <v>15</v>
      </c>
      <c r="C31" s="52">
        <f t="shared" si="8"/>
        <v>743.2840334122461</v>
      </c>
      <c r="D31" s="53">
        <f t="shared" si="10"/>
        <v>565.6651700245404</v>
      </c>
      <c r="E31" s="35"/>
      <c r="F31" s="13">
        <f t="shared" si="3"/>
        <v>2028</v>
      </c>
      <c r="G31" s="13">
        <f t="shared" si="5"/>
        <v>15</v>
      </c>
      <c r="H31" s="100">
        <f t="shared" si="4"/>
        <v>1</v>
      </c>
      <c r="I31" s="100">
        <f>IF(H31&gt;0,COUNTIF(H$17:H31,1),0)</f>
        <v>7</v>
      </c>
      <c r="J31" s="101">
        <f>IF($H31=0,0,IF('Unit &amp; Fin Data-input'!$C$27="Y",'Capital costs-input'!D29*12*'Unit &amp; Fin Data-input'!$C$25,'Capital costs-input'!D29))</f>
        <v>15.202172622726765</v>
      </c>
      <c r="K31" s="101">
        <f>IF($H31=0,0,' O&amp;M costs'!D29*'Levelized Cost'!$D$15)</f>
        <v>0</v>
      </c>
      <c r="L31" s="101">
        <v>0</v>
      </c>
      <c r="M31" s="101">
        <f t="shared" si="6"/>
        <v>0</v>
      </c>
      <c r="N31" s="64">
        <f>IF($H31=0,0,'Unit &amp; Fin Data-input'!$C$32*'Unit &amp; Fin Data-input'!$C$26*8760/2000*'Levelized Cost'!$D$15*'Emission costs-input'!B32/1000000)</f>
        <v>0</v>
      </c>
      <c r="O31" s="62">
        <f>IF($H31=0,0,'Unit &amp; Fin Data-input'!$C$33*'Unit &amp; Fin Data-input'!$C$26*8760/2000*'Levelized Cost'!$D$15*'Emission costs-input'!C32/1000000)</f>
        <v>0</v>
      </c>
      <c r="P31" s="62">
        <f>IF($H31=0,0,'Unit &amp; Fin Data-input'!$C$34*'Unit &amp; Fin Data-input'!$C$26*8760/2000*'Levelized Cost'!$D$15*'Emission costs-input'!D32/1000000)</f>
        <v>0</v>
      </c>
      <c r="Q31" s="62">
        <f>IF($H31=0,0,'Unit &amp; Fin Data-input'!$C$25*8760*'Unit &amp; Fin Data-input'!$C$26/1000*'Unit &amp; Fin Data-input'!$C$35/1000*'Emission costs-input'!E32/1000000)</f>
        <v>0</v>
      </c>
      <c r="R31" s="62">
        <f t="shared" si="7"/>
        <v>0</v>
      </c>
      <c r="S31" s="62">
        <f>IF($H31=0,0,' O&amp;M costs'!F29*'Levelized Cost'!$D$15)</f>
        <v>0</v>
      </c>
      <c r="T31" s="108">
        <f t="shared" si="9"/>
        <v>15.202172622726765</v>
      </c>
      <c r="V31" s="60"/>
      <c r="W31" s="33"/>
      <c r="X31" s="34"/>
      <c r="Y31" s="298"/>
      <c r="Z31" s="34"/>
      <c r="AA31" s="34"/>
      <c r="AB31" s="30"/>
      <c r="AE31" s="23"/>
      <c r="AF31" s="23"/>
      <c r="AG31" s="23"/>
      <c r="AH31" s="23"/>
      <c r="AI31" s="23"/>
    </row>
    <row r="32" spans="2:35" ht="12.75">
      <c r="B32" s="5">
        <v>20</v>
      </c>
      <c r="C32" s="52">
        <f t="shared" si="8"/>
        <v>743.2840334122461</v>
      </c>
      <c r="D32" s="53">
        <f t="shared" si="10"/>
        <v>424.2488775184053</v>
      </c>
      <c r="E32" s="35"/>
      <c r="F32" s="13">
        <f t="shared" si="3"/>
        <v>2029</v>
      </c>
      <c r="G32" s="13">
        <f t="shared" si="5"/>
        <v>16</v>
      </c>
      <c r="H32" s="100">
        <f t="shared" si="4"/>
        <v>1</v>
      </c>
      <c r="I32" s="100">
        <f>IF(H32&gt;0,COUNTIF(H$17:H32,1),0)</f>
        <v>8</v>
      </c>
      <c r="J32" s="101">
        <f>IF($H32=0,0,IF('Unit &amp; Fin Data-input'!$C$27="Y",'Capital costs-input'!D30*12*'Unit &amp; Fin Data-input'!$C$25,'Capital costs-input'!D30))</f>
        <v>14.69865472204025</v>
      </c>
      <c r="K32" s="101">
        <f>IF($H32=0,0,' O&amp;M costs'!D30*'Levelized Cost'!$D$15)</f>
        <v>0</v>
      </c>
      <c r="L32" s="101">
        <v>0</v>
      </c>
      <c r="M32" s="101">
        <f t="shared" si="6"/>
        <v>0</v>
      </c>
      <c r="N32" s="64">
        <f>IF($H32=0,0,'Unit &amp; Fin Data-input'!$C$32*'Unit &amp; Fin Data-input'!$C$26*8760/2000*'Levelized Cost'!$D$15*'Emission costs-input'!B33/1000000)</f>
        <v>0</v>
      </c>
      <c r="O32" s="62">
        <f>IF($H32=0,0,'Unit &amp; Fin Data-input'!$C$33*'Unit &amp; Fin Data-input'!$C$26*8760/2000*'Levelized Cost'!$D$15*'Emission costs-input'!C33/1000000)</f>
        <v>0</v>
      </c>
      <c r="P32" s="62">
        <f>IF($H32=0,0,'Unit &amp; Fin Data-input'!$C$34*'Unit &amp; Fin Data-input'!$C$26*8760/2000*'Levelized Cost'!$D$15*'Emission costs-input'!D33/1000000)</f>
        <v>0</v>
      </c>
      <c r="Q32" s="62">
        <f>IF($H32=0,0,'Unit &amp; Fin Data-input'!$C$25*8760*'Unit &amp; Fin Data-input'!$C$26/1000*'Unit &amp; Fin Data-input'!$C$35/1000*'Emission costs-input'!E33/1000000)</f>
        <v>0</v>
      </c>
      <c r="R32" s="62">
        <f t="shared" si="7"/>
        <v>0</v>
      </c>
      <c r="S32" s="62">
        <f>IF($H32=0,0,' O&amp;M costs'!F30*'Levelized Cost'!$D$15)</f>
        <v>0</v>
      </c>
      <c r="T32" s="108">
        <f t="shared" si="9"/>
        <v>14.69865472204025</v>
      </c>
      <c r="V32" s="60"/>
      <c r="W32" s="33"/>
      <c r="X32" s="34"/>
      <c r="Y32" s="298"/>
      <c r="Z32" s="34"/>
      <c r="AA32" s="34"/>
      <c r="AB32" s="30"/>
      <c r="AE32" s="23"/>
      <c r="AF32" s="23"/>
      <c r="AG32" s="23"/>
      <c r="AH32" s="23"/>
      <c r="AI32" s="23"/>
    </row>
    <row r="33" spans="2:35" ht="12.75">
      <c r="B33" s="5">
        <v>25</v>
      </c>
      <c r="C33" s="52">
        <f t="shared" si="8"/>
        <v>743.2840334122461</v>
      </c>
      <c r="D33" s="53">
        <f t="shared" si="10"/>
        <v>339.3991020147243</v>
      </c>
      <c r="E33" s="35"/>
      <c r="F33" s="13">
        <f t="shared" si="3"/>
        <v>2030</v>
      </c>
      <c r="G33" s="13">
        <f t="shared" si="5"/>
        <v>17</v>
      </c>
      <c r="H33" s="100">
        <f t="shared" si="4"/>
        <v>1</v>
      </c>
      <c r="I33" s="100">
        <f>IF(H33&gt;0,COUNTIF(H$17:H33,1),0)</f>
        <v>9</v>
      </c>
      <c r="J33" s="101">
        <f>IF($H33=0,0,IF('Unit &amp; Fin Data-input'!$C$27="Y",'Capital costs-input'!D31*12*'Unit &amp; Fin Data-input'!$C$25,'Capital costs-input'!D31))</f>
        <v>14.195279603271418</v>
      </c>
      <c r="K33" s="101">
        <f>IF($H33=0,0,' O&amp;M costs'!D31*'Levelized Cost'!$D$15)</f>
        <v>0</v>
      </c>
      <c r="L33" s="101">
        <v>0</v>
      </c>
      <c r="M33" s="101">
        <f t="shared" si="6"/>
        <v>0</v>
      </c>
      <c r="N33" s="64">
        <f>IF($H33=0,0,'Unit &amp; Fin Data-input'!$C$32*'Unit &amp; Fin Data-input'!$C$26*8760/2000*'Levelized Cost'!$D$15*'Emission costs-input'!B34/1000000)</f>
        <v>0</v>
      </c>
      <c r="O33" s="62">
        <f>IF($H33=0,0,'Unit &amp; Fin Data-input'!$C$33*'Unit &amp; Fin Data-input'!$C$26*8760/2000*'Levelized Cost'!$D$15*'Emission costs-input'!C34/1000000)</f>
        <v>0</v>
      </c>
      <c r="P33" s="62">
        <f>IF($H33=0,0,'Unit &amp; Fin Data-input'!$C$34*'Unit &amp; Fin Data-input'!$C$26*8760/2000*'Levelized Cost'!$D$15*'Emission costs-input'!D34/1000000)</f>
        <v>0</v>
      </c>
      <c r="Q33" s="62">
        <f>IF($H33=0,0,'Unit &amp; Fin Data-input'!$C$25*8760*'Unit &amp; Fin Data-input'!$C$26/1000*'Unit &amp; Fin Data-input'!$C$35/1000*'Emission costs-input'!E34/1000000)</f>
        <v>0</v>
      </c>
      <c r="R33" s="62">
        <f t="shared" si="7"/>
        <v>0</v>
      </c>
      <c r="S33" s="62">
        <f>IF($H33=0,0,' O&amp;M costs'!F31*'Levelized Cost'!$D$15)</f>
        <v>0</v>
      </c>
      <c r="T33" s="108">
        <f t="shared" si="9"/>
        <v>14.195279603271418</v>
      </c>
      <c r="V33" s="60"/>
      <c r="W33" s="33"/>
      <c r="X33" s="34"/>
      <c r="Y33" s="298"/>
      <c r="Z33" s="34"/>
      <c r="AA33" s="34"/>
      <c r="AB33" s="30"/>
      <c r="AE33" s="23"/>
      <c r="AF33" s="23"/>
      <c r="AG33" s="23"/>
      <c r="AH33" s="23"/>
      <c r="AI33" s="23"/>
    </row>
    <row r="34" spans="2:35" ht="12.75">
      <c r="B34" s="5">
        <v>30</v>
      </c>
      <c r="C34" s="52">
        <f t="shared" si="8"/>
        <v>743.2840334122461</v>
      </c>
      <c r="D34" s="53">
        <f t="shared" si="10"/>
        <v>282.8325850122702</v>
      </c>
      <c r="E34" s="35"/>
      <c r="F34" s="13">
        <f t="shared" si="3"/>
        <v>2031</v>
      </c>
      <c r="G34" s="13">
        <f t="shared" si="5"/>
        <v>18</v>
      </c>
      <c r="H34" s="100">
        <f t="shared" si="4"/>
        <v>1</v>
      </c>
      <c r="I34" s="100">
        <f>IF(H34&gt;0,COUNTIF(H$17:H34,1),0)</f>
        <v>10</v>
      </c>
      <c r="J34" s="101">
        <f>IF($H34=0,0,IF('Unit &amp; Fin Data-input'!$C$27="Y",'Capital costs-input'!D32*12*'Unit &amp; Fin Data-input'!$C$25,'Capital costs-input'!D32))</f>
        <v>13.691958471866965</v>
      </c>
      <c r="K34" s="101">
        <f>IF($H34=0,0,' O&amp;M costs'!D32*'Levelized Cost'!$D$15)</f>
        <v>0</v>
      </c>
      <c r="L34" s="101">
        <v>0</v>
      </c>
      <c r="M34" s="101">
        <f t="shared" si="6"/>
        <v>0</v>
      </c>
      <c r="N34" s="64">
        <f>IF($H34=0,0,'Unit &amp; Fin Data-input'!$C$32*'Unit &amp; Fin Data-input'!$C$26*8760/2000*'Levelized Cost'!$D$15*'Emission costs-input'!B35/1000000)</f>
        <v>0</v>
      </c>
      <c r="O34" s="62">
        <f>IF($H34=0,0,'Unit &amp; Fin Data-input'!$C$33*'Unit &amp; Fin Data-input'!$C$26*8760/2000*'Levelized Cost'!$D$15*'Emission costs-input'!C35/1000000)</f>
        <v>0</v>
      </c>
      <c r="P34" s="62">
        <f>IF($H34=0,0,'Unit &amp; Fin Data-input'!$C$34*'Unit &amp; Fin Data-input'!$C$26*8760/2000*'Levelized Cost'!$D$15*'Emission costs-input'!D35/1000000)</f>
        <v>0</v>
      </c>
      <c r="Q34" s="62">
        <f>IF($H34=0,0,'Unit &amp; Fin Data-input'!$C$25*8760*'Unit &amp; Fin Data-input'!$C$26/1000*'Unit &amp; Fin Data-input'!$C$35/1000*'Emission costs-input'!E35/1000000)</f>
        <v>0</v>
      </c>
      <c r="R34" s="62">
        <f t="shared" si="7"/>
        <v>0</v>
      </c>
      <c r="S34" s="62">
        <f>IF($H34=0,0,' O&amp;M costs'!F32*'Levelized Cost'!$D$15)</f>
        <v>0</v>
      </c>
      <c r="T34" s="108">
        <f t="shared" si="9"/>
        <v>13.691958471866965</v>
      </c>
      <c r="V34" s="60"/>
      <c r="W34" s="33"/>
      <c r="X34" s="34"/>
      <c r="Y34" s="298"/>
      <c r="Z34" s="34"/>
      <c r="AA34" s="34"/>
      <c r="AB34" s="30"/>
      <c r="AE34" s="23"/>
      <c r="AF34" s="23"/>
      <c r="AG34" s="23"/>
      <c r="AH34" s="23"/>
      <c r="AI34" s="23"/>
    </row>
    <row r="35" spans="2:35" ht="12.75">
      <c r="B35" s="5">
        <v>35</v>
      </c>
      <c r="C35" s="52">
        <f t="shared" si="8"/>
        <v>743.2840334122461</v>
      </c>
      <c r="D35" s="53">
        <f t="shared" si="10"/>
        <v>242.42793001051734</v>
      </c>
      <c r="E35" s="35"/>
      <c r="F35" s="13">
        <f t="shared" si="3"/>
        <v>2032</v>
      </c>
      <c r="G35" s="13">
        <f t="shared" si="5"/>
        <v>19</v>
      </c>
      <c r="H35" s="100">
        <f t="shared" si="4"/>
        <v>1</v>
      </c>
      <c r="I35" s="100">
        <f>IF(H35&gt;0,COUNTIF(H$17:H35,1),0)</f>
        <v>11</v>
      </c>
      <c r="J35" s="101">
        <f>IF($H35=0,0,IF('Unit &amp; Fin Data-input'!$C$27="Y",'Capital costs-input'!D33*12*'Unit &amp; Fin Data-input'!$C$25,'Capital costs-input'!D33))</f>
        <v>13.188650575703486</v>
      </c>
      <c r="K35" s="101">
        <f>IF($H35=0,0,' O&amp;M costs'!D33*'Levelized Cost'!$D$15)</f>
        <v>0</v>
      </c>
      <c r="L35" s="101">
        <v>0</v>
      </c>
      <c r="M35" s="101">
        <f t="shared" si="6"/>
        <v>0</v>
      </c>
      <c r="N35" s="64">
        <f>IF($H35=0,0,'Unit &amp; Fin Data-input'!$C$32*'Unit &amp; Fin Data-input'!$C$26*8760/2000*'Levelized Cost'!$D$15*'Emission costs-input'!B36/1000000)</f>
        <v>0</v>
      </c>
      <c r="O35" s="62">
        <f>IF($H35=0,0,'Unit &amp; Fin Data-input'!$C$33*'Unit &amp; Fin Data-input'!$C$26*8760/2000*'Levelized Cost'!$D$15*'Emission costs-input'!C36/1000000)</f>
        <v>0</v>
      </c>
      <c r="P35" s="62">
        <f>IF($H35=0,0,'Unit &amp; Fin Data-input'!$C$34*'Unit &amp; Fin Data-input'!$C$26*8760/2000*'Levelized Cost'!$D$15*'Emission costs-input'!D36/1000000)</f>
        <v>0</v>
      </c>
      <c r="Q35" s="62">
        <f>IF($H35=0,0,'Unit &amp; Fin Data-input'!$C$25*8760*'Unit &amp; Fin Data-input'!$C$26/1000*'Unit &amp; Fin Data-input'!$C$35/1000*'Emission costs-input'!E36/1000000)</f>
        <v>0</v>
      </c>
      <c r="R35" s="62">
        <f t="shared" si="7"/>
        <v>0</v>
      </c>
      <c r="S35" s="62">
        <f>IF($H35=0,0,' O&amp;M costs'!F33*'Levelized Cost'!$D$15)</f>
        <v>0</v>
      </c>
      <c r="T35" s="108">
        <f t="shared" si="9"/>
        <v>13.188650575703486</v>
      </c>
      <c r="V35" s="60"/>
      <c r="W35" s="33"/>
      <c r="X35" s="34"/>
      <c r="Y35" s="298"/>
      <c r="Z35" s="34"/>
      <c r="AA35" s="34"/>
      <c r="AB35" s="30"/>
      <c r="AE35" s="23"/>
      <c r="AF35" s="23"/>
      <c r="AG35" s="23"/>
      <c r="AH35" s="23"/>
      <c r="AI35" s="23"/>
    </row>
    <row r="36" spans="2:35" ht="12.75">
      <c r="B36" s="5">
        <v>40</v>
      </c>
      <c r="C36" s="52">
        <f t="shared" si="8"/>
        <v>743.2840334122461</v>
      </c>
      <c r="D36" s="53">
        <f t="shared" si="10"/>
        <v>212.12443875920266</v>
      </c>
      <c r="E36" s="35"/>
      <c r="F36" s="13">
        <f t="shared" si="3"/>
        <v>2033</v>
      </c>
      <c r="G36" s="13">
        <f t="shared" si="5"/>
        <v>20</v>
      </c>
      <c r="H36" s="100">
        <f t="shared" si="4"/>
        <v>1</v>
      </c>
      <c r="I36" s="100">
        <f>IF(H36&gt;0,COUNTIF(H$17:H36,1),0)</f>
        <v>12</v>
      </c>
      <c r="J36" s="101">
        <f>IF($H36=0,0,IF('Unit &amp; Fin Data-input'!$C$27="Y",'Capital costs-input'!D34*12*'Unit &amp; Fin Data-input'!$C$25,'Capital costs-input'!D34))</f>
        <v>12.685424724235403</v>
      </c>
      <c r="K36" s="101">
        <f>IF($H36=0,0,' O&amp;M costs'!D34*'Levelized Cost'!$D$15)</f>
        <v>0</v>
      </c>
      <c r="L36" s="101">
        <v>0</v>
      </c>
      <c r="M36" s="101">
        <f t="shared" si="6"/>
        <v>0</v>
      </c>
      <c r="N36" s="64">
        <f>IF($H36=0,0,'Unit &amp; Fin Data-input'!$C$32*'Unit &amp; Fin Data-input'!$C$26*8760/2000*'Levelized Cost'!$D$15*'Emission costs-input'!B37/1000000)</f>
        <v>0</v>
      </c>
      <c r="O36" s="62">
        <f>IF($H36=0,0,'Unit &amp; Fin Data-input'!$C$33*'Unit &amp; Fin Data-input'!$C$26*8760/2000*'Levelized Cost'!$D$15*'Emission costs-input'!C37/1000000)</f>
        <v>0</v>
      </c>
      <c r="P36" s="62">
        <f>IF($H36=0,0,'Unit &amp; Fin Data-input'!$C$34*'Unit &amp; Fin Data-input'!$C$26*8760/2000*'Levelized Cost'!$D$15*'Emission costs-input'!D37/1000000)</f>
        <v>0</v>
      </c>
      <c r="Q36" s="62">
        <f>IF($H36=0,0,'Unit &amp; Fin Data-input'!$C$25*8760*'Unit &amp; Fin Data-input'!$C$26/1000*'Unit &amp; Fin Data-input'!$C$35/1000*'Emission costs-input'!E37/1000000)</f>
        <v>0</v>
      </c>
      <c r="R36" s="62">
        <f t="shared" si="7"/>
        <v>0</v>
      </c>
      <c r="S36" s="62">
        <f>IF($H36=0,0,' O&amp;M costs'!F34*'Levelized Cost'!$D$15)</f>
        <v>0</v>
      </c>
      <c r="T36" s="108">
        <f t="shared" si="9"/>
        <v>12.685424724235403</v>
      </c>
      <c r="V36" s="60"/>
      <c r="W36" s="33"/>
      <c r="X36" s="34"/>
      <c r="Y36" s="298"/>
      <c r="Z36" s="34"/>
      <c r="AA36" s="34"/>
      <c r="AB36" s="30"/>
      <c r="AE36" s="23"/>
      <c r="AF36" s="23"/>
      <c r="AG36" s="23"/>
      <c r="AH36" s="23"/>
      <c r="AI36" s="23"/>
    </row>
    <row r="37" spans="2:35" ht="12.75">
      <c r="B37" s="5">
        <v>45</v>
      </c>
      <c r="C37" s="52">
        <f t="shared" si="8"/>
        <v>743.2840334122461</v>
      </c>
      <c r="D37" s="53">
        <f t="shared" si="10"/>
        <v>188.5550566748468</v>
      </c>
      <c r="E37" s="35"/>
      <c r="F37" s="13">
        <f t="shared" si="3"/>
        <v>2034</v>
      </c>
      <c r="G37" s="13">
        <f t="shared" si="5"/>
        <v>21</v>
      </c>
      <c r="H37" s="100">
        <f t="shared" si="4"/>
        <v>1</v>
      </c>
      <c r="I37" s="100">
        <f>IF(H37&gt;0,COUNTIF(H$17:H37,1),0)</f>
        <v>13</v>
      </c>
      <c r="J37" s="101">
        <f>IF($H37=0,0,IF('Unit &amp; Fin Data-input'!$C$27="Y",'Capital costs-input'!D35*12*'Unit &amp; Fin Data-input'!$C$25,'Capital costs-input'!D35))</f>
        <v>12.182225814704434</v>
      </c>
      <c r="K37" s="101">
        <f>IF($H37=0,0,' O&amp;M costs'!D35*'Levelized Cost'!$D$15)</f>
        <v>0</v>
      </c>
      <c r="L37" s="101">
        <v>0</v>
      </c>
      <c r="M37" s="101">
        <f t="shared" si="6"/>
        <v>0</v>
      </c>
      <c r="N37" s="64">
        <f>IF($H37=0,0,'Unit &amp; Fin Data-input'!$C$32*'Unit &amp; Fin Data-input'!$C$26*8760/2000*'Levelized Cost'!$D$15*'Emission costs-input'!B38/1000000)</f>
        <v>0</v>
      </c>
      <c r="O37" s="62">
        <f>IF($H37=0,0,'Unit &amp; Fin Data-input'!$C$33*'Unit &amp; Fin Data-input'!$C$26*8760/2000*'Levelized Cost'!$D$15*'Emission costs-input'!C38/1000000)</f>
        <v>0</v>
      </c>
      <c r="P37" s="62">
        <f>IF($H37=0,0,'Unit &amp; Fin Data-input'!$C$34*'Unit &amp; Fin Data-input'!$C$26*8760/2000*'Levelized Cost'!$D$15*'Emission costs-input'!D38/1000000)</f>
        <v>0</v>
      </c>
      <c r="Q37" s="62">
        <f>IF($H37=0,0,'Unit &amp; Fin Data-input'!$C$25*8760*'Unit &amp; Fin Data-input'!$C$26/1000*'Unit &amp; Fin Data-input'!$C$35/1000*'Emission costs-input'!E38/1000000)</f>
        <v>0</v>
      </c>
      <c r="R37" s="62">
        <f t="shared" si="7"/>
        <v>0</v>
      </c>
      <c r="S37" s="62">
        <f>IF($H37=0,0,' O&amp;M costs'!F35*'Levelized Cost'!$D$15)</f>
        <v>0</v>
      </c>
      <c r="T37" s="108">
        <f t="shared" si="9"/>
        <v>12.182225814704434</v>
      </c>
      <c r="V37" s="60"/>
      <c r="W37" s="33"/>
      <c r="X37" s="34"/>
      <c r="Y37" s="298"/>
      <c r="Z37" s="34"/>
      <c r="AA37" s="34"/>
      <c r="AB37" s="30"/>
      <c r="AE37" s="23"/>
      <c r="AF37" s="23"/>
      <c r="AG37" s="23"/>
      <c r="AH37" s="23"/>
      <c r="AI37" s="23"/>
    </row>
    <row r="38" spans="2:35" ht="12.75">
      <c r="B38" s="5">
        <v>50</v>
      </c>
      <c r="C38" s="52">
        <f t="shared" si="8"/>
        <v>743.2840334122461</v>
      </c>
      <c r="D38" s="53">
        <f t="shared" si="10"/>
        <v>169.69955100736215</v>
      </c>
      <c r="E38" s="35"/>
      <c r="F38" s="13">
        <f t="shared" si="3"/>
        <v>2035</v>
      </c>
      <c r="G38" s="13">
        <f t="shared" si="5"/>
        <v>22</v>
      </c>
      <c r="H38" s="100">
        <f t="shared" si="4"/>
        <v>1</v>
      </c>
      <c r="I38" s="100">
        <f>IF(H38&gt;0,COUNTIF(H$17:H38,1),0)</f>
        <v>14</v>
      </c>
      <c r="J38" s="101">
        <f>IF($H38=0,0,IF('Unit &amp; Fin Data-input'!$C$27="Y",'Capital costs-input'!D36*12*'Unit &amp; Fin Data-input'!$C$25,'Capital costs-input'!D36))</f>
        <v>11.679076752931628</v>
      </c>
      <c r="K38" s="101">
        <f>IF($H38=0,0,' O&amp;M costs'!D36*'Levelized Cost'!$D$15)</f>
        <v>0</v>
      </c>
      <c r="L38" s="101">
        <f>IF($H38=0,0,' O&amp;M costs'!E36*'Levelized Cost'!$D$15)</f>
        <v>60.5503097147259</v>
      </c>
      <c r="M38" s="101">
        <f t="shared" si="6"/>
        <v>0</v>
      </c>
      <c r="N38" s="64">
        <f>IF($H38=0,0,'Unit &amp; Fin Data-input'!$C$32*'Unit &amp; Fin Data-input'!$C$26*8760/2000*'Levelized Cost'!$D$15*'Emission costs-input'!B39/1000000)</f>
        <v>0</v>
      </c>
      <c r="O38" s="62">
        <f>IF($H38=0,0,'Unit &amp; Fin Data-input'!$C$33*'Unit &amp; Fin Data-input'!$C$26*8760/2000*'Levelized Cost'!$D$15*'Emission costs-input'!C39/1000000)</f>
        <v>0</v>
      </c>
      <c r="P38" s="62">
        <f>IF($H38=0,0,'Unit &amp; Fin Data-input'!$C$34*'Unit &amp; Fin Data-input'!$C$26*8760/2000*'Levelized Cost'!$D$15*'Emission costs-input'!D39/1000000)</f>
        <v>0</v>
      </c>
      <c r="Q38" s="62">
        <f>IF($H38=0,0,'Unit &amp; Fin Data-input'!$C$25*8760*'Unit &amp; Fin Data-input'!$C$26/1000*'Unit &amp; Fin Data-input'!$C$35/1000*'Emission costs-input'!E39/1000000)</f>
        <v>0</v>
      </c>
      <c r="R38" s="62">
        <f t="shared" si="7"/>
        <v>0</v>
      </c>
      <c r="S38" s="62">
        <f>IF($H38=0,0,' O&amp;M costs'!F36*'Levelized Cost'!$D$15)</f>
        <v>0</v>
      </c>
      <c r="T38" s="108">
        <f t="shared" si="9"/>
        <v>72.22938646765752</v>
      </c>
      <c r="V38" s="60"/>
      <c r="W38" s="33"/>
      <c r="X38" s="34"/>
      <c r="Y38" s="298"/>
      <c r="Z38" s="34"/>
      <c r="AA38" s="34"/>
      <c r="AB38" s="30"/>
      <c r="AE38" s="23"/>
      <c r="AF38" s="23"/>
      <c r="AG38" s="23"/>
      <c r="AH38" s="23"/>
      <c r="AI38" s="23"/>
    </row>
    <row r="39" spans="2:35" ht="12.75">
      <c r="B39" s="5">
        <v>55</v>
      </c>
      <c r="C39" s="52">
        <f t="shared" si="8"/>
        <v>743.2840334122461</v>
      </c>
      <c r="D39" s="53">
        <f t="shared" si="10"/>
        <v>154.27231909760195</v>
      </c>
      <c r="E39" s="35"/>
      <c r="F39" s="13">
        <f t="shared" si="3"/>
        <v>2036</v>
      </c>
      <c r="G39" s="13">
        <f t="shared" si="5"/>
        <v>23</v>
      </c>
      <c r="H39" s="100">
        <f t="shared" si="4"/>
        <v>1</v>
      </c>
      <c r="I39" s="100">
        <f>IF(H39&gt;0,COUNTIF(H$17:H39,1),0)</f>
        <v>15</v>
      </c>
      <c r="J39" s="101">
        <f>IF($H39=0,0,IF('Unit &amp; Fin Data-input'!$C$27="Y",'Capital costs-input'!D37*12*'Unit &amp; Fin Data-input'!$C$25,'Capital costs-input'!D37))</f>
        <v>11.176068621752611</v>
      </c>
      <c r="K39" s="101">
        <f>IF($H39=0,0,' O&amp;M costs'!D37*'Levelized Cost'!$D$15)</f>
        <v>0</v>
      </c>
      <c r="L39" s="101">
        <v>0</v>
      </c>
      <c r="M39" s="101">
        <f t="shared" si="6"/>
        <v>0</v>
      </c>
      <c r="N39" s="64">
        <f>IF($H39=0,0,'Unit &amp; Fin Data-input'!$C$32*'Unit &amp; Fin Data-input'!$C$26*8760/2000*'Levelized Cost'!$D$15*'Emission costs-input'!B40/1000000)</f>
        <v>0</v>
      </c>
      <c r="O39" s="62">
        <f>IF($H39=0,0,'Unit &amp; Fin Data-input'!$C$33*'Unit &amp; Fin Data-input'!$C$26*8760/2000*'Levelized Cost'!$D$15*'Emission costs-input'!C40/1000000)</f>
        <v>0</v>
      </c>
      <c r="P39" s="62">
        <f>IF($H39=0,0,'Unit &amp; Fin Data-input'!$C$34*'Unit &amp; Fin Data-input'!$C$26*8760/2000*'Levelized Cost'!$D$15*'Emission costs-input'!D40/1000000)</f>
        <v>0</v>
      </c>
      <c r="Q39" s="62">
        <f>IF($H39=0,0,'Unit &amp; Fin Data-input'!$C$25*8760*'Unit &amp; Fin Data-input'!$C$26/1000*'Unit &amp; Fin Data-input'!$C$35/1000*'Emission costs-input'!E40/1000000)</f>
        <v>0</v>
      </c>
      <c r="R39" s="62">
        <f t="shared" si="7"/>
        <v>0</v>
      </c>
      <c r="S39" s="62">
        <f>IF($H39=0,0,' O&amp;M costs'!F37*'Levelized Cost'!$D$15)</f>
        <v>0</v>
      </c>
      <c r="T39" s="108">
        <f t="shared" si="9"/>
        <v>11.176068621752611</v>
      </c>
      <c r="V39" s="60"/>
      <c r="W39" s="33"/>
      <c r="X39" s="34"/>
      <c r="Y39" s="298"/>
      <c r="Z39" s="34"/>
      <c r="AA39" s="34"/>
      <c r="AB39" s="30"/>
      <c r="AE39" s="23"/>
      <c r="AF39" s="23"/>
      <c r="AG39" s="23"/>
      <c r="AH39" s="23"/>
      <c r="AI39" s="23"/>
    </row>
    <row r="40" spans="2:35" ht="12.75">
      <c r="B40" s="5">
        <v>60</v>
      </c>
      <c r="C40" s="52">
        <f t="shared" si="8"/>
        <v>743.2840334122461</v>
      </c>
      <c r="D40" s="53">
        <f t="shared" si="10"/>
        <v>141.4162925061351</v>
      </c>
      <c r="E40" s="35"/>
      <c r="F40" s="13">
        <f t="shared" si="3"/>
        <v>2037</v>
      </c>
      <c r="G40" s="13">
        <f t="shared" si="5"/>
        <v>24</v>
      </c>
      <c r="H40" s="100">
        <f t="shared" si="4"/>
        <v>1</v>
      </c>
      <c r="I40" s="100">
        <f>IF(H40&gt;0,COUNTIF(H$17:H40,1),0)</f>
        <v>16</v>
      </c>
      <c r="J40" s="101">
        <f>IF($H40=0,0,IF('Unit &amp; Fin Data-input'!$C$27="Y",'Capital costs-input'!D38*12*'Unit &amp; Fin Data-input'!$C$25,'Capital costs-input'!D38))</f>
        <v>10.673192704996529</v>
      </c>
      <c r="K40" s="101">
        <f>IF($H40=0,0,' O&amp;M costs'!D38*'Levelized Cost'!$D$15)</f>
        <v>0</v>
      </c>
      <c r="L40" s="101">
        <v>0</v>
      </c>
      <c r="M40" s="101">
        <f t="shared" si="6"/>
        <v>0</v>
      </c>
      <c r="N40" s="64">
        <f>IF($H40=0,0,'Unit &amp; Fin Data-input'!$C$32*'Unit &amp; Fin Data-input'!$C$26*8760/2000*'Levelized Cost'!$D$15*'Emission costs-input'!B41/1000000)</f>
        <v>0</v>
      </c>
      <c r="O40" s="62">
        <f>IF($H40=0,0,'Unit &amp; Fin Data-input'!$C$33*'Unit &amp; Fin Data-input'!$C$26*8760/2000*'Levelized Cost'!$D$15*'Emission costs-input'!C41/1000000)</f>
        <v>0</v>
      </c>
      <c r="P40" s="62">
        <f>IF($H40=0,0,'Unit &amp; Fin Data-input'!$C$34*'Unit &amp; Fin Data-input'!$C$26*8760/2000*'Levelized Cost'!$D$15*'Emission costs-input'!D41/1000000)</f>
        <v>0</v>
      </c>
      <c r="Q40" s="62">
        <f>IF($H40=0,0,'Unit &amp; Fin Data-input'!$C$25*8760*'Unit &amp; Fin Data-input'!$C$26/1000*'Unit &amp; Fin Data-input'!$C$35/1000*'Emission costs-input'!E41/1000000)</f>
        <v>0</v>
      </c>
      <c r="R40" s="62">
        <f t="shared" si="7"/>
        <v>0</v>
      </c>
      <c r="S40" s="62">
        <f>IF($H40=0,0,' O&amp;M costs'!F38*'Levelized Cost'!$D$15)</f>
        <v>0</v>
      </c>
      <c r="T40" s="108">
        <f t="shared" si="9"/>
        <v>10.673192704996529</v>
      </c>
      <c r="V40" s="60"/>
      <c r="W40" s="33"/>
      <c r="X40" s="34"/>
      <c r="Y40" s="298"/>
      <c r="Z40" s="34"/>
      <c r="AA40" s="34"/>
      <c r="AB40" s="30"/>
      <c r="AE40" s="23"/>
      <c r="AF40" s="23"/>
      <c r="AG40" s="23"/>
      <c r="AH40" s="23"/>
      <c r="AI40" s="23"/>
    </row>
    <row r="41" spans="2:35" ht="12.75">
      <c r="B41" s="5">
        <v>65</v>
      </c>
      <c r="C41" s="52">
        <f t="shared" si="8"/>
        <v>743.2840334122461</v>
      </c>
      <c r="D41" s="53">
        <f t="shared" si="10"/>
        <v>130.53811615950934</v>
      </c>
      <c r="E41" s="35"/>
      <c r="F41" s="13">
        <f t="shared" si="3"/>
        <v>2038</v>
      </c>
      <c r="G41" s="13">
        <f t="shared" si="5"/>
        <v>25</v>
      </c>
      <c r="H41" s="100">
        <f t="shared" si="4"/>
        <v>1</v>
      </c>
      <c r="I41" s="100">
        <f>IF(H41&gt;0,COUNTIF(H$17:H41,1),0)</f>
        <v>17</v>
      </c>
      <c r="J41" s="101">
        <f>IF($H41=0,0,IF('Unit &amp; Fin Data-input'!$C$27="Y",'Capital costs-input'!D39*12*'Unit &amp; Fin Data-input'!$C$25,'Capital costs-input'!D39))</f>
        <v>10.17040771009138</v>
      </c>
      <c r="K41" s="101">
        <f>IF($H41=0,0,' O&amp;M costs'!D39*'Levelized Cost'!$D$15)</f>
        <v>0</v>
      </c>
      <c r="L41" s="101">
        <v>0</v>
      </c>
      <c r="M41" s="101">
        <f t="shared" si="6"/>
        <v>0</v>
      </c>
      <c r="N41" s="64">
        <f>IF($H41=0,0,'Unit &amp; Fin Data-input'!$C$32*'Unit &amp; Fin Data-input'!$C$26*8760/2000*'Levelized Cost'!$D$15*'Emission costs-input'!B42/1000000)</f>
        <v>0</v>
      </c>
      <c r="O41" s="62">
        <f>IF($H41=0,0,'Unit &amp; Fin Data-input'!$C$33*'Unit &amp; Fin Data-input'!$C$26*8760/2000*'Levelized Cost'!$D$15*'Emission costs-input'!C42/1000000)</f>
        <v>0</v>
      </c>
      <c r="P41" s="62">
        <f>IF($H41=0,0,'Unit &amp; Fin Data-input'!$C$34*'Unit &amp; Fin Data-input'!$C$26*8760/2000*'Levelized Cost'!$D$15*'Emission costs-input'!D42/1000000)</f>
        <v>0</v>
      </c>
      <c r="Q41" s="62">
        <f>IF($H41=0,0,'Unit &amp; Fin Data-input'!$C$25*8760*'Unit &amp; Fin Data-input'!$C$26/1000*'Unit &amp; Fin Data-input'!$C$35/1000*'Emission costs-input'!E42/1000000)</f>
        <v>0</v>
      </c>
      <c r="R41" s="62">
        <f t="shared" si="7"/>
        <v>0</v>
      </c>
      <c r="S41" s="62">
        <f>IF($H41=0,0,' O&amp;M costs'!F39*'Levelized Cost'!$D$15)</f>
        <v>0</v>
      </c>
      <c r="T41" s="108">
        <f t="shared" si="9"/>
        <v>10.17040771009138</v>
      </c>
      <c r="V41" s="60"/>
      <c r="W41" s="33"/>
      <c r="X41" s="34"/>
      <c r="Y41" s="298"/>
      <c r="Z41" s="34"/>
      <c r="AA41" s="34"/>
      <c r="AB41" s="30"/>
      <c r="AE41" s="23"/>
      <c r="AF41" s="23"/>
      <c r="AG41" s="23"/>
      <c r="AH41" s="23"/>
      <c r="AI41" s="23"/>
    </row>
    <row r="42" spans="2:35" ht="12.75">
      <c r="B42" s="5">
        <v>70</v>
      </c>
      <c r="C42" s="52">
        <f t="shared" si="8"/>
        <v>743.2840334122461</v>
      </c>
      <c r="D42" s="53">
        <f t="shared" si="10"/>
        <v>121.21396500525867</v>
      </c>
      <c r="E42" s="35"/>
      <c r="F42" s="13">
        <f t="shared" si="3"/>
        <v>2039</v>
      </c>
      <c r="G42" s="13">
        <f t="shared" si="5"/>
        <v>26</v>
      </c>
      <c r="H42" s="100">
        <f t="shared" si="4"/>
        <v>1</v>
      </c>
      <c r="I42" s="100">
        <f>IF(H42&gt;0,COUNTIF(H$17:H42,1),0)</f>
        <v>18</v>
      </c>
      <c r="J42" s="101">
        <f>IF($H42=0,0,IF('Unit &amp; Fin Data-input'!$C$27="Y",'Capital costs-input'!D40*12*'Unit &amp; Fin Data-input'!$C$25,'Capital costs-input'!D40))</f>
        <v>9.667643631696524</v>
      </c>
      <c r="K42" s="101">
        <f>IF($H42=0,0,' O&amp;M costs'!D40*'Levelized Cost'!$D$15)</f>
        <v>0</v>
      </c>
      <c r="L42" s="101">
        <v>0</v>
      </c>
      <c r="M42" s="101">
        <f t="shared" si="6"/>
        <v>0</v>
      </c>
      <c r="N42" s="64">
        <f>IF($H42=0,0,'Unit &amp; Fin Data-input'!$C$32*'Unit &amp; Fin Data-input'!$C$26*8760/2000*'Levelized Cost'!$D$15*'Emission costs-input'!B43/1000000)</f>
        <v>0</v>
      </c>
      <c r="O42" s="62">
        <f>IF($H42=0,0,'Unit &amp; Fin Data-input'!$C$33*'Unit &amp; Fin Data-input'!$C$26*8760/2000*'Levelized Cost'!$D$15*'Emission costs-input'!C43/1000000)</f>
        <v>0</v>
      </c>
      <c r="P42" s="62">
        <f>IF($H42=0,0,'Unit &amp; Fin Data-input'!$C$34*'Unit &amp; Fin Data-input'!$C$26*8760/2000*'Levelized Cost'!$D$15*'Emission costs-input'!D43/1000000)</f>
        <v>0</v>
      </c>
      <c r="Q42" s="62">
        <f>IF($H42=0,0,'Unit &amp; Fin Data-input'!$C$25*8760*'Unit &amp; Fin Data-input'!$C$26/1000*'Unit &amp; Fin Data-input'!$C$35/1000*'Emission costs-input'!E43/1000000)</f>
        <v>0</v>
      </c>
      <c r="R42" s="62">
        <f t="shared" si="7"/>
        <v>0</v>
      </c>
      <c r="S42" s="62">
        <f>IF($H42=0,0,' O&amp;M costs'!F40*'Levelized Cost'!$D$15)</f>
        <v>0</v>
      </c>
      <c r="T42" s="108">
        <f t="shared" si="9"/>
        <v>9.667643631696524</v>
      </c>
      <c r="V42" s="60"/>
      <c r="W42" s="33"/>
      <c r="X42" s="34"/>
      <c r="Y42" s="298"/>
      <c r="Z42" s="34"/>
      <c r="AA42" s="34"/>
      <c r="AB42" s="30"/>
      <c r="AE42" s="23"/>
      <c r="AF42" s="23"/>
      <c r="AG42" s="23"/>
      <c r="AH42" s="23"/>
      <c r="AI42" s="23"/>
    </row>
    <row r="43" spans="2:35" ht="12.75">
      <c r="B43" s="5">
        <v>75</v>
      </c>
      <c r="C43" s="52">
        <f t="shared" si="8"/>
        <v>743.2840334122461</v>
      </c>
      <c r="D43" s="53">
        <f t="shared" si="10"/>
        <v>113.13303400490808</v>
      </c>
      <c r="E43" s="35"/>
      <c r="F43" s="13">
        <f t="shared" si="3"/>
        <v>2040</v>
      </c>
      <c r="G43" s="13">
        <f t="shared" si="5"/>
        <v>27</v>
      </c>
      <c r="H43" s="100">
        <f t="shared" si="4"/>
        <v>1</v>
      </c>
      <c r="I43" s="100">
        <f>IF(H43&gt;0,COUNTIF(H$17:H43,1),0)</f>
        <v>19</v>
      </c>
      <c r="J43" s="101">
        <f>IF($H43=0,0,IF('Unit &amp; Fin Data-input'!$C$27="Y",'Capital costs-input'!D41*12*'Unit &amp; Fin Data-input'!$C$25,'Capital costs-input'!D41))</f>
        <v>9.16493406961573</v>
      </c>
      <c r="K43" s="101">
        <f>IF($H43=0,0,' O&amp;M costs'!D41*'Levelized Cost'!$D$15)</f>
        <v>0</v>
      </c>
      <c r="L43" s="101">
        <v>0</v>
      </c>
      <c r="M43" s="101">
        <f t="shared" si="6"/>
        <v>0</v>
      </c>
      <c r="N43" s="64">
        <f>IF($H43=0,0,'Unit &amp; Fin Data-input'!$C$32*'Unit &amp; Fin Data-input'!$C$26*8760/2000*'Levelized Cost'!$D$15*'Emission costs-input'!B44/1000000)</f>
        <v>0</v>
      </c>
      <c r="O43" s="62">
        <f>IF($H43=0,0,'Unit &amp; Fin Data-input'!$C$33*'Unit &amp; Fin Data-input'!$C$26*8760/2000*'Levelized Cost'!$D$15*'Emission costs-input'!C44/1000000)</f>
        <v>0</v>
      </c>
      <c r="P43" s="62">
        <f>IF($H43=0,0,'Unit &amp; Fin Data-input'!$C$34*'Unit &amp; Fin Data-input'!$C$26*8760/2000*'Levelized Cost'!$D$15*'Emission costs-input'!D44/1000000)</f>
        <v>0</v>
      </c>
      <c r="Q43" s="62">
        <f>IF($H43=0,0,'Unit &amp; Fin Data-input'!$C$25*8760*'Unit &amp; Fin Data-input'!$C$26/1000*'Unit &amp; Fin Data-input'!$C$35/1000*'Emission costs-input'!E44/1000000)</f>
        <v>0</v>
      </c>
      <c r="R43" s="62">
        <f t="shared" si="7"/>
        <v>0</v>
      </c>
      <c r="S43" s="62">
        <f>IF($H43=0,0,' O&amp;M costs'!F41*'Levelized Cost'!$D$15)</f>
        <v>0</v>
      </c>
      <c r="T43" s="108">
        <f t="shared" si="9"/>
        <v>9.16493406961573</v>
      </c>
      <c r="V43" s="60"/>
      <c r="W43" s="33"/>
      <c r="X43" s="34"/>
      <c r="Y43" s="298"/>
      <c r="Z43" s="34"/>
      <c r="AA43" s="34"/>
      <c r="AB43" s="30"/>
      <c r="AE43" s="23"/>
      <c r="AF43" s="23"/>
      <c r="AG43" s="23"/>
      <c r="AH43" s="23"/>
      <c r="AI43" s="23"/>
    </row>
    <row r="44" spans="2:35" ht="12.75">
      <c r="B44" s="5">
        <v>80</v>
      </c>
      <c r="C44" s="52">
        <f t="shared" si="8"/>
        <v>743.2840334122461</v>
      </c>
      <c r="D44" s="53">
        <f t="shared" si="10"/>
        <v>106.06221937960133</v>
      </c>
      <c r="E44" s="35"/>
      <c r="F44" s="13">
        <f t="shared" si="3"/>
        <v>2041</v>
      </c>
      <c r="G44" s="13">
        <f t="shared" si="5"/>
        <v>28</v>
      </c>
      <c r="H44" s="100">
        <f t="shared" si="4"/>
        <v>1</v>
      </c>
      <c r="I44" s="100">
        <f>IF(H44&gt;0,COUNTIF(H$17:H44,1),0)</f>
        <v>20</v>
      </c>
      <c r="J44" s="101">
        <f>IF($H44=0,0,IF('Unit &amp; Fin Data-input'!$C$27="Y",'Capital costs-input'!D42*12*'Unit &amp; Fin Data-input'!$C$25,'Capital costs-input'!D42))</f>
        <v>8.662309599440453</v>
      </c>
      <c r="K44" s="101">
        <f>IF($H44=0,0,' O&amp;M costs'!D42*'Levelized Cost'!$D$15)</f>
        <v>0</v>
      </c>
      <c r="L44" s="101">
        <v>0</v>
      </c>
      <c r="M44" s="101">
        <f t="shared" si="6"/>
        <v>0</v>
      </c>
      <c r="N44" s="64">
        <f>IF($H44=0,0,'Unit &amp; Fin Data-input'!$C$32*'Unit &amp; Fin Data-input'!$C$26*8760/2000*'Levelized Cost'!$D$15*'Emission costs-input'!B45/1000000)</f>
        <v>0</v>
      </c>
      <c r="O44" s="62">
        <f>IF($H44=0,0,'Unit &amp; Fin Data-input'!$C$33*'Unit &amp; Fin Data-input'!$C$26*8760/2000*'Levelized Cost'!$D$15*'Emission costs-input'!C45/1000000)</f>
        <v>0</v>
      </c>
      <c r="P44" s="62">
        <f>IF($H44=0,0,'Unit &amp; Fin Data-input'!$C$34*'Unit &amp; Fin Data-input'!$C$26*8760/2000*'Levelized Cost'!$D$15*'Emission costs-input'!D45/1000000)</f>
        <v>0</v>
      </c>
      <c r="Q44" s="62">
        <f>IF($H44=0,0,'Unit &amp; Fin Data-input'!$C$25*8760*'Unit &amp; Fin Data-input'!$C$26/1000*'Unit &amp; Fin Data-input'!$C$35/1000*'Emission costs-input'!E45/1000000)</f>
        <v>0</v>
      </c>
      <c r="R44" s="62">
        <f t="shared" si="7"/>
        <v>0</v>
      </c>
      <c r="S44" s="62">
        <f>IF($H44=0,0,' O&amp;M costs'!F42*'Levelized Cost'!$D$15)</f>
        <v>0</v>
      </c>
      <c r="T44" s="108">
        <f t="shared" si="9"/>
        <v>8.662309599440453</v>
      </c>
      <c r="V44" s="60"/>
      <c r="W44" s="33"/>
      <c r="X44" s="34"/>
      <c r="Y44" s="298"/>
      <c r="Z44" s="34"/>
      <c r="AA44" s="34"/>
      <c r="AE44" s="23"/>
      <c r="AF44" s="23"/>
      <c r="AG44" s="23"/>
      <c r="AH44" s="23"/>
      <c r="AI44" s="23"/>
    </row>
    <row r="45" spans="2:35" ht="12.75">
      <c r="B45" s="5">
        <v>85</v>
      </c>
      <c r="C45" s="52">
        <f t="shared" si="8"/>
        <v>743.2840334122461</v>
      </c>
      <c r="D45" s="53">
        <f t="shared" si="10"/>
        <v>99.82326529844832</v>
      </c>
      <c r="E45" s="35"/>
      <c r="F45" s="13">
        <f t="shared" si="3"/>
        <v>2042</v>
      </c>
      <c r="G45" s="13">
        <f t="shared" si="5"/>
        <v>29</v>
      </c>
      <c r="H45" s="100">
        <f t="shared" si="4"/>
        <v>1</v>
      </c>
      <c r="I45" s="100">
        <f>IF(H45&gt;0,COUNTIF(H$17:H45,1),0)</f>
        <v>21</v>
      </c>
      <c r="J45" s="101">
        <f>IF($H45=0,0,IF('Unit &amp; Fin Data-input'!$C$27="Y",'Capital costs-input'!D43*12*'Unit &amp; Fin Data-input'!$C$25,'Capital costs-input'!D43))</f>
        <v>8.159769472257112</v>
      </c>
      <c r="K45" s="101">
        <f>IF($H45=0,0,' O&amp;M costs'!D43*'Levelized Cost'!$D$15)</f>
        <v>0</v>
      </c>
      <c r="L45" s="101">
        <v>0</v>
      </c>
      <c r="M45" s="101">
        <f t="shared" si="6"/>
        <v>0</v>
      </c>
      <c r="N45" s="64">
        <f>IF($H45=0,0,'Unit &amp; Fin Data-input'!$C$32*'Unit &amp; Fin Data-input'!$C$26*8760/2000*'Levelized Cost'!$D$15*'Emission costs-input'!B46/1000000)</f>
        <v>0</v>
      </c>
      <c r="O45" s="62">
        <f>IF($H45=0,0,'Unit &amp; Fin Data-input'!$C$33*'Unit &amp; Fin Data-input'!$C$26*8760/2000*'Levelized Cost'!$D$15*'Emission costs-input'!C46/1000000)</f>
        <v>0</v>
      </c>
      <c r="P45" s="62">
        <f>IF($H45=0,0,'Unit &amp; Fin Data-input'!$C$34*'Unit &amp; Fin Data-input'!$C$26*8760/2000*'Levelized Cost'!$D$15*'Emission costs-input'!D46/1000000)</f>
        <v>0</v>
      </c>
      <c r="Q45" s="62">
        <f>IF($H45=0,0,'Unit &amp; Fin Data-input'!$C$25*8760*'Unit &amp; Fin Data-input'!$C$26/1000*'Unit &amp; Fin Data-input'!$C$35/1000*'Emission costs-input'!E46/1000000)</f>
        <v>0</v>
      </c>
      <c r="R45" s="62">
        <f t="shared" si="7"/>
        <v>0</v>
      </c>
      <c r="S45" s="62">
        <f>IF($H45=0,0,' O&amp;M costs'!F43*'Levelized Cost'!$D$15)</f>
        <v>0</v>
      </c>
      <c r="T45" s="108">
        <f t="shared" si="9"/>
        <v>8.159769472257112</v>
      </c>
      <c r="V45" s="60"/>
      <c r="W45" s="33"/>
      <c r="X45" s="34"/>
      <c r="Y45" s="298"/>
      <c r="Z45" s="34"/>
      <c r="AA45" s="34"/>
      <c r="AE45" s="23"/>
      <c r="AF45" s="23"/>
      <c r="AG45" s="23"/>
      <c r="AH45" s="23"/>
      <c r="AI45" s="23"/>
    </row>
    <row r="46" spans="2:35" ht="12.75">
      <c r="B46" s="5">
        <v>90</v>
      </c>
      <c r="C46" s="52">
        <f t="shared" si="8"/>
        <v>743.2840334122461</v>
      </c>
      <c r="D46" s="53">
        <f t="shared" si="10"/>
        <v>94.2775283374234</v>
      </c>
      <c r="E46" s="35"/>
      <c r="F46" s="13">
        <f t="shared" si="3"/>
        <v>2043</v>
      </c>
      <c r="G46" s="13">
        <f t="shared" si="5"/>
        <v>30</v>
      </c>
      <c r="H46" s="100">
        <f t="shared" si="4"/>
        <v>1</v>
      </c>
      <c r="I46" s="100">
        <f>IF(H46&gt;0,COUNTIF(H$17:H46,1),0)</f>
        <v>22</v>
      </c>
      <c r="J46" s="101">
        <f>IF($H46=0,0,IF('Unit &amp; Fin Data-input'!$C$27="Y",'Capital costs-input'!D44*12*'Unit &amp; Fin Data-input'!$C$25,'Capital costs-input'!D44))</f>
        <v>7.6573158708662215</v>
      </c>
      <c r="K46" s="101">
        <f>IF($H46=0,0,' O&amp;M costs'!D44*'Levelized Cost'!$D$15)</f>
        <v>0</v>
      </c>
      <c r="L46" s="101">
        <v>0</v>
      </c>
      <c r="M46" s="101">
        <f t="shared" si="6"/>
        <v>0</v>
      </c>
      <c r="N46" s="64">
        <f>IF($H46=0,0,'Unit &amp; Fin Data-input'!$C$32*'Unit &amp; Fin Data-input'!$C$26*8760/2000*'Levelized Cost'!$D$15*'Emission costs-input'!B47/1000000)</f>
        <v>0</v>
      </c>
      <c r="O46" s="62">
        <f>IF($H46=0,0,'Unit &amp; Fin Data-input'!$C$33*'Unit &amp; Fin Data-input'!$C$26*8760/2000*'Levelized Cost'!$D$15*'Emission costs-input'!C47/1000000)</f>
        <v>0</v>
      </c>
      <c r="P46" s="62">
        <f>IF($H46=0,0,'Unit &amp; Fin Data-input'!$C$34*'Unit &amp; Fin Data-input'!$C$26*8760/2000*'Levelized Cost'!$D$15*'Emission costs-input'!D47/1000000)</f>
        <v>0</v>
      </c>
      <c r="Q46" s="62">
        <f>IF($H46=0,0,'Unit &amp; Fin Data-input'!$C$25*8760*'Unit &amp; Fin Data-input'!$C$26/1000*'Unit &amp; Fin Data-input'!$C$35/1000*'Emission costs-input'!E47/1000000)</f>
        <v>0</v>
      </c>
      <c r="R46" s="62">
        <f t="shared" si="7"/>
        <v>0</v>
      </c>
      <c r="S46" s="62">
        <f>IF($H46=0,0,' O&amp;M costs'!F44*'Levelized Cost'!$D$15)</f>
        <v>0</v>
      </c>
      <c r="T46" s="108">
        <f t="shared" si="9"/>
        <v>7.6573158708662215</v>
      </c>
      <c r="V46" s="60"/>
      <c r="W46" s="33"/>
      <c r="X46" s="34"/>
      <c r="Y46" s="298"/>
      <c r="Z46" s="34"/>
      <c r="AA46" s="34"/>
      <c r="AE46" s="23"/>
      <c r="AF46" s="23"/>
      <c r="AG46" s="23"/>
      <c r="AH46" s="23"/>
      <c r="AI46" s="23"/>
    </row>
    <row r="47" spans="2:35" ht="12.75">
      <c r="B47" s="5">
        <v>95</v>
      </c>
      <c r="C47" s="52">
        <f t="shared" si="8"/>
        <v>743.2840334122461</v>
      </c>
      <c r="D47" s="53">
        <f t="shared" si="10"/>
        <v>89.31555316176954</v>
      </c>
      <c r="E47" s="35"/>
      <c r="F47" s="13">
        <f t="shared" si="3"/>
        <v>2044</v>
      </c>
      <c r="G47" s="13">
        <f t="shared" si="5"/>
        <v>31</v>
      </c>
      <c r="H47" s="100">
        <f t="shared" si="4"/>
        <v>1</v>
      </c>
      <c r="I47" s="100">
        <f>IF(H47&gt;0,COUNTIF(H$17:H47,1),0)</f>
        <v>23</v>
      </c>
      <c r="J47" s="101">
        <f>IF($H47=0,0,IF('Unit &amp; Fin Data-input'!$C$27="Y",'Capital costs-input'!D45*12*'Unit &amp; Fin Data-input'!$C$25,'Capital costs-input'!D45))</f>
        <v>7.154951034559267</v>
      </c>
      <c r="K47" s="101">
        <f>IF($H47=0,0,' O&amp;M costs'!D45*'Levelized Cost'!$D$15)</f>
        <v>0</v>
      </c>
      <c r="L47" s="101">
        <v>0</v>
      </c>
      <c r="M47" s="101">
        <f t="shared" si="6"/>
        <v>0</v>
      </c>
      <c r="N47" s="64">
        <f>IF($H47=0,0,'Unit &amp; Fin Data-input'!$C$32*'Unit &amp; Fin Data-input'!$C$26*8760/2000*'Levelized Cost'!$D$15*'Emission costs-input'!B48/1000000)</f>
        <v>0</v>
      </c>
      <c r="O47" s="62">
        <f>IF($H47=0,0,'Unit &amp; Fin Data-input'!$C$33*'Unit &amp; Fin Data-input'!$C$26*8760/2000*'Levelized Cost'!$D$15*'Emission costs-input'!C48/1000000)</f>
        <v>0</v>
      </c>
      <c r="P47" s="62">
        <f>IF($H47=0,0,'Unit &amp; Fin Data-input'!$C$34*'Unit &amp; Fin Data-input'!$C$26*8760/2000*'Levelized Cost'!$D$15*'Emission costs-input'!D48/1000000)</f>
        <v>0</v>
      </c>
      <c r="Q47" s="62">
        <f>IF($H47=0,0,'Unit &amp; Fin Data-input'!$C$25*8760*'Unit &amp; Fin Data-input'!$C$26/1000*'Unit &amp; Fin Data-input'!$C$35/1000*'Emission costs-input'!E48/1000000)</f>
        <v>0</v>
      </c>
      <c r="R47" s="62">
        <f t="shared" si="7"/>
        <v>0</v>
      </c>
      <c r="S47" s="62">
        <f>IF($H47=0,0,' O&amp;M costs'!F45*'Levelized Cost'!$D$15)</f>
        <v>0</v>
      </c>
      <c r="T47" s="108">
        <f t="shared" si="9"/>
        <v>7.154951034559267</v>
      </c>
      <c r="V47" s="60"/>
      <c r="W47" s="33"/>
      <c r="X47" s="28"/>
      <c r="Z47" s="27"/>
      <c r="AA47" s="27"/>
      <c r="AE47" s="23"/>
      <c r="AF47" s="23"/>
      <c r="AG47" s="23"/>
      <c r="AH47" s="23"/>
      <c r="AI47" s="23"/>
    </row>
    <row r="48" spans="2:35" ht="12.75">
      <c r="B48" s="6">
        <v>100</v>
      </c>
      <c r="C48" s="54">
        <f t="shared" si="8"/>
        <v>743.2840334122461</v>
      </c>
      <c r="D48" s="55">
        <f t="shared" si="10"/>
        <v>84.84977550368107</v>
      </c>
      <c r="E48" s="35"/>
      <c r="F48" s="13">
        <f t="shared" si="3"/>
        <v>2045</v>
      </c>
      <c r="G48" s="13">
        <f t="shared" si="5"/>
        <v>32</v>
      </c>
      <c r="H48" s="100">
        <f t="shared" si="4"/>
        <v>1</v>
      </c>
      <c r="I48" s="100">
        <f>IF(H48&gt;0,COUNTIF(H$17:H48,1),0)</f>
        <v>24</v>
      </c>
      <c r="J48" s="101">
        <f>IF($H48=0,0,IF('Unit &amp; Fin Data-input'!$C$27="Y",'Capital costs-input'!D46*12*'Unit &amp; Fin Data-input'!$C$25,'Capital costs-input'!D46))</f>
        <v>6.652677260580708</v>
      </c>
      <c r="K48" s="101">
        <f>IF($H48=0,0,' O&amp;M costs'!D46*'Levelized Cost'!$D$15)</f>
        <v>0</v>
      </c>
      <c r="L48" s="101">
        <v>0</v>
      </c>
      <c r="M48" s="101">
        <f t="shared" si="6"/>
        <v>0</v>
      </c>
      <c r="N48" s="64">
        <f>IF($H48=0,0,'Unit &amp; Fin Data-input'!$C$32*'Unit &amp; Fin Data-input'!$C$26*8760/2000*'Levelized Cost'!$D$15*'Emission costs-input'!B49/1000000)</f>
        <v>0</v>
      </c>
      <c r="O48" s="62">
        <f>IF($H48=0,0,'Unit &amp; Fin Data-input'!$C$33*'Unit &amp; Fin Data-input'!$C$26*8760/2000*'Levelized Cost'!$D$15*'Emission costs-input'!C49/1000000)</f>
        <v>0</v>
      </c>
      <c r="P48" s="62">
        <f>IF($H48=0,0,'Unit &amp; Fin Data-input'!$C$34*'Unit &amp; Fin Data-input'!$C$26*8760/2000*'Levelized Cost'!$D$15*'Emission costs-input'!D49/1000000)</f>
        <v>0</v>
      </c>
      <c r="Q48" s="62">
        <f>IF($H48=0,0,'Unit &amp; Fin Data-input'!$C$25*8760*'Unit &amp; Fin Data-input'!$C$26/1000*'Unit &amp; Fin Data-input'!$C$35/1000*'Emission costs-input'!E49/1000000)</f>
        <v>0</v>
      </c>
      <c r="R48" s="62">
        <f t="shared" si="7"/>
        <v>0</v>
      </c>
      <c r="S48" s="62">
        <f>IF($H48=0,0,' O&amp;M costs'!F46*'Levelized Cost'!$D$15)</f>
        <v>0</v>
      </c>
      <c r="T48" s="108">
        <f t="shared" si="9"/>
        <v>6.652677260580708</v>
      </c>
      <c r="V48" s="60"/>
      <c r="W48" s="33"/>
      <c r="X48" s="28"/>
      <c r="Y48" s="27"/>
      <c r="Z48" s="27"/>
      <c r="AA48" s="27"/>
      <c r="AE48" s="37"/>
      <c r="AF48" s="38"/>
      <c r="AG48" s="39"/>
      <c r="AH48" s="23"/>
      <c r="AI48" s="23"/>
    </row>
    <row r="49" spans="2:35" ht="12.75">
      <c r="B49" s="73"/>
      <c r="C49" s="73"/>
      <c r="D49" s="73"/>
      <c r="E49" s="35"/>
      <c r="F49" s="13">
        <f t="shared" si="3"/>
        <v>2046</v>
      </c>
      <c r="G49" s="13">
        <f t="shared" si="5"/>
        <v>33</v>
      </c>
      <c r="H49" s="100">
        <f t="shared" si="4"/>
        <v>1</v>
      </c>
      <c r="I49" s="100">
        <f>IF(H49&gt;0,COUNTIF(H$17:H49,1),0)</f>
        <v>25</v>
      </c>
      <c r="J49" s="101">
        <f>IF($H49=0,0,IF('Unit &amp; Fin Data-input'!$C$27="Y",'Capital costs-input'!D47*12*'Unit &amp; Fin Data-input'!$C$25,'Capital costs-input'!D47))</f>
        <v>6.150496905627796</v>
      </c>
      <c r="K49" s="101">
        <f>IF($H49=0,0,' O&amp;M costs'!D47*'Levelized Cost'!$D$15)</f>
        <v>0</v>
      </c>
      <c r="L49" s="101">
        <v>0</v>
      </c>
      <c r="M49" s="101">
        <f t="shared" si="6"/>
        <v>0</v>
      </c>
      <c r="N49" s="64">
        <f>IF($H49=0,0,'Unit &amp; Fin Data-input'!$C$32*'Unit &amp; Fin Data-input'!$C$26*8760/2000*'Levelized Cost'!$D$15*'Emission costs-input'!B50/1000000)</f>
        <v>0</v>
      </c>
      <c r="O49" s="62">
        <f>IF($H49=0,0,'Unit &amp; Fin Data-input'!$C$33*'Unit &amp; Fin Data-input'!$C$26*8760/2000*'Levelized Cost'!$D$15*'Emission costs-input'!C50/1000000)</f>
        <v>0</v>
      </c>
      <c r="P49" s="62">
        <f>IF($H49=0,0,'Unit &amp; Fin Data-input'!$C$34*'Unit &amp; Fin Data-input'!$C$26*8760/2000*'Levelized Cost'!$D$15*'Emission costs-input'!D50/1000000)</f>
        <v>0</v>
      </c>
      <c r="Q49" s="62">
        <f>IF($H49=0,0,'Unit &amp; Fin Data-input'!$C$25*8760*'Unit &amp; Fin Data-input'!$C$26/1000*'Unit &amp; Fin Data-input'!$C$35/1000*'Emission costs-input'!E50/1000000)</f>
        <v>0</v>
      </c>
      <c r="R49" s="62">
        <f t="shared" si="7"/>
        <v>0</v>
      </c>
      <c r="S49" s="62">
        <f>IF($H49=0,0,' O&amp;M costs'!F47*'Levelized Cost'!$D$15)</f>
        <v>0</v>
      </c>
      <c r="T49" s="108">
        <f aca="true" t="shared" si="11" ref="T49:T66">SUM(J49:S49)</f>
        <v>6.150496905627796</v>
      </c>
      <c r="V49" s="60"/>
      <c r="W49" s="33"/>
      <c r="X49" s="28"/>
      <c r="Y49" s="27"/>
      <c r="Z49" s="27"/>
      <c r="AA49" s="27"/>
      <c r="AE49" s="23"/>
      <c r="AF49" s="23"/>
      <c r="AG49" s="23"/>
      <c r="AH49" s="23"/>
      <c r="AI49" s="23"/>
    </row>
    <row r="50" spans="2:35" ht="12.75">
      <c r="B50" s="73"/>
      <c r="C50" s="73"/>
      <c r="D50" s="73"/>
      <c r="E50" s="40"/>
      <c r="F50" s="13">
        <f aca="true" t="shared" si="12" ref="F50:F66">F49+1</f>
        <v>2047</v>
      </c>
      <c r="G50" s="13">
        <f t="shared" si="5"/>
        <v>34</v>
      </c>
      <c r="H50" s="100">
        <f t="shared" si="4"/>
        <v>1</v>
      </c>
      <c r="I50" s="100">
        <f>IF(H50&gt;0,COUNTIF(H$17:H50,1),0)</f>
        <v>26</v>
      </c>
      <c r="J50" s="101">
        <f>IF($H50=0,0,IF('Unit &amp; Fin Data-input'!$C$27="Y",'Capital costs-input'!D48*12*'Unit &amp; Fin Data-input'!$C$25,'Capital costs-input'!D48))</f>
        <v>5.701699132255513</v>
      </c>
      <c r="K50" s="101">
        <f>IF($H50=0,0,' O&amp;M costs'!D48*'Levelized Cost'!$D$15)</f>
        <v>0</v>
      </c>
      <c r="L50" s="101">
        <f>IF($H50=0,0,' O&amp;M costs'!E48*'Levelized Cost'!$D$15)</f>
        <v>81.43343483998684</v>
      </c>
      <c r="M50" s="101">
        <f t="shared" si="6"/>
        <v>0</v>
      </c>
      <c r="N50" s="64">
        <f>IF($H50=0,0,'Unit &amp; Fin Data-input'!$C$32*'Unit &amp; Fin Data-input'!$C$26*8760/2000*'Levelized Cost'!$D$15*'Emission costs-input'!B51/1000000)</f>
        <v>0</v>
      </c>
      <c r="O50" s="62">
        <f>IF($H50=0,0,'Unit &amp; Fin Data-input'!$C$33*'Unit &amp; Fin Data-input'!$C$26*8760/2000*'Levelized Cost'!$D$15*'Emission costs-input'!C51/1000000)</f>
        <v>0</v>
      </c>
      <c r="P50" s="62">
        <f>IF($H50=0,0,'Unit &amp; Fin Data-input'!$C$34*'Unit &amp; Fin Data-input'!$C$26*8760/2000*'Levelized Cost'!$D$15*'Emission costs-input'!D51/1000000)</f>
        <v>0</v>
      </c>
      <c r="Q50" s="62">
        <f>IF($H50=0,0,'Unit &amp; Fin Data-input'!$C$25*8760*'Unit &amp; Fin Data-input'!$C$26/1000*'Unit &amp; Fin Data-input'!$C$35/1000*'Emission costs-input'!E51/1000000)</f>
        <v>0</v>
      </c>
      <c r="R50" s="62">
        <f t="shared" si="7"/>
        <v>0</v>
      </c>
      <c r="S50" s="62">
        <f>IF($H50=0,0,' O&amp;M costs'!F48*'Levelized Cost'!$D$15)</f>
        <v>0</v>
      </c>
      <c r="T50" s="108">
        <f t="shared" si="11"/>
        <v>87.13513397224236</v>
      </c>
      <c r="V50" s="60"/>
      <c r="W50" s="33"/>
      <c r="X50" s="28"/>
      <c r="Y50" s="27"/>
      <c r="Z50" s="27"/>
      <c r="AA50" s="27"/>
      <c r="AE50" s="23"/>
      <c r="AF50" s="23"/>
      <c r="AG50" s="23"/>
      <c r="AH50" s="23"/>
      <c r="AI50" s="23"/>
    </row>
    <row r="51" spans="2:35" ht="12.75">
      <c r="B51" s="73"/>
      <c r="C51" s="73"/>
      <c r="D51" s="73"/>
      <c r="E51" s="40"/>
      <c r="F51" s="13">
        <f t="shared" si="12"/>
        <v>2048</v>
      </c>
      <c r="G51" s="13">
        <f t="shared" si="5"/>
        <v>35</v>
      </c>
      <c r="H51" s="100">
        <f t="shared" si="4"/>
        <v>1</v>
      </c>
      <c r="I51" s="100">
        <f>IF(H51&gt;0,COUNTIF(H$17:H51,1),0)</f>
        <v>27</v>
      </c>
      <c r="J51" s="101">
        <f>IF($H51=0,0,IF('Unit &amp; Fin Data-input'!$C$27="Y",'Capital costs-input'!D49*12*'Unit &amp; Fin Data-input'!$C$25,'Capital costs-input'!D49))</f>
        <v>5.291061636474923</v>
      </c>
      <c r="K51" s="101">
        <f>IF($H51=0,0,' O&amp;M costs'!D49*'Levelized Cost'!$D$15)</f>
        <v>0</v>
      </c>
      <c r="L51" s="101">
        <v>0</v>
      </c>
      <c r="M51" s="101">
        <f t="shared" si="6"/>
        <v>0</v>
      </c>
      <c r="N51" s="64">
        <f>IF($H51=0,0,'Unit &amp; Fin Data-input'!$C$32*'Unit &amp; Fin Data-input'!$C$26*8760/2000*'Levelized Cost'!$D$15*'Emission costs-input'!B52/1000000)</f>
        <v>0</v>
      </c>
      <c r="O51" s="62">
        <f>IF($H51=0,0,'Unit &amp; Fin Data-input'!$C$33*'Unit &amp; Fin Data-input'!$C$26*8760/2000*'Levelized Cost'!$D$15*'Emission costs-input'!C52/1000000)</f>
        <v>0</v>
      </c>
      <c r="P51" s="62">
        <f>IF($H51=0,0,'Unit &amp; Fin Data-input'!$C$34*'Unit &amp; Fin Data-input'!$C$26*8760/2000*'Levelized Cost'!$D$15*'Emission costs-input'!D52/1000000)</f>
        <v>0</v>
      </c>
      <c r="Q51" s="62">
        <f>IF($H51=0,0,'Unit &amp; Fin Data-input'!$C$25*8760*'Unit &amp; Fin Data-input'!$C$26/1000*'Unit &amp; Fin Data-input'!$C$35/1000*'Emission costs-input'!E52/1000000)</f>
        <v>0</v>
      </c>
      <c r="R51" s="62">
        <f t="shared" si="7"/>
        <v>0</v>
      </c>
      <c r="S51" s="62">
        <f>IF($H51=0,0,' O&amp;M costs'!F49*'Levelized Cost'!$D$15)</f>
        <v>0</v>
      </c>
      <c r="T51" s="108">
        <f t="shared" si="11"/>
        <v>5.291061636474923</v>
      </c>
      <c r="V51" s="60"/>
      <c r="W51" s="33"/>
      <c r="X51" s="28"/>
      <c r="Y51" s="27"/>
      <c r="Z51" s="27"/>
      <c r="AA51" s="27"/>
      <c r="AE51" s="23"/>
      <c r="AF51" s="23"/>
      <c r="AG51" s="23"/>
      <c r="AH51" s="23"/>
      <c r="AI51" s="23"/>
    </row>
    <row r="52" spans="2:35" ht="12.75">
      <c r="B52" s="73"/>
      <c r="C52" s="73"/>
      <c r="D52" s="73"/>
      <c r="E52" s="40"/>
      <c r="F52" s="13">
        <f t="shared" si="12"/>
        <v>2049</v>
      </c>
      <c r="G52" s="13">
        <f t="shared" si="5"/>
        <v>36</v>
      </c>
      <c r="H52" s="100">
        <f t="shared" si="4"/>
        <v>1</v>
      </c>
      <c r="I52" s="100">
        <f>IF(H52&gt;0,COUNTIF(H$17:H52,1),0)</f>
        <v>28</v>
      </c>
      <c r="J52" s="101">
        <f>IF($H52=0,0,IF('Unit &amp; Fin Data-input'!$C$27="Y",'Capital costs-input'!D50*12*'Unit &amp; Fin Data-input'!$C$25,'Capital costs-input'!D50))</f>
        <v>4.880525002115025</v>
      </c>
      <c r="K52" s="101">
        <f>IF($H52=0,0,' O&amp;M costs'!D50*'Levelized Cost'!$D$15)</f>
        <v>0</v>
      </c>
      <c r="L52" s="101">
        <v>0</v>
      </c>
      <c r="M52" s="101">
        <f t="shared" si="6"/>
        <v>0</v>
      </c>
      <c r="N52" s="64">
        <f>IF($H52=0,0,'Unit &amp; Fin Data-input'!$C$32*'Unit &amp; Fin Data-input'!$C$26*8760/2000*'Levelized Cost'!$D$15*'Emission costs-input'!B53/1000000)</f>
        <v>0</v>
      </c>
      <c r="O52" s="62">
        <f>IF($H52=0,0,'Unit &amp; Fin Data-input'!$C$33*'Unit &amp; Fin Data-input'!$C$26*8760/2000*'Levelized Cost'!$D$15*'Emission costs-input'!C53/1000000)</f>
        <v>0</v>
      </c>
      <c r="P52" s="62">
        <f>IF($H52=0,0,'Unit &amp; Fin Data-input'!$C$34*'Unit &amp; Fin Data-input'!$C$26*8760/2000*'Levelized Cost'!$D$15*'Emission costs-input'!D53/1000000)</f>
        <v>0</v>
      </c>
      <c r="Q52" s="62">
        <f>IF($H52=0,0,'Unit &amp; Fin Data-input'!$C$25*8760*'Unit &amp; Fin Data-input'!$C$26/1000*'Unit &amp; Fin Data-input'!$C$35/1000*'Emission costs-input'!E53/1000000)</f>
        <v>0</v>
      </c>
      <c r="R52" s="62">
        <f t="shared" si="7"/>
        <v>0</v>
      </c>
      <c r="S52" s="62">
        <f>IF($H52=0,0,' O&amp;M costs'!F50*'Levelized Cost'!$D$15)</f>
        <v>0</v>
      </c>
      <c r="T52" s="108">
        <f t="shared" si="11"/>
        <v>4.880525002115025</v>
      </c>
      <c r="V52" s="60"/>
      <c r="W52" s="33"/>
      <c r="X52" s="28"/>
      <c r="Y52" s="27"/>
      <c r="Z52" s="27"/>
      <c r="AA52" s="27"/>
      <c r="AE52" s="23"/>
      <c r="AF52" s="23"/>
      <c r="AG52" s="23"/>
      <c r="AH52" s="23"/>
      <c r="AI52" s="23"/>
    </row>
    <row r="53" spans="2:35" ht="12.75">
      <c r="B53" s="73"/>
      <c r="C53" s="73"/>
      <c r="D53" s="73"/>
      <c r="E53" s="40"/>
      <c r="F53" s="13">
        <f t="shared" si="12"/>
        <v>2050</v>
      </c>
      <c r="G53" s="13">
        <f t="shared" si="5"/>
        <v>37</v>
      </c>
      <c r="H53" s="100">
        <f t="shared" si="4"/>
        <v>1</v>
      </c>
      <c r="I53" s="100">
        <f>IF(H53&gt;0,COUNTIF(H$17:H53,1),0)</f>
        <v>29</v>
      </c>
      <c r="J53" s="101">
        <f>IF($H53=0,0,IF('Unit &amp; Fin Data-input'!$C$27="Y",'Capital costs-input'!D51*12*'Unit &amp; Fin Data-input'!$C$25,'Capital costs-input'!D51))</f>
        <v>4.470091839474025</v>
      </c>
      <c r="K53" s="101">
        <f>IF($H53=0,0,' O&amp;M costs'!D51*'Levelized Cost'!$D$15)</f>
        <v>0</v>
      </c>
      <c r="L53" s="101">
        <v>0</v>
      </c>
      <c r="M53" s="101">
        <f t="shared" si="6"/>
        <v>0</v>
      </c>
      <c r="N53" s="64">
        <f>IF($H53=0,0,'Unit &amp; Fin Data-input'!$C$32*'Unit &amp; Fin Data-input'!$C$26*8760/2000*'Levelized Cost'!$D$15*'Emission costs-input'!B54/1000000)</f>
        <v>0</v>
      </c>
      <c r="O53" s="62">
        <f>IF($H53=0,0,'Unit &amp; Fin Data-input'!$C$33*'Unit &amp; Fin Data-input'!$C$26*8760/2000*'Levelized Cost'!$D$15*'Emission costs-input'!C54/1000000)</f>
        <v>0</v>
      </c>
      <c r="P53" s="62">
        <f>IF($H53=0,0,'Unit &amp; Fin Data-input'!$C$34*'Unit &amp; Fin Data-input'!$C$26*8760/2000*'Levelized Cost'!$D$15*'Emission costs-input'!D54/1000000)</f>
        <v>0</v>
      </c>
      <c r="Q53" s="62">
        <f>IF($H53=0,0,'Unit &amp; Fin Data-input'!$C$25*8760*'Unit &amp; Fin Data-input'!$C$26/1000*'Unit &amp; Fin Data-input'!$C$35/1000*'Emission costs-input'!E54/1000000)</f>
        <v>0</v>
      </c>
      <c r="R53" s="62">
        <f t="shared" si="7"/>
        <v>0</v>
      </c>
      <c r="S53" s="62">
        <f>IF($H53=0,0,' O&amp;M costs'!F51*'Levelized Cost'!$D$15)</f>
        <v>0</v>
      </c>
      <c r="T53" s="108">
        <f t="shared" si="11"/>
        <v>4.470091839474025</v>
      </c>
      <c r="V53" s="60"/>
      <c r="W53" s="33"/>
      <c r="X53" s="28"/>
      <c r="Y53" s="27"/>
      <c r="Z53" s="27"/>
      <c r="AA53" s="27"/>
      <c r="AE53" s="23"/>
      <c r="AF53" s="23"/>
      <c r="AG53" s="23"/>
      <c r="AH53" s="23"/>
      <c r="AI53" s="23"/>
    </row>
    <row r="54" spans="2:35" ht="12.75">
      <c r="B54" s="73"/>
      <c r="C54" s="73"/>
      <c r="D54" s="73"/>
      <c r="E54" s="40"/>
      <c r="F54" s="13">
        <f t="shared" si="12"/>
        <v>2051</v>
      </c>
      <c r="G54" s="13">
        <f t="shared" si="5"/>
        <v>38</v>
      </c>
      <c r="H54" s="100">
        <f t="shared" si="4"/>
        <v>1</v>
      </c>
      <c r="I54" s="100">
        <f>IF(H54&gt;0,COUNTIF(H$17:H54,1),0)</f>
        <v>30</v>
      </c>
      <c r="J54" s="101">
        <f>IF($H54=0,0,IF('Unit &amp; Fin Data-input'!$C$27="Y",'Capital costs-input'!D52*12*'Unit &amp; Fin Data-input'!$C$25,'Capital costs-input'!D52))</f>
        <v>4.059764826404778</v>
      </c>
      <c r="K54" s="101">
        <f>IF($H54=0,0,' O&amp;M costs'!D52*'Levelized Cost'!$D$15)</f>
        <v>0</v>
      </c>
      <c r="L54" s="101">
        <v>0</v>
      </c>
      <c r="M54" s="101">
        <f t="shared" si="6"/>
        <v>0</v>
      </c>
      <c r="N54" s="64">
        <f>IF($H54=0,0,'Unit &amp; Fin Data-input'!$C$32*'Unit &amp; Fin Data-input'!$C$26*8760/2000*'Levelized Cost'!$D$15*'Emission costs-input'!B55/1000000)</f>
        <v>0</v>
      </c>
      <c r="O54" s="62">
        <f>IF($H54=0,0,'Unit &amp; Fin Data-input'!$C$33*'Unit &amp; Fin Data-input'!$C$26*8760/2000*'Levelized Cost'!$D$15*'Emission costs-input'!C55/1000000)</f>
        <v>0</v>
      </c>
      <c r="P54" s="62">
        <f>IF($H54=0,0,'Unit &amp; Fin Data-input'!$C$34*'Unit &amp; Fin Data-input'!$C$26*8760/2000*'Levelized Cost'!$D$15*'Emission costs-input'!D55/1000000)</f>
        <v>0</v>
      </c>
      <c r="Q54" s="62">
        <f>IF($H54=0,0,'Unit &amp; Fin Data-input'!$C$25*8760*'Unit &amp; Fin Data-input'!$C$26/1000*'Unit &amp; Fin Data-input'!$C$35/1000*'Emission costs-input'!E55/1000000)</f>
        <v>0</v>
      </c>
      <c r="R54" s="62">
        <f t="shared" si="7"/>
        <v>0</v>
      </c>
      <c r="S54" s="62">
        <f>IF($H54=0,0,' O&amp;M costs'!F52*'Levelized Cost'!$D$15)</f>
        <v>0</v>
      </c>
      <c r="T54" s="108">
        <f t="shared" si="11"/>
        <v>4.059764826404778</v>
      </c>
      <c r="V54" s="60"/>
      <c r="W54" s="33"/>
      <c r="X54" s="28"/>
      <c r="AE54" s="23"/>
      <c r="AF54" s="23"/>
      <c r="AG54" s="23"/>
      <c r="AH54" s="23"/>
      <c r="AI54" s="23"/>
    </row>
    <row r="55" spans="2:35" ht="12.75">
      <c r="B55" s="73"/>
      <c r="C55" s="73"/>
      <c r="D55" s="73"/>
      <c r="E55" s="40"/>
      <c r="F55" s="13">
        <f t="shared" si="12"/>
        <v>2052</v>
      </c>
      <c r="G55" s="13">
        <f t="shared" si="5"/>
        <v>39</v>
      </c>
      <c r="H55" s="100">
        <f t="shared" si="4"/>
        <v>1</v>
      </c>
      <c r="I55" s="100">
        <f>IF(H55&gt;0,COUNTIF(H$17:H55,1),0)</f>
        <v>31</v>
      </c>
      <c r="J55" s="101">
        <f>IF($H55=0,0,IF('Unit &amp; Fin Data-input'!$C$27="Y",'Capital costs-input'!D53*12*'Unit &amp; Fin Data-input'!$C$25,'Capital costs-input'!D53))</f>
        <v>1.57102195092414</v>
      </c>
      <c r="K55" s="101">
        <f>IF($H55=0,0,' O&amp;M costs'!D53*'Levelized Cost'!$D$15)</f>
        <v>0</v>
      </c>
      <c r="L55" s="101">
        <v>0</v>
      </c>
      <c r="M55" s="101">
        <f t="shared" si="6"/>
        <v>0</v>
      </c>
      <c r="N55" s="64">
        <f>IF($H55=0,0,'Unit &amp; Fin Data-input'!$C$32*'Unit &amp; Fin Data-input'!$C$26*8760/2000*'Levelized Cost'!$D$15*'Emission costs-input'!B56/1000000)</f>
        <v>0</v>
      </c>
      <c r="O55" s="62">
        <f>IF($H55=0,0,'Unit &amp; Fin Data-input'!$C$33*'Unit &amp; Fin Data-input'!$C$26*8760/2000*'Levelized Cost'!$D$15*'Emission costs-input'!C56/1000000)</f>
        <v>0</v>
      </c>
      <c r="P55" s="62">
        <f>IF($H55=0,0,'Unit &amp; Fin Data-input'!$C$34*'Unit &amp; Fin Data-input'!$C$26*8760/2000*'Levelized Cost'!$D$15*'Emission costs-input'!D56/1000000)</f>
        <v>0</v>
      </c>
      <c r="Q55" s="62">
        <f>IF($H55=0,0,'Unit &amp; Fin Data-input'!$C$25*8760*'Unit &amp; Fin Data-input'!$C$26/1000*'Unit &amp; Fin Data-input'!$C$35/1000*'Emission costs-input'!E56/1000000)</f>
        <v>0</v>
      </c>
      <c r="R55" s="62">
        <f t="shared" si="7"/>
        <v>0</v>
      </c>
      <c r="S55" s="62">
        <f>IF($H55=0,0,' O&amp;M costs'!F53*'Levelized Cost'!$D$15)</f>
        <v>0</v>
      </c>
      <c r="T55" s="108">
        <f t="shared" si="11"/>
        <v>1.57102195092414</v>
      </c>
      <c r="V55" s="60"/>
      <c r="W55" s="33"/>
      <c r="X55" s="28"/>
      <c r="AE55" s="23"/>
      <c r="AF55" s="23"/>
      <c r="AG55" s="23"/>
      <c r="AH55" s="23"/>
      <c r="AI55" s="23"/>
    </row>
    <row r="56" spans="2:35" ht="12.75">
      <c r="B56" s="73"/>
      <c r="C56" s="73"/>
      <c r="D56" s="73"/>
      <c r="E56" s="40"/>
      <c r="F56" s="13">
        <f t="shared" si="12"/>
        <v>2053</v>
      </c>
      <c r="G56" s="13">
        <f t="shared" si="5"/>
        <v>40</v>
      </c>
      <c r="H56" s="100">
        <f t="shared" si="4"/>
        <v>0</v>
      </c>
      <c r="I56" s="100">
        <f>IF(H56&gt;0,COUNTIF(H$17:H56,1),0)</f>
        <v>0</v>
      </c>
      <c r="J56" s="101">
        <f>IF($H56=0,0,IF('Unit &amp; Fin Data-input'!$C$27="Y",'Capital costs-input'!D54*12*'Unit &amp; Fin Data-input'!$C$25,'Capital costs-input'!D54))</f>
        <v>0</v>
      </c>
      <c r="K56" s="101">
        <f>IF($H56=0,0,' O&amp;M costs'!D54*'Levelized Cost'!$D$15)</f>
        <v>0</v>
      </c>
      <c r="L56" s="101">
        <v>0</v>
      </c>
      <c r="M56" s="101">
        <f t="shared" si="6"/>
        <v>0</v>
      </c>
      <c r="N56" s="64">
        <f>IF($H56=0,0,'Unit &amp; Fin Data-input'!$C$32*'Unit &amp; Fin Data-input'!$C$26*8760/2000*'Levelized Cost'!$D$15*'Emission costs-input'!B57/1000000)</f>
        <v>0</v>
      </c>
      <c r="O56" s="62">
        <f>IF($H56=0,0,'Unit &amp; Fin Data-input'!$C$33*'Unit &amp; Fin Data-input'!$C$26*8760/2000*'Levelized Cost'!$D$15*'Emission costs-input'!C57/1000000)</f>
        <v>0</v>
      </c>
      <c r="P56" s="62">
        <f>IF($H56=0,0,'Unit &amp; Fin Data-input'!$C$34*'Unit &amp; Fin Data-input'!$C$26*8760/2000*'Levelized Cost'!$D$15*'Emission costs-input'!D57/1000000)</f>
        <v>0</v>
      </c>
      <c r="Q56" s="62">
        <f>IF($H56=0,0,'Unit &amp; Fin Data-input'!$C$25*8760*'Unit &amp; Fin Data-input'!$C$26/1000*'Unit &amp; Fin Data-input'!$C$35/1000*'Emission costs-input'!E57/1000000)</f>
        <v>0</v>
      </c>
      <c r="R56" s="62">
        <f t="shared" si="7"/>
        <v>0</v>
      </c>
      <c r="S56" s="62">
        <f>IF($H56=0,0,' O&amp;M costs'!F54*'Levelized Cost'!$D$15)</f>
        <v>0</v>
      </c>
      <c r="T56" s="108">
        <f t="shared" si="11"/>
        <v>0</v>
      </c>
      <c r="V56" s="60"/>
      <c r="W56" s="33"/>
      <c r="X56" s="28"/>
      <c r="AE56" s="23"/>
      <c r="AF56" s="23"/>
      <c r="AG56" s="23"/>
      <c r="AH56" s="23"/>
      <c r="AI56" s="23"/>
    </row>
    <row r="57" spans="2:35" ht="12.75">
      <c r="B57" s="73"/>
      <c r="C57" s="73"/>
      <c r="D57" s="73"/>
      <c r="E57" s="40"/>
      <c r="F57" s="13">
        <f t="shared" si="12"/>
        <v>2054</v>
      </c>
      <c r="G57" s="13">
        <f t="shared" si="5"/>
        <v>41</v>
      </c>
      <c r="H57" s="100">
        <f t="shared" si="4"/>
        <v>0</v>
      </c>
      <c r="I57" s="100">
        <f>IF(H57&gt;0,COUNTIF(H$17:H57,1),0)</f>
        <v>0</v>
      </c>
      <c r="J57" s="101">
        <f>IF($H57=0,0,IF('Unit &amp; Fin Data-input'!$C$27="Y",'Capital costs-input'!D55*12*'Unit &amp; Fin Data-input'!$C$25,'Capital costs-input'!D55))</f>
        <v>0</v>
      </c>
      <c r="K57" s="101">
        <f>IF($H57=0,0,' O&amp;M costs'!D55*'Levelized Cost'!$D$15)</f>
        <v>0</v>
      </c>
      <c r="L57" s="101">
        <f>IF($H57=0,0,' O&amp;M costs'!E55*'Levelized Cost'!$D$15)</f>
        <v>0</v>
      </c>
      <c r="M57" s="101">
        <f t="shared" si="6"/>
        <v>0</v>
      </c>
      <c r="N57" s="64">
        <f>IF($H57=0,0,'Unit &amp; Fin Data-input'!$C$32*'Unit &amp; Fin Data-input'!$C$26*8760/2000*'Levelized Cost'!$D$15*'Emission costs-input'!B58/1000000)</f>
        <v>0</v>
      </c>
      <c r="O57" s="62">
        <f>IF($H57=0,0,'Unit &amp; Fin Data-input'!$C$33*'Unit &amp; Fin Data-input'!$C$26*8760/2000*'Levelized Cost'!$D$15*'Emission costs-input'!C58/1000000)</f>
        <v>0</v>
      </c>
      <c r="P57" s="62">
        <f>IF($H57=0,0,'Unit &amp; Fin Data-input'!$C$34*'Unit &amp; Fin Data-input'!$C$26*8760/2000*'Levelized Cost'!$D$15*'Emission costs-input'!D58/1000000)</f>
        <v>0</v>
      </c>
      <c r="Q57" s="62">
        <f>IF($H57=0,0,'Unit &amp; Fin Data-input'!$C$25*8760*'Unit &amp; Fin Data-input'!$C$26/1000*'Unit &amp; Fin Data-input'!$C$35/1000*'Emission costs-input'!E58/1000000)</f>
        <v>0</v>
      </c>
      <c r="R57" s="62">
        <f t="shared" si="7"/>
        <v>0</v>
      </c>
      <c r="S57" s="62">
        <f>IF($H57=0,0,' O&amp;M costs'!F55*'Levelized Cost'!$D$15)</f>
        <v>0</v>
      </c>
      <c r="T57" s="108">
        <f t="shared" si="11"/>
        <v>0</v>
      </c>
      <c r="V57" s="60"/>
      <c r="W57" s="33"/>
      <c r="X57" s="28"/>
      <c r="AE57" s="23"/>
      <c r="AF57" s="23"/>
      <c r="AG57" s="23"/>
      <c r="AH57" s="23"/>
      <c r="AI57" s="23"/>
    </row>
    <row r="58" spans="2:35" ht="12.75">
      <c r="B58" s="73"/>
      <c r="C58" s="73"/>
      <c r="D58" s="73"/>
      <c r="E58" s="40"/>
      <c r="F58" s="13">
        <f t="shared" si="12"/>
        <v>2055</v>
      </c>
      <c r="G58" s="13">
        <f t="shared" si="5"/>
        <v>42</v>
      </c>
      <c r="H58" s="100">
        <f t="shared" si="4"/>
        <v>0</v>
      </c>
      <c r="I58" s="100">
        <f>IF(H58&gt;0,COUNTIF(H$17:H58,1),0)</f>
        <v>0</v>
      </c>
      <c r="J58" s="101">
        <f>IF($H58=0,0,IF('Unit &amp; Fin Data-input'!$C$27="Y",'Capital costs-input'!D56*12*'Unit &amp; Fin Data-input'!$C$25,'Capital costs-input'!D56))</f>
        <v>0</v>
      </c>
      <c r="K58" s="101">
        <f>IF($H58=0,0,' O&amp;M costs'!D56*'Levelized Cost'!$D$15)</f>
        <v>0</v>
      </c>
      <c r="L58" s="101">
        <f>IF($H58=0,0,' O&amp;M costs'!E56*'Levelized Cost'!$D$15)</f>
        <v>0</v>
      </c>
      <c r="M58" s="101">
        <f t="shared" si="6"/>
        <v>0</v>
      </c>
      <c r="N58" s="64">
        <f>IF($H58=0,0,'Unit &amp; Fin Data-input'!$C$32*'Unit &amp; Fin Data-input'!$C$26*8760/2000*'Levelized Cost'!$D$15*'Emission costs-input'!B59/1000000)</f>
        <v>0</v>
      </c>
      <c r="O58" s="62">
        <f>IF($H58=0,0,'Unit &amp; Fin Data-input'!$C$33*'Unit &amp; Fin Data-input'!$C$26*8760/2000*'Levelized Cost'!$D$15*'Emission costs-input'!C59/1000000)</f>
        <v>0</v>
      </c>
      <c r="P58" s="62">
        <f>IF($H58=0,0,'Unit &amp; Fin Data-input'!$C$34*'Unit &amp; Fin Data-input'!$C$26*8760/2000*'Levelized Cost'!$D$15*'Emission costs-input'!D59/1000000)</f>
        <v>0</v>
      </c>
      <c r="Q58" s="62">
        <f>IF($H58=0,0,'Unit &amp; Fin Data-input'!$C$25*8760*'Unit &amp; Fin Data-input'!$C$26/1000*'Unit &amp; Fin Data-input'!$C$35/1000*'Emission costs-input'!E59/1000000)</f>
        <v>0</v>
      </c>
      <c r="R58" s="62">
        <f t="shared" si="7"/>
        <v>0</v>
      </c>
      <c r="S58" s="62">
        <f>IF($H58=0,0,' O&amp;M costs'!F56*'Levelized Cost'!$D$15)</f>
        <v>0</v>
      </c>
      <c r="T58" s="108">
        <f t="shared" si="11"/>
        <v>0</v>
      </c>
      <c r="V58" s="60"/>
      <c r="W58" s="33"/>
      <c r="X58" s="28"/>
      <c r="AE58" s="23"/>
      <c r="AF58" s="23"/>
      <c r="AG58" s="23"/>
      <c r="AH58" s="23"/>
      <c r="AI58" s="23"/>
    </row>
    <row r="59" spans="2:35" ht="12.75">
      <c r="B59" s="73"/>
      <c r="C59" s="73"/>
      <c r="D59" s="73"/>
      <c r="E59" s="40"/>
      <c r="F59" s="13">
        <f t="shared" si="12"/>
        <v>2056</v>
      </c>
      <c r="G59" s="13">
        <f t="shared" si="5"/>
        <v>43</v>
      </c>
      <c r="H59" s="100">
        <f t="shared" si="4"/>
        <v>0</v>
      </c>
      <c r="I59" s="100">
        <f>IF(H59&gt;0,COUNTIF(H$17:H59,1),0)</f>
        <v>0</v>
      </c>
      <c r="J59" s="101">
        <f>IF($H59=0,0,IF('Unit &amp; Fin Data-input'!$C$27="Y",'Capital costs-input'!D57*12*'Unit &amp; Fin Data-input'!$C$25,'Capital costs-input'!D57))</f>
        <v>0</v>
      </c>
      <c r="K59" s="101">
        <f>IF($H59=0,0,' O&amp;M costs'!D57*'Levelized Cost'!$D$15)</f>
        <v>0</v>
      </c>
      <c r="L59" s="101">
        <f>IF($H59=0,0,' O&amp;M costs'!E57*'Levelized Cost'!$D$15)</f>
        <v>0</v>
      </c>
      <c r="M59" s="101">
        <f t="shared" si="6"/>
        <v>0</v>
      </c>
      <c r="N59" s="64">
        <f>IF($H59=0,0,'Unit &amp; Fin Data-input'!$C$32*'Unit &amp; Fin Data-input'!$C$26*8760/2000*'Levelized Cost'!$D$15*'Emission costs-input'!B60/1000000)</f>
        <v>0</v>
      </c>
      <c r="O59" s="62">
        <f>IF($H59=0,0,'Unit &amp; Fin Data-input'!$C$33*'Unit &amp; Fin Data-input'!$C$26*8760/2000*'Levelized Cost'!$D$15*'Emission costs-input'!C60/1000000)</f>
        <v>0</v>
      </c>
      <c r="P59" s="62">
        <f>IF($H59=0,0,'Unit &amp; Fin Data-input'!$C$34*'Unit &amp; Fin Data-input'!$C$26*8760/2000*'Levelized Cost'!$D$15*'Emission costs-input'!D60/1000000)</f>
        <v>0</v>
      </c>
      <c r="Q59" s="62">
        <f>IF($H59=0,0,'Unit &amp; Fin Data-input'!$C$25*8760*'Unit &amp; Fin Data-input'!$C$26/1000*'Unit &amp; Fin Data-input'!$C$35/1000*'Emission costs-input'!E60/1000000)</f>
        <v>0</v>
      </c>
      <c r="R59" s="62">
        <f t="shared" si="7"/>
        <v>0</v>
      </c>
      <c r="S59" s="62">
        <f>IF($H59=0,0,' O&amp;M costs'!F57*'Levelized Cost'!$D$15)</f>
        <v>0</v>
      </c>
      <c r="T59" s="108">
        <f t="shared" si="11"/>
        <v>0</v>
      </c>
      <c r="V59" s="60"/>
      <c r="W59" s="33"/>
      <c r="X59" s="28"/>
      <c r="AE59" s="23"/>
      <c r="AF59" s="23"/>
      <c r="AG59" s="23"/>
      <c r="AH59" s="23"/>
      <c r="AI59" s="23"/>
    </row>
    <row r="60" spans="2:35" ht="12.75">
      <c r="B60" s="73"/>
      <c r="C60" s="73"/>
      <c r="D60" s="73"/>
      <c r="E60" s="40"/>
      <c r="F60" s="13">
        <f t="shared" si="12"/>
        <v>2057</v>
      </c>
      <c r="G60" s="13">
        <f t="shared" si="5"/>
        <v>44</v>
      </c>
      <c r="H60" s="100">
        <f t="shared" si="4"/>
        <v>0</v>
      </c>
      <c r="I60" s="100">
        <f>IF(H60&gt;0,COUNTIF(H$17:H60,1),0)</f>
        <v>0</v>
      </c>
      <c r="J60" s="101">
        <f>IF($H60=0,0,IF('Unit &amp; Fin Data-input'!$C$27="Y",'Capital costs-input'!D58*12*'Unit &amp; Fin Data-input'!$C$25,'Capital costs-input'!D58))</f>
        <v>0</v>
      </c>
      <c r="K60" s="101">
        <f>IF($H60=0,0,' O&amp;M costs'!D58*'Levelized Cost'!$D$15)</f>
        <v>0</v>
      </c>
      <c r="L60" s="101">
        <f>IF($H60=0,0,' O&amp;M costs'!E58*'Levelized Cost'!$D$15)</f>
        <v>0</v>
      </c>
      <c r="M60" s="101">
        <f t="shared" si="6"/>
        <v>0</v>
      </c>
      <c r="N60" s="64">
        <f>IF($H60=0,0,'Unit &amp; Fin Data-input'!$C$32*'Unit &amp; Fin Data-input'!$C$26*8760/2000*'Levelized Cost'!$D$15*'Emission costs-input'!B61/1000000)</f>
        <v>0</v>
      </c>
      <c r="O60" s="62">
        <f>IF($H60=0,0,'Unit &amp; Fin Data-input'!$C$33*'Unit &amp; Fin Data-input'!$C$26*8760/2000*'Levelized Cost'!$D$15*'Emission costs-input'!C61/1000000)</f>
        <v>0</v>
      </c>
      <c r="P60" s="62">
        <f>IF($H60=0,0,'Unit &amp; Fin Data-input'!$C$34*'Unit &amp; Fin Data-input'!$C$26*8760/2000*'Levelized Cost'!$D$15*'Emission costs-input'!D61/1000000)</f>
        <v>0</v>
      </c>
      <c r="Q60" s="62">
        <f>IF($H60=0,0,'Unit &amp; Fin Data-input'!$C$25*8760*'Unit &amp; Fin Data-input'!$C$26/1000*'Unit &amp; Fin Data-input'!$C$35/1000*'Emission costs-input'!E61/1000000)</f>
        <v>0</v>
      </c>
      <c r="R60" s="62">
        <f t="shared" si="7"/>
        <v>0</v>
      </c>
      <c r="S60" s="62">
        <f>IF($H60=0,0,' O&amp;M costs'!F58*'Levelized Cost'!$D$15)</f>
        <v>0</v>
      </c>
      <c r="T60" s="108">
        <f t="shared" si="11"/>
        <v>0</v>
      </c>
      <c r="V60" s="60"/>
      <c r="W60" s="33"/>
      <c r="X60" s="28"/>
      <c r="AE60" s="23"/>
      <c r="AF60" s="23"/>
      <c r="AG60" s="23"/>
      <c r="AH60" s="23"/>
      <c r="AI60" s="23"/>
    </row>
    <row r="61" spans="2:35" ht="12.75">
      <c r="B61" s="73"/>
      <c r="C61" s="73"/>
      <c r="D61" s="73"/>
      <c r="E61" s="40"/>
      <c r="F61" s="13">
        <f t="shared" si="12"/>
        <v>2058</v>
      </c>
      <c r="G61" s="13">
        <f t="shared" si="5"/>
        <v>45</v>
      </c>
      <c r="H61" s="100">
        <f t="shared" si="4"/>
        <v>0</v>
      </c>
      <c r="I61" s="100">
        <f>IF(H61&gt;0,COUNTIF(H$17:H61,1),0)</f>
        <v>0</v>
      </c>
      <c r="J61" s="101">
        <f>IF($H61=0,0,IF('Unit &amp; Fin Data-input'!$C$27="Y",'Capital costs-input'!D59*12*'Unit &amp; Fin Data-input'!$C$25,'Capital costs-input'!D59))</f>
        <v>0</v>
      </c>
      <c r="K61" s="101">
        <f>IF($H61=0,0,' O&amp;M costs'!D59*'Levelized Cost'!$D$15)</f>
        <v>0</v>
      </c>
      <c r="L61" s="101">
        <f>IF($H61=0,0,' O&amp;M costs'!E59*'Levelized Cost'!$D$15)</f>
        <v>0</v>
      </c>
      <c r="M61" s="101">
        <f t="shared" si="6"/>
        <v>0</v>
      </c>
      <c r="N61" s="64">
        <f>IF($H61=0,0,'Unit &amp; Fin Data-input'!$C$32*'Unit &amp; Fin Data-input'!$C$26*8760/2000*'Levelized Cost'!$D$15*'Emission costs-input'!B62/1000000)</f>
        <v>0</v>
      </c>
      <c r="O61" s="62">
        <f>IF($H61=0,0,'Unit &amp; Fin Data-input'!$C$33*'Unit &amp; Fin Data-input'!$C$26*8760/2000*'Levelized Cost'!$D$15*'Emission costs-input'!C62/1000000)</f>
        <v>0</v>
      </c>
      <c r="P61" s="62">
        <f>IF($H61=0,0,'Unit &amp; Fin Data-input'!$C$34*'Unit &amp; Fin Data-input'!$C$26*8760/2000*'Levelized Cost'!$D$15*'Emission costs-input'!D62/1000000)</f>
        <v>0</v>
      </c>
      <c r="Q61" s="62">
        <f>IF($H61=0,0,'Unit &amp; Fin Data-input'!$C$25*8760*'Unit &amp; Fin Data-input'!$C$26/1000*'Unit &amp; Fin Data-input'!$C$35/1000*'Emission costs-input'!E62/1000000)</f>
        <v>0</v>
      </c>
      <c r="R61" s="62">
        <f t="shared" si="7"/>
        <v>0</v>
      </c>
      <c r="S61" s="62">
        <f>IF($H61=0,0,' O&amp;M costs'!F59*'Levelized Cost'!$D$15)</f>
        <v>0</v>
      </c>
      <c r="T61" s="108">
        <f t="shared" si="11"/>
        <v>0</v>
      </c>
      <c r="V61" s="60"/>
      <c r="W61" s="33"/>
      <c r="X61" s="28"/>
      <c r="AE61" s="23"/>
      <c r="AF61" s="23"/>
      <c r="AG61" s="23"/>
      <c r="AH61" s="23"/>
      <c r="AI61" s="23"/>
    </row>
    <row r="62" spans="2:35" ht="12.75">
      <c r="B62" s="73"/>
      <c r="C62" s="73"/>
      <c r="D62" s="73"/>
      <c r="E62" s="40"/>
      <c r="F62" s="13">
        <f t="shared" si="12"/>
        <v>2059</v>
      </c>
      <c r="G62" s="13">
        <f t="shared" si="5"/>
        <v>46</v>
      </c>
      <c r="H62" s="100">
        <f t="shared" si="4"/>
        <v>0</v>
      </c>
      <c r="I62" s="100">
        <f>IF(H62&gt;0,COUNTIF(H$17:H62,1),0)</f>
        <v>0</v>
      </c>
      <c r="J62" s="101">
        <f>IF($H62=0,0,IF('Unit &amp; Fin Data-input'!$C$27="Y",'Capital costs-input'!D60*12*'Unit &amp; Fin Data-input'!$C$25,'Capital costs-input'!D60))</f>
        <v>0</v>
      </c>
      <c r="K62" s="101">
        <f>IF($H62=0,0,' O&amp;M costs'!D60*'Levelized Cost'!$D$15)</f>
        <v>0</v>
      </c>
      <c r="L62" s="101">
        <f>IF($H62=0,0,' O&amp;M costs'!E60*'Levelized Cost'!$D$15)</f>
        <v>0</v>
      </c>
      <c r="M62" s="101">
        <f t="shared" si="6"/>
        <v>0</v>
      </c>
      <c r="N62" s="64">
        <f>IF($H62=0,0,'Unit &amp; Fin Data-input'!$C$32*'Unit &amp; Fin Data-input'!$C$26*8760/2000*'Levelized Cost'!$D$15*'Emission costs-input'!B63/1000000)</f>
        <v>0</v>
      </c>
      <c r="O62" s="62">
        <f>IF($H62=0,0,'Unit &amp; Fin Data-input'!$C$33*'Unit &amp; Fin Data-input'!$C$26*8760/2000*'Levelized Cost'!$D$15*'Emission costs-input'!C63/1000000)</f>
        <v>0</v>
      </c>
      <c r="P62" s="62">
        <f>IF($H62=0,0,'Unit &amp; Fin Data-input'!$C$34*'Unit &amp; Fin Data-input'!$C$26*8760/2000*'Levelized Cost'!$D$15*'Emission costs-input'!D63/1000000)</f>
        <v>0</v>
      </c>
      <c r="Q62" s="62">
        <f>IF($H62=0,0,'Unit &amp; Fin Data-input'!$C$25*8760*'Unit &amp; Fin Data-input'!$C$26/1000*'Unit &amp; Fin Data-input'!$C$35/1000*'Emission costs-input'!E63/1000000)</f>
        <v>0</v>
      </c>
      <c r="R62" s="62">
        <f t="shared" si="7"/>
        <v>0</v>
      </c>
      <c r="S62" s="62">
        <f>IF($H62=0,0,' O&amp;M costs'!F60*'Levelized Cost'!$D$15)</f>
        <v>0</v>
      </c>
      <c r="T62" s="108">
        <f t="shared" si="11"/>
        <v>0</v>
      </c>
      <c r="V62" s="60"/>
      <c r="W62" s="33"/>
      <c r="X62" s="28"/>
      <c r="AE62" s="23"/>
      <c r="AF62" s="23"/>
      <c r="AG62" s="23"/>
      <c r="AH62" s="23"/>
      <c r="AI62" s="23"/>
    </row>
    <row r="63" spans="2:35" ht="12.75">
      <c r="B63" s="73"/>
      <c r="C63" s="73"/>
      <c r="D63" s="73"/>
      <c r="E63" s="40"/>
      <c r="F63" s="13">
        <f t="shared" si="12"/>
        <v>2060</v>
      </c>
      <c r="G63" s="13">
        <f t="shared" si="5"/>
        <v>47</v>
      </c>
      <c r="H63" s="100">
        <f t="shared" si="4"/>
        <v>0</v>
      </c>
      <c r="I63" s="100">
        <f>IF(H63&gt;0,COUNTIF(H$17:H63,1),0)</f>
        <v>0</v>
      </c>
      <c r="J63" s="101">
        <f>IF($H63=0,0,IF('Unit &amp; Fin Data-input'!$C$27="Y",'Capital costs-input'!D61*12*'Unit &amp; Fin Data-input'!$C$25,'Capital costs-input'!D61))</f>
        <v>0</v>
      </c>
      <c r="K63" s="101">
        <f>IF($H63=0,0,' O&amp;M costs'!D61*'Levelized Cost'!$D$15)</f>
        <v>0</v>
      </c>
      <c r="L63" s="101">
        <f>IF($H63=0,0,' O&amp;M costs'!E61*'Levelized Cost'!$D$15)</f>
        <v>0</v>
      </c>
      <c r="M63" s="101">
        <f t="shared" si="6"/>
        <v>0</v>
      </c>
      <c r="N63" s="64">
        <f>IF($H63=0,0,'Unit &amp; Fin Data-input'!$C$32*'Unit &amp; Fin Data-input'!$C$26*8760/2000*'Levelized Cost'!$D$15*'Emission costs-input'!B64/1000000)</f>
        <v>0</v>
      </c>
      <c r="O63" s="62">
        <f>IF($H63=0,0,'Unit &amp; Fin Data-input'!$C$33*'Unit &amp; Fin Data-input'!$C$26*8760/2000*'Levelized Cost'!$D$15*'Emission costs-input'!C64/1000000)</f>
        <v>0</v>
      </c>
      <c r="P63" s="62">
        <f>IF($H63=0,0,'Unit &amp; Fin Data-input'!$C$34*'Unit &amp; Fin Data-input'!$C$26*8760/2000*'Levelized Cost'!$D$15*'Emission costs-input'!D64/1000000)</f>
        <v>0</v>
      </c>
      <c r="Q63" s="62">
        <f>IF($H63=0,0,'Unit &amp; Fin Data-input'!$C$25*8760*'Unit &amp; Fin Data-input'!$C$26/1000*'Unit &amp; Fin Data-input'!$C$35/1000*'Emission costs-input'!E64/1000000)</f>
        <v>0</v>
      </c>
      <c r="R63" s="62">
        <f t="shared" si="7"/>
        <v>0</v>
      </c>
      <c r="S63" s="62">
        <f>IF($H63=0,0,' O&amp;M costs'!F61*'Levelized Cost'!$D$15)</f>
        <v>0</v>
      </c>
      <c r="T63" s="108">
        <f t="shared" si="11"/>
        <v>0</v>
      </c>
      <c r="V63" s="60"/>
      <c r="W63" s="33"/>
      <c r="X63" s="28"/>
      <c r="AE63" s="23"/>
      <c r="AF63" s="23"/>
      <c r="AG63" s="23"/>
      <c r="AH63" s="23"/>
      <c r="AI63" s="23"/>
    </row>
    <row r="64" spans="2:35" ht="12.75">
      <c r="B64" s="73"/>
      <c r="C64" s="73"/>
      <c r="D64" s="73"/>
      <c r="E64" s="40"/>
      <c r="F64" s="13">
        <f t="shared" si="12"/>
        <v>2061</v>
      </c>
      <c r="G64" s="13">
        <f t="shared" si="5"/>
        <v>48</v>
      </c>
      <c r="H64" s="100">
        <f t="shared" si="4"/>
        <v>0</v>
      </c>
      <c r="I64" s="100">
        <f>IF(H64&gt;0,COUNTIF(H$17:H64,1),0)</f>
        <v>0</v>
      </c>
      <c r="J64" s="101">
        <f>IF($H64=0,0,IF('Unit &amp; Fin Data-input'!$C$27="Y",'Capital costs-input'!D62*12*'Unit &amp; Fin Data-input'!$C$25,'Capital costs-input'!D62))</f>
        <v>0</v>
      </c>
      <c r="K64" s="101">
        <f>IF($H64=0,0,' O&amp;M costs'!D62*'Levelized Cost'!$D$15)</f>
        <v>0</v>
      </c>
      <c r="L64" s="101">
        <f>IF($H64=0,0,' O&amp;M costs'!E62*'Levelized Cost'!$D$15)</f>
        <v>0</v>
      </c>
      <c r="M64" s="101">
        <f t="shared" si="6"/>
        <v>0</v>
      </c>
      <c r="N64" s="64">
        <f>IF($H64=0,0,'Unit &amp; Fin Data-input'!$C$32*'Unit &amp; Fin Data-input'!$C$26*8760/2000*'Levelized Cost'!$D$15*'Emission costs-input'!B65/1000000)</f>
        <v>0</v>
      </c>
      <c r="O64" s="62">
        <f>IF($H64=0,0,'Unit &amp; Fin Data-input'!$C$33*'Unit &amp; Fin Data-input'!$C$26*8760/2000*'Levelized Cost'!$D$15*'Emission costs-input'!C65/1000000)</f>
        <v>0</v>
      </c>
      <c r="P64" s="62">
        <f>IF($H64=0,0,'Unit &amp; Fin Data-input'!$C$34*'Unit &amp; Fin Data-input'!$C$26*8760/2000*'Levelized Cost'!$D$15*'Emission costs-input'!D65/1000000)</f>
        <v>0</v>
      </c>
      <c r="Q64" s="62">
        <f>IF($H64=0,0,'Unit &amp; Fin Data-input'!$C$25*8760*'Unit &amp; Fin Data-input'!$C$26/1000*'Unit &amp; Fin Data-input'!$C$35/1000*'Emission costs-input'!E65/1000000)</f>
        <v>0</v>
      </c>
      <c r="R64" s="62">
        <f t="shared" si="7"/>
        <v>0</v>
      </c>
      <c r="S64" s="62">
        <f>IF($H64=0,0,' O&amp;M costs'!F62*'Levelized Cost'!$D$15)</f>
        <v>0</v>
      </c>
      <c r="T64" s="108">
        <f t="shared" si="11"/>
        <v>0</v>
      </c>
      <c r="V64" s="60"/>
      <c r="W64" s="33"/>
      <c r="X64" s="28"/>
      <c r="AE64" s="23"/>
      <c r="AF64" s="23"/>
      <c r="AG64" s="23"/>
      <c r="AH64" s="23"/>
      <c r="AI64" s="23"/>
    </row>
    <row r="65" spans="2:35" ht="12.75">
      <c r="B65" s="73"/>
      <c r="C65" s="73"/>
      <c r="D65" s="73"/>
      <c r="E65" s="40"/>
      <c r="F65" s="13">
        <f t="shared" si="12"/>
        <v>2062</v>
      </c>
      <c r="G65" s="13">
        <f t="shared" si="5"/>
        <v>49</v>
      </c>
      <c r="H65" s="100">
        <f t="shared" si="4"/>
        <v>0</v>
      </c>
      <c r="I65" s="100">
        <f>IF(H65&gt;0,COUNTIF(H$17:H65,1),0)</f>
        <v>0</v>
      </c>
      <c r="J65" s="101">
        <f>IF($H65=0,0,IF('Unit &amp; Fin Data-input'!$C$27="Y",'Capital costs-input'!D63*12*'Unit &amp; Fin Data-input'!$C$25,'Capital costs-input'!D63))</f>
        <v>0</v>
      </c>
      <c r="K65" s="101">
        <f>IF($H65=0,0,' O&amp;M costs'!D63*'Levelized Cost'!$D$15)</f>
        <v>0</v>
      </c>
      <c r="L65" s="101">
        <f>IF($H65=0,0,' O&amp;M costs'!E63*'Levelized Cost'!$D$15)</f>
        <v>0</v>
      </c>
      <c r="M65" s="101">
        <f t="shared" si="6"/>
        <v>0</v>
      </c>
      <c r="N65" s="64">
        <f>IF($H65=0,0,'Unit &amp; Fin Data-input'!$C$32*'Unit &amp; Fin Data-input'!$C$26*8760/2000*'Levelized Cost'!$D$15*'Emission costs-input'!B66/1000000)</f>
        <v>0</v>
      </c>
      <c r="O65" s="62">
        <f>IF($H65=0,0,'Unit &amp; Fin Data-input'!$C$33*'Unit &amp; Fin Data-input'!$C$26*8760/2000*'Levelized Cost'!$D$15*'Emission costs-input'!C66/1000000)</f>
        <v>0</v>
      </c>
      <c r="P65" s="62">
        <f>IF($H65=0,0,'Unit &amp; Fin Data-input'!$C$34*'Unit &amp; Fin Data-input'!$C$26*8760/2000*'Levelized Cost'!$D$15*'Emission costs-input'!D66/1000000)</f>
        <v>0</v>
      </c>
      <c r="Q65" s="62">
        <f>IF($H65=0,0,'Unit &amp; Fin Data-input'!$C$25*8760*'Unit &amp; Fin Data-input'!$C$26/1000*'Unit &amp; Fin Data-input'!$C$35/1000*'Emission costs-input'!E66/1000000)</f>
        <v>0</v>
      </c>
      <c r="R65" s="62">
        <f t="shared" si="7"/>
        <v>0</v>
      </c>
      <c r="S65" s="62">
        <f>IF($H65=0,0,' O&amp;M costs'!F63*'Levelized Cost'!$D$15)</f>
        <v>0</v>
      </c>
      <c r="T65" s="108">
        <f t="shared" si="11"/>
        <v>0</v>
      </c>
      <c r="V65" s="60"/>
      <c r="W65" s="33"/>
      <c r="X65" s="28"/>
      <c r="AE65" s="23"/>
      <c r="AF65" s="23"/>
      <c r="AG65" s="23"/>
      <c r="AH65" s="23"/>
      <c r="AI65" s="23"/>
    </row>
    <row r="66" spans="2:35" ht="12.75">
      <c r="B66" s="73"/>
      <c r="C66" s="73"/>
      <c r="D66" s="73"/>
      <c r="E66" s="40"/>
      <c r="F66" s="13">
        <f t="shared" si="12"/>
        <v>2063</v>
      </c>
      <c r="G66" s="13">
        <f t="shared" si="5"/>
        <v>50</v>
      </c>
      <c r="H66" s="100">
        <f t="shared" si="4"/>
        <v>0</v>
      </c>
      <c r="I66" s="112">
        <f>IF(H66&gt;0,COUNTIF(H$17:H66,1),0)</f>
        <v>0</v>
      </c>
      <c r="J66" s="113">
        <f>IF($H66=0,0,IF('Unit &amp; Fin Data-input'!$C$27="Y",'Capital costs-input'!D64*12*'Unit &amp; Fin Data-input'!$C$25,'Capital costs-input'!D64))</f>
        <v>0</v>
      </c>
      <c r="K66" s="113">
        <f>IF($H66=0,0,' O&amp;M costs'!D64*'Levelized Cost'!$D$15)</f>
        <v>0</v>
      </c>
      <c r="L66" s="113">
        <f>IF($H66=0,0,' O&amp;M costs'!E64*'Levelized Cost'!$D$15)</f>
        <v>0</v>
      </c>
      <c r="M66" s="113">
        <f t="shared" si="6"/>
        <v>0</v>
      </c>
      <c r="N66" s="65">
        <f>IF($H66=0,0,'Unit &amp; Fin Data-input'!$C$32*'Unit &amp; Fin Data-input'!$C$26*8760/2000*'Levelized Cost'!$D$15*'Emission costs-input'!B67/1000000)</f>
        <v>0</v>
      </c>
      <c r="O66" s="114">
        <f>IF($H66=0,0,'Unit &amp; Fin Data-input'!$C$33*'Unit &amp; Fin Data-input'!$C$26*8760/2000*'Levelized Cost'!$D$15*'Emission costs-input'!C67/1000000)</f>
        <v>0</v>
      </c>
      <c r="P66" s="114">
        <f>IF($H66=0,0,'Unit &amp; Fin Data-input'!$C$34*'Unit &amp; Fin Data-input'!$C$26*8760/2000*'Levelized Cost'!$D$15*'Emission costs-input'!D67/1000000)</f>
        <v>0</v>
      </c>
      <c r="Q66" s="114">
        <f>IF($H66=0,0,'Unit &amp; Fin Data-input'!$C$25*8760*'Unit &amp; Fin Data-input'!$C$26/1000*'Unit &amp; Fin Data-input'!$C$35/1000*'Emission costs-input'!E67/1000000)</f>
        <v>0</v>
      </c>
      <c r="R66" s="114">
        <f t="shared" si="7"/>
        <v>0</v>
      </c>
      <c r="S66" s="114">
        <f>IF($H66=0,0,' O&amp;M costs'!F64*'Levelized Cost'!$D$15)</f>
        <v>0</v>
      </c>
      <c r="T66" s="115">
        <f t="shared" si="11"/>
        <v>0</v>
      </c>
      <c r="V66" s="60"/>
      <c r="W66" s="33"/>
      <c r="X66" s="28"/>
      <c r="AE66" s="23"/>
      <c r="AF66" s="23"/>
      <c r="AG66" s="23"/>
      <c r="AH66" s="23"/>
      <c r="AI66" s="23"/>
    </row>
    <row r="67" spans="2:35" ht="12.75">
      <c r="B67" s="73"/>
      <c r="C67" s="73"/>
      <c r="D67" s="73"/>
      <c r="E67" s="73"/>
      <c r="F67" s="26"/>
      <c r="G67" s="26"/>
      <c r="H67" s="40"/>
      <c r="I67" s="40"/>
      <c r="J67" s="116"/>
      <c r="K67" s="116"/>
      <c r="L67" s="116"/>
      <c r="M67" s="116"/>
      <c r="N67" s="117"/>
      <c r="O67" s="117"/>
      <c r="P67" s="117"/>
      <c r="Q67" s="117"/>
      <c r="R67" s="117"/>
      <c r="S67" s="117"/>
      <c r="T67" s="117"/>
      <c r="U67" s="36"/>
      <c r="V67" s="41"/>
      <c r="W67" s="41"/>
      <c r="X67" s="42"/>
      <c r="Y67" s="43"/>
      <c r="AA67" s="34"/>
      <c r="AE67" s="23"/>
      <c r="AF67" s="23"/>
      <c r="AG67" s="23"/>
      <c r="AH67" s="23"/>
      <c r="AI67" s="23"/>
    </row>
    <row r="68" spans="2:24" ht="12.75">
      <c r="B68" s="73"/>
      <c r="C68" s="73"/>
      <c r="D68" s="73"/>
      <c r="E68" s="118"/>
      <c r="F68" s="78"/>
      <c r="G68" s="78"/>
      <c r="H68" s="78"/>
      <c r="I68" s="119" t="s">
        <v>113</v>
      </c>
      <c r="J68" s="316">
        <f>NPV('Unit &amp; Fin Data-input'!$C$38,'Levelized Cost'!J18:J66)+'Levelized Cost'!J17</f>
        <v>97.03810113247499</v>
      </c>
      <c r="K68" s="316">
        <f>NPV('Unit &amp; Fin Data-input'!$C$38,'Levelized Cost'!K18:K66)+'Levelized Cost'!K17</f>
        <v>0</v>
      </c>
      <c r="L68" s="316">
        <f>NPV('Unit &amp; Fin Data-input'!$C$38,'Levelized Cost'!L18:L66)+'Levelized Cost'!L17</f>
        <v>45.10790746512796</v>
      </c>
      <c r="M68" s="316">
        <f>NPV('Unit &amp; Fin Data-input'!$C$38,'Levelized Cost'!M18:M66)+'Levelized Cost'!M17</f>
        <v>0</v>
      </c>
      <c r="N68" s="316">
        <f>NPV('Unit &amp; Fin Data-input'!$C$38,'Levelized Cost'!N18:N66)+'Levelized Cost'!N17</f>
        <v>0</v>
      </c>
      <c r="O68" s="316">
        <f>NPV('Unit &amp; Fin Data-input'!$C$38,'Levelized Cost'!O18:O66)+'Levelized Cost'!O17</f>
        <v>0</v>
      </c>
      <c r="P68" s="316">
        <f>NPV('Unit &amp; Fin Data-input'!$C$38,'Levelized Cost'!P18:P66)+'Levelized Cost'!P17</f>
        <v>0</v>
      </c>
      <c r="Q68" s="316">
        <f>NPV('Unit &amp; Fin Data-input'!$C$38,'Levelized Cost'!Q18:Q66)+'Levelized Cost'!Q17</f>
        <v>0</v>
      </c>
      <c r="R68" s="316">
        <f>NPV('Unit &amp; Fin Data-input'!$C$38,'Levelized Cost'!R18:R66)+'Levelized Cost'!R17</f>
        <v>0</v>
      </c>
      <c r="S68" s="316">
        <f>NPV('Unit &amp; Fin Data-input'!$C$38,'Levelized Cost'!S18:S66)+'Levelized Cost'!S17</f>
        <v>0</v>
      </c>
      <c r="T68" s="316">
        <f>NPV('Unit &amp; Fin Data-input'!$C$38,'Levelized Cost'!T18:T66)+'Levelized Cost'!T17</f>
        <v>142.14600859760301</v>
      </c>
      <c r="U68" s="68"/>
      <c r="V68" s="41"/>
      <c r="W68" s="41"/>
      <c r="X68" s="44"/>
    </row>
    <row r="69" spans="2:24" ht="12.75">
      <c r="B69" s="73"/>
      <c r="C69" s="73"/>
      <c r="D69" s="73"/>
      <c r="E69" s="120"/>
      <c r="F69" s="78"/>
      <c r="G69" s="78"/>
      <c r="H69" s="78"/>
      <c r="I69" s="119" t="s">
        <v>71</v>
      </c>
      <c r="J69" s="314">
        <f>J68*(1+'Unit &amp; Fin Data-input'!$C$38)^('Levelized Cost'!$D21-2014)</f>
        <v>173.58114415480156</v>
      </c>
      <c r="K69" s="314">
        <f>K68*(1+'Unit &amp; Fin Data-input'!$C$38)^('Levelized Cost'!$D21-2014)</f>
        <v>0</v>
      </c>
      <c r="L69" s="314">
        <f>L68*(1+'Unit &amp; Fin Data-input'!$C$38)^('Levelized Cost'!$D21-2014)</f>
        <v>80.68874078169137</v>
      </c>
      <c r="M69" s="314">
        <f>M68*(1+'Unit &amp; Fin Data-input'!$C$38)^('Levelized Cost'!$D21-2014)</f>
        <v>0</v>
      </c>
      <c r="N69" s="314">
        <f>N68*(1+'Unit &amp; Fin Data-input'!$C$38)^('Levelized Cost'!$D21-2014)</f>
        <v>0</v>
      </c>
      <c r="O69" s="314">
        <f>O68*(1+'Unit &amp; Fin Data-input'!$C$38)^('Levelized Cost'!$D21-2014)</f>
        <v>0</v>
      </c>
      <c r="P69" s="314">
        <f>P68*(1+'Unit &amp; Fin Data-input'!$C$38)^('Levelized Cost'!$D21-2014)</f>
        <v>0</v>
      </c>
      <c r="Q69" s="314">
        <f>Q68*(1+'Unit &amp; Fin Data-input'!$C$38)^('Levelized Cost'!$D21-2014)</f>
        <v>0</v>
      </c>
      <c r="R69" s="314">
        <f>R68*(1+'Unit &amp; Fin Data-input'!$C$38)^('Levelized Cost'!$D21-2014)</f>
        <v>0</v>
      </c>
      <c r="S69" s="314">
        <f>S68*(1+'Unit &amp; Fin Data-input'!$C$38)^('Levelized Cost'!$D21-2014)</f>
        <v>0</v>
      </c>
      <c r="T69" s="314">
        <f>T68*(1+'Unit &amp; Fin Data-input'!$C$38)^('Levelized Cost'!$D21-2014)</f>
        <v>254.26988493649304</v>
      </c>
      <c r="U69" s="36"/>
      <c r="V69" s="41"/>
      <c r="W69" s="41"/>
      <c r="X69" s="44"/>
    </row>
    <row r="70" spans="2:24" ht="12.75">
      <c r="B70" s="73"/>
      <c r="C70" s="73" t="s">
        <v>83</v>
      </c>
      <c r="D70" s="73"/>
      <c r="E70" s="118"/>
      <c r="F70" s="78"/>
      <c r="G70" s="78"/>
      <c r="H70" s="78"/>
      <c r="I70" s="119" t="s">
        <v>82</v>
      </c>
      <c r="J70" s="315">
        <f>-PMT('Unit &amp; Fin Data-input'!$C$38,$D$22,J$69)/$D$15/(1+D14)</f>
        <v>507.4139746589251</v>
      </c>
      <c r="K70" s="315">
        <f>-PMT('Unit &amp; Fin Data-input'!$C$38,$D$22,K$69)/$D$15/(1+D14)</f>
        <v>0</v>
      </c>
      <c r="L70" s="315">
        <f>-PMT('Unit &amp; Fin Data-input'!$C$38,$D$22,L$69)/$D$15/(1+D14)</f>
        <v>235.870058753321</v>
      </c>
      <c r="M70" s="315">
        <f>-PMT('Unit &amp; Fin Data-input'!$C$38,$D$22,M$69)/$D$15/(1+D14)</f>
        <v>0</v>
      </c>
      <c r="N70" s="315">
        <f>-PMT('Unit &amp; Fin Data-input'!$C$38,$D$22,N$69)/$D$15/(1+D14)</f>
        <v>0</v>
      </c>
      <c r="O70" s="315">
        <f>-PMT('Unit &amp; Fin Data-input'!$C$38,$D$22,O$69)/$D$15/(1+D14)</f>
        <v>0</v>
      </c>
      <c r="P70" s="315">
        <f>-PMT('Unit &amp; Fin Data-input'!$C$38,$D$22,P$69)/$D$15/(1+D14)</f>
        <v>0</v>
      </c>
      <c r="Q70" s="315">
        <f>-PMT('Unit &amp; Fin Data-input'!$C$38,$D$22,Q$69)/$D$15/(1+D14)</f>
        <v>0</v>
      </c>
      <c r="R70" s="315">
        <f>-PMT('Unit &amp; Fin Data-input'!$C$38,$D$22,R$69)/$D$15/(1+D14)</f>
        <v>0</v>
      </c>
      <c r="S70" s="315">
        <f>-PMT('Unit &amp; Fin Data-input'!$C$38,$D$22,S$69)/$D$15/(1+D14)</f>
        <v>0</v>
      </c>
      <c r="T70" s="315">
        <f>-PMT('Unit &amp; Fin Data-input'!$C$38,$D$22,T$69)/$D$15/(1+D14)</f>
        <v>743.2840334122465</v>
      </c>
      <c r="U70" s="45"/>
      <c r="V70" s="61"/>
      <c r="W70" s="41"/>
      <c r="X70" s="44"/>
    </row>
    <row r="71" spans="2:24" ht="12.75">
      <c r="B71" s="73"/>
      <c r="C71" s="73"/>
      <c r="D71" s="73"/>
      <c r="E71" s="118"/>
      <c r="F71" s="118"/>
      <c r="G71" s="118"/>
      <c r="H71" s="118"/>
      <c r="I71" s="73"/>
      <c r="J71" s="116"/>
      <c r="K71" s="116"/>
      <c r="L71" s="116"/>
      <c r="M71" s="116"/>
      <c r="N71" s="117"/>
      <c r="O71" s="117"/>
      <c r="P71" s="117"/>
      <c r="Q71" s="117"/>
      <c r="R71" s="117"/>
      <c r="S71" s="117"/>
      <c r="T71" s="117"/>
      <c r="U71" s="36"/>
      <c r="V71" s="41"/>
      <c r="W71" s="41"/>
      <c r="X71" s="44"/>
    </row>
    <row r="72" spans="5:20" ht="12.75">
      <c r="E72" s="1"/>
      <c r="F72" s="327" t="s">
        <v>109</v>
      </c>
      <c r="G72" s="2"/>
      <c r="H72" s="2"/>
      <c r="I72" s="328" t="s">
        <v>105</v>
      </c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46"/>
    </row>
    <row r="73" spans="9:10" ht="12.75">
      <c r="I73" s="132" t="s">
        <v>106</v>
      </c>
      <c r="J73" s="47"/>
    </row>
    <row r="74" spans="9:27" s="1" customFormat="1" ht="12.75">
      <c r="I74" s="328" t="s">
        <v>108</v>
      </c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4"/>
      <c r="U74" s="7"/>
      <c r="V74" s="57"/>
      <c r="W74" s="57"/>
      <c r="X74" s="130"/>
      <c r="Y74" s="131"/>
      <c r="Z74" s="131"/>
      <c r="AA74" s="131"/>
    </row>
    <row r="75" spans="9:27" s="1" customFormat="1" ht="12.75">
      <c r="I75" s="132" t="s">
        <v>107</v>
      </c>
      <c r="J75" s="128"/>
      <c r="K75" s="128"/>
      <c r="L75" s="128"/>
      <c r="M75" s="128"/>
      <c r="N75" s="129"/>
      <c r="O75" s="129"/>
      <c r="P75" s="129"/>
      <c r="Q75" s="129"/>
      <c r="R75" s="129"/>
      <c r="S75" s="129"/>
      <c r="T75" s="129"/>
      <c r="U75" s="7"/>
      <c r="V75" s="57"/>
      <c r="W75" s="57"/>
      <c r="X75" s="130"/>
      <c r="Y75" s="131"/>
      <c r="Z75" s="131"/>
      <c r="AA75" s="131"/>
    </row>
    <row r="76" spans="10:27" s="1" customFormat="1" ht="12.75">
      <c r="J76" s="128"/>
      <c r="K76" s="128"/>
      <c r="L76" s="128"/>
      <c r="M76" s="128"/>
      <c r="N76" s="129"/>
      <c r="O76" s="129"/>
      <c r="P76" s="129"/>
      <c r="Q76" s="129"/>
      <c r="R76" s="129"/>
      <c r="S76" s="129"/>
      <c r="T76" s="129"/>
      <c r="U76" s="7"/>
      <c r="V76" s="57"/>
      <c r="W76" s="57"/>
      <c r="X76" s="130"/>
      <c r="Y76" s="131"/>
      <c r="Z76" s="131"/>
      <c r="AA76" s="131"/>
    </row>
  </sheetData>
  <sheetProtection/>
  <mergeCells count="8">
    <mergeCell ref="B24:D24"/>
    <mergeCell ref="N12:S12"/>
    <mergeCell ref="R8:T8"/>
    <mergeCell ref="V12:AA12"/>
    <mergeCell ref="I12:M12"/>
    <mergeCell ref="B12:D12"/>
    <mergeCell ref="I9:T9"/>
    <mergeCell ref="B11:D11"/>
  </mergeCells>
  <printOptions/>
  <pageMargins left="0" right="0" top="0" bottom="0" header="0" footer="0"/>
  <pageSetup fitToHeight="1" fitToWidth="1" horizontalDpi="600" verticalDpi="600" orientation="landscape" scale="66" r:id="rId1"/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9.140625" style="122" customWidth="1"/>
    <col min="2" max="3" width="11.421875" style="122" customWidth="1"/>
    <col min="4" max="4" width="0.85546875" style="122" customWidth="1"/>
    <col min="5" max="16384" width="9.140625" style="57" customWidth="1"/>
  </cols>
  <sheetData>
    <row r="1" s="135" customFormat="1" ht="15">
      <c r="A1" s="341" t="s">
        <v>114</v>
      </c>
    </row>
    <row r="2" s="135" customFormat="1" ht="15">
      <c r="A2" s="341" t="s">
        <v>115</v>
      </c>
    </row>
    <row r="3" s="135" customFormat="1" ht="15">
      <c r="A3" s="341" t="s">
        <v>116</v>
      </c>
    </row>
    <row r="4" s="135" customFormat="1" ht="15">
      <c r="A4" s="341" t="s">
        <v>117</v>
      </c>
    </row>
    <row r="5" s="135" customFormat="1" ht="15">
      <c r="A5" s="341" t="s">
        <v>118</v>
      </c>
    </row>
    <row r="6" s="135" customFormat="1" ht="15">
      <c r="A6" s="341" t="s">
        <v>126</v>
      </c>
    </row>
    <row r="7" s="135" customFormat="1" ht="12.75"/>
    <row r="8" spans="1:3" ht="15.75">
      <c r="A8" s="318" t="s">
        <v>110</v>
      </c>
      <c r="C8" s="318"/>
    </row>
    <row r="9" ht="18.75">
      <c r="B9" s="15"/>
    </row>
    <row r="10" spans="1:4" ht="14.25">
      <c r="A10" s="138" t="s">
        <v>112</v>
      </c>
      <c r="B10" s="138"/>
      <c r="C10" s="138"/>
      <c r="D10" s="138"/>
    </row>
    <row r="11" s="124" customFormat="1" ht="12.75"/>
    <row r="12" spans="1:4" ht="12.75">
      <c r="A12" s="125"/>
      <c r="B12" s="362" t="str">
        <f>'Unit &amp; Fin Data-input'!C13</f>
        <v>Roof Top Solar C/I</v>
      </c>
      <c r="C12" s="363"/>
      <c r="D12" s="135"/>
    </row>
    <row r="13" spans="1:3" ht="12.75">
      <c r="A13" s="8" t="str">
        <f>'Levelized Cost'!B25</f>
        <v>Capacity</v>
      </c>
      <c r="B13" s="12"/>
      <c r="C13" s="63"/>
    </row>
    <row r="14" spans="1:3" ht="12.75">
      <c r="A14" s="8" t="str">
        <f>'Levelized Cost'!B26</f>
        <v>Factor</v>
      </c>
      <c r="B14" s="12" t="str">
        <f>'Levelized Cost'!C26</f>
        <v>Levelized</v>
      </c>
      <c r="C14" s="63" t="str">
        <f>'Levelized Cost'!D26</f>
        <v>Levelized</v>
      </c>
    </row>
    <row r="15" spans="1:3" ht="12.75">
      <c r="A15" s="9" t="str">
        <f>'Levelized Cost'!B27</f>
        <v>(%)</v>
      </c>
      <c r="B15" s="66" t="s">
        <v>94</v>
      </c>
      <c r="C15" s="67" t="s">
        <v>96</v>
      </c>
    </row>
    <row r="16" spans="1:3" ht="12.75">
      <c r="A16" s="10">
        <f>'Levelized Cost'!B28</f>
        <v>0</v>
      </c>
      <c r="B16" s="64">
        <f>'Levelized Cost'!C28</f>
        <v>743.2840334122461</v>
      </c>
      <c r="C16" s="48">
        <f>'Levelized Cost'!D28</f>
        <v>0</v>
      </c>
    </row>
    <row r="17" spans="1:3" ht="12.75">
      <c r="A17" s="10">
        <f>'Levelized Cost'!B29</f>
        <v>5</v>
      </c>
      <c r="B17" s="64">
        <f>'Levelized Cost'!C29</f>
        <v>743.2840334122461</v>
      </c>
      <c r="C17" s="48">
        <f>'Levelized Cost'!D29</f>
        <v>1696.9955100736213</v>
      </c>
    </row>
    <row r="18" spans="1:3" ht="12.75">
      <c r="A18" s="10">
        <f>'Levelized Cost'!B30</f>
        <v>10</v>
      </c>
      <c r="B18" s="64">
        <f>'Levelized Cost'!C30</f>
        <v>743.2840334122461</v>
      </c>
      <c r="C18" s="48">
        <f>'Levelized Cost'!D30</f>
        <v>848.4977550368106</v>
      </c>
    </row>
    <row r="19" spans="1:3" ht="12.75">
      <c r="A19" s="10">
        <f>'Levelized Cost'!B31</f>
        <v>15</v>
      </c>
      <c r="B19" s="64">
        <f>'Levelized Cost'!C31</f>
        <v>743.2840334122461</v>
      </c>
      <c r="C19" s="48">
        <f>'Levelized Cost'!D31</f>
        <v>565.6651700245404</v>
      </c>
    </row>
    <row r="20" spans="1:3" ht="12.75">
      <c r="A20" s="10">
        <f>'Levelized Cost'!B32</f>
        <v>20</v>
      </c>
      <c r="B20" s="64">
        <f>'Levelized Cost'!C32</f>
        <v>743.2840334122461</v>
      </c>
      <c r="C20" s="48">
        <f>'Levelized Cost'!D32</f>
        <v>424.2488775184053</v>
      </c>
    </row>
    <row r="21" spans="1:3" ht="12.75">
      <c r="A21" s="10">
        <f>'Levelized Cost'!B33</f>
        <v>25</v>
      </c>
      <c r="B21" s="64">
        <f>'Levelized Cost'!C33</f>
        <v>743.2840334122461</v>
      </c>
      <c r="C21" s="48">
        <f>'Levelized Cost'!D33</f>
        <v>339.3991020147243</v>
      </c>
    </row>
    <row r="22" spans="1:3" ht="12.75">
      <c r="A22" s="10">
        <f>'Levelized Cost'!B34</f>
        <v>30</v>
      </c>
      <c r="B22" s="64"/>
      <c r="C22" s="48"/>
    </row>
    <row r="23" spans="1:3" ht="12.75">
      <c r="A23" s="10">
        <f>'Levelized Cost'!B35</f>
        <v>35</v>
      </c>
      <c r="B23" s="64"/>
      <c r="C23" s="48"/>
    </row>
    <row r="24" spans="1:3" ht="12.75">
      <c r="A24" s="10">
        <f>'Levelized Cost'!B36</f>
        <v>40</v>
      </c>
      <c r="B24" s="64"/>
      <c r="C24" s="48"/>
    </row>
    <row r="25" spans="1:3" ht="12.75">
      <c r="A25" s="10">
        <f>'Levelized Cost'!B37</f>
        <v>45</v>
      </c>
      <c r="B25" s="64"/>
      <c r="C25" s="48"/>
    </row>
    <row r="26" spans="1:3" ht="12.75">
      <c r="A26" s="10">
        <f>'Levelized Cost'!B38</f>
        <v>50</v>
      </c>
      <c r="B26" s="64"/>
      <c r="C26" s="48"/>
    </row>
    <row r="27" spans="1:3" ht="12.75">
      <c r="A27" s="10">
        <f>'Levelized Cost'!B39</f>
        <v>55</v>
      </c>
      <c r="B27" s="64"/>
      <c r="C27" s="48"/>
    </row>
    <row r="28" spans="1:3" ht="12.75">
      <c r="A28" s="10">
        <f>'Levelized Cost'!B40</f>
        <v>60</v>
      </c>
      <c r="B28" s="64"/>
      <c r="C28" s="48"/>
    </row>
    <row r="29" spans="1:3" ht="12.75">
      <c r="A29" s="10">
        <f>'Levelized Cost'!B41</f>
        <v>65</v>
      </c>
      <c r="B29" s="64"/>
      <c r="C29" s="48"/>
    </row>
    <row r="30" spans="1:3" ht="12.75">
      <c r="A30" s="10">
        <f>'Levelized Cost'!B42</f>
        <v>70</v>
      </c>
      <c r="B30" s="64"/>
      <c r="C30" s="48"/>
    </row>
    <row r="31" spans="1:3" ht="12.75">
      <c r="A31" s="10">
        <f>'Levelized Cost'!B43</f>
        <v>75</v>
      </c>
      <c r="B31" s="64"/>
      <c r="C31" s="48"/>
    </row>
    <row r="32" spans="1:3" ht="12.75">
      <c r="A32" s="10">
        <f>'Levelized Cost'!B44</f>
        <v>80</v>
      </c>
      <c r="B32" s="64"/>
      <c r="C32" s="48"/>
    </row>
    <row r="33" spans="1:3" ht="12.75">
      <c r="A33" s="10">
        <f>'Levelized Cost'!B45</f>
        <v>85</v>
      </c>
      <c r="B33" s="64"/>
      <c r="C33" s="48"/>
    </row>
    <row r="34" spans="1:3" ht="12.75">
      <c r="A34" s="10">
        <f>'Levelized Cost'!B46</f>
        <v>90</v>
      </c>
      <c r="B34" s="64"/>
      <c r="C34" s="48"/>
    </row>
    <row r="35" spans="1:3" ht="12.75">
      <c r="A35" s="10">
        <f>'Levelized Cost'!B47</f>
        <v>95</v>
      </c>
      <c r="B35" s="64"/>
      <c r="C35" s="48"/>
    </row>
    <row r="36" spans="1:3" ht="12.75">
      <c r="A36" s="11">
        <f>'Levelized Cost'!B48</f>
        <v>100</v>
      </c>
      <c r="B36" s="65"/>
      <c r="C36" s="49"/>
    </row>
    <row r="38" spans="1:4" ht="13.5">
      <c r="A38" s="126"/>
      <c r="B38" s="126"/>
      <c r="C38" s="127"/>
      <c r="D38" s="126"/>
    </row>
    <row r="39" spans="1:4" ht="13.5">
      <c r="A39" s="126"/>
      <c r="B39" s="126"/>
      <c r="C39" s="126"/>
      <c r="D39" s="126"/>
    </row>
    <row r="41" ht="11.25" customHeight="1"/>
  </sheetData>
  <sheetProtection/>
  <mergeCells count="1">
    <mergeCell ref="B12:C12"/>
  </mergeCells>
  <printOptions/>
  <pageMargins left="0" right="0" top="0" bottom="0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2014-06-09T20:40:29Z</dcterms:created>
  <dcterms:modified xsi:type="dcterms:W3CDTF">2014-06-09T20:40:29Z</dcterms:modified>
  <cp:category/>
  <cp:version/>
  <cp:contentType/>
  <cp:contentStatus/>
</cp:coreProperties>
</file>