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252" windowWidth="13296" windowHeight="9252" activeTab="0"/>
  </bookViews>
  <sheets>
    <sheet name="Comments for Future Updates" sheetId="1" r:id="rId1"/>
    <sheet name="Rates" sheetId="2" r:id="rId2"/>
    <sheet name="WCEC3" sheetId="3" r:id="rId3"/>
  </sheets>
  <externalReferences>
    <externalReference r:id="rId6"/>
    <externalReference r:id="rId7"/>
  </externalReferences>
  <definedNames>
    <definedName name="gsd1.present.cust.charge" localSheetId="1">'Rates'!$I$62</definedName>
    <definedName name="_xlnm.Print_Area" localSheetId="1">'Rates'!$A$4:$N$893</definedName>
    <definedName name="_xlnm.Print_Titles" localSheetId="1">'Rates'!$10:$15</definedName>
    <definedName name="rateaddition2">'[1]Allocations'!$A$8:$C$24</definedName>
  </definedNames>
  <calcPr fullCalcOnLoad="1"/>
</workbook>
</file>

<file path=xl/sharedStrings.xml><?xml version="1.0" encoding="utf-8"?>
<sst xmlns="http://schemas.openxmlformats.org/spreadsheetml/2006/main" count="907" uniqueCount="312">
  <si>
    <t>Demand</t>
  </si>
  <si>
    <t>Energy</t>
  </si>
  <si>
    <t>Redlined (1)/Clean (2)=&gt;</t>
  </si>
  <si>
    <t>When 1 is selected Values in column S appear blank</t>
  </si>
  <si>
    <t>When 2 is selected Values in columns Q&amp;R appear blank</t>
  </si>
  <si>
    <t>CURRENT</t>
  </si>
  <si>
    <t>LINE</t>
  </si>
  <si>
    <t>RATE</t>
  </si>
  <si>
    <t>TYPE OF</t>
  </si>
  <si>
    <t>NO.</t>
  </si>
  <si>
    <t>SCHEDULE</t>
  </si>
  <si>
    <t>CHARGE</t>
  </si>
  <si>
    <t>Initial Number</t>
  </si>
  <si>
    <t>New Number</t>
  </si>
  <si>
    <t>Clean</t>
  </si>
  <si>
    <t>RS-1</t>
  </si>
  <si>
    <t>Residential Service</t>
  </si>
  <si>
    <t>Customer Charge/Minimum</t>
  </si>
  <si>
    <t>Base Energy Charge (¢ per kWh)</t>
  </si>
  <si>
    <t xml:space="preserve">  First 1,000 kWh</t>
  </si>
  <si>
    <t xml:space="preserve">  All additional kWh</t>
  </si>
  <si>
    <t>RST-1</t>
  </si>
  <si>
    <t>Residential Service -Time of Use</t>
  </si>
  <si>
    <t xml:space="preserve">  On-Peak</t>
  </si>
  <si>
    <t xml:space="preserve">  Off-Peak</t>
  </si>
  <si>
    <t>GS-1</t>
  </si>
  <si>
    <t>General Service - Non Demand (0-20 kW)</t>
  </si>
  <si>
    <t xml:space="preserve">  Metered</t>
  </si>
  <si>
    <t xml:space="preserve">  Unmetered</t>
  </si>
  <si>
    <t>GST-1</t>
  </si>
  <si>
    <t>General Service - Non Demand - Time of Use (0-20 kW)</t>
  </si>
  <si>
    <t>SUPPORTING SCHEDULES:</t>
  </si>
  <si>
    <t>RECAP SCHEDULES:</t>
  </si>
  <si>
    <t xml:space="preserve">GSD-1 </t>
  </si>
  <si>
    <t>General Service Demand (21-499 kW)</t>
  </si>
  <si>
    <t>Customer Charge</t>
  </si>
  <si>
    <t>Demand Charge ($/kW)</t>
  </si>
  <si>
    <t xml:space="preserve">GSDT-1 </t>
  </si>
  <si>
    <t>General Service Demand - Time of Use (21-499 kW)</t>
  </si>
  <si>
    <t>Demand Charge - On-Peak ($/kW)</t>
  </si>
  <si>
    <t xml:space="preserve">GSLD-1 </t>
  </si>
  <si>
    <t>General Service Large Demand (500-1999 kW)</t>
  </si>
  <si>
    <t xml:space="preserve">GSLDT-1 </t>
  </si>
  <si>
    <t>General Service Large Demand - Time of Use (500-1999 kW)</t>
  </si>
  <si>
    <t xml:space="preserve">CS-1 </t>
  </si>
  <si>
    <t>Curtailable Service (500-1999 kW)</t>
  </si>
  <si>
    <t>Monthly Credit ($ per kW)</t>
  </si>
  <si>
    <t>Charges for  Non-Compliance of Curtailment Demand</t>
  </si>
  <si>
    <t xml:space="preserve">  Rebilling for last 12 months (per kW)</t>
  </si>
  <si>
    <t xml:space="preserve">  Penalty Charge-current month (per kW)</t>
  </si>
  <si>
    <t xml:space="preserve">  Early Termination Penalty charge (per kW)</t>
  </si>
  <si>
    <t xml:space="preserve">CST-1 </t>
  </si>
  <si>
    <t>Curtailable Service -Time of Use (500-1999 kW)</t>
  </si>
  <si>
    <t>Monthly Credit (per kW)</t>
  </si>
  <si>
    <t xml:space="preserve">GSLD-2 </t>
  </si>
  <si>
    <t>General Service Large Demand (2000 kW +)</t>
  </si>
  <si>
    <t xml:space="preserve">GSLDT-2 </t>
  </si>
  <si>
    <t>General Service Large Demand - Time of Use (2000 kW +)</t>
  </si>
  <si>
    <t xml:space="preserve">CS-2 </t>
  </si>
  <si>
    <t>Curtailable Service (2000 kW +)</t>
  </si>
  <si>
    <t xml:space="preserve">CST-2 </t>
  </si>
  <si>
    <t>Curtailable Service -Time of Use (2000 kW +)</t>
  </si>
  <si>
    <t xml:space="preserve">GSLD-3 </t>
  </si>
  <si>
    <t xml:space="preserve">GSLDT-3 </t>
  </si>
  <si>
    <t xml:space="preserve">CS-3 </t>
  </si>
  <si>
    <t xml:space="preserve">CST-3 </t>
  </si>
  <si>
    <t>OS-2</t>
  </si>
  <si>
    <t>Sports Field Service [Schedule closed to new customers]</t>
  </si>
  <si>
    <t xml:space="preserve">MET </t>
  </si>
  <si>
    <t>Metropolitan Transit Service</t>
  </si>
  <si>
    <t>Base Demand Charge ($/kW)</t>
  </si>
  <si>
    <t xml:space="preserve">CILC-1 </t>
  </si>
  <si>
    <t>Commercial/Industrial Load Control Program  [Schedule closed to new customers]</t>
  </si>
  <si>
    <t xml:space="preserve">  (G) 200-499kW</t>
  </si>
  <si>
    <t xml:space="preserve">  (D) above 500kW</t>
  </si>
  <si>
    <t xml:space="preserve">  (T) transmission</t>
  </si>
  <si>
    <t xml:space="preserve">  per kW of Max Demand  All kW:</t>
  </si>
  <si>
    <t>None</t>
  </si>
  <si>
    <t>N/A</t>
  </si>
  <si>
    <t xml:space="preserve">  per kW of Load Control On-Peak:</t>
  </si>
  <si>
    <t xml:space="preserve">  Per kW of Firm On-Peak Demand</t>
  </si>
  <si>
    <t>Excess "Firm Demand"</t>
  </si>
  <si>
    <t>¤ Up to prior 60 months of service</t>
  </si>
  <si>
    <t>Difference between Firm and</t>
  </si>
  <si>
    <t>Load-Control On-Peak Demand Charge</t>
  </si>
  <si>
    <t xml:space="preserve">¤ Penalty Charge per kW for </t>
  </si>
  <si>
    <t>each month of rebilling</t>
  </si>
  <si>
    <t>CDR</t>
  </si>
  <si>
    <t>Commercial/Industrial Demand Reduction Rider</t>
  </si>
  <si>
    <t>Monthly Rate</t>
  </si>
  <si>
    <t>Otherwise Applicable Rate</t>
  </si>
  <si>
    <t>Demand Charge</t>
  </si>
  <si>
    <t>Energy Charge</t>
  </si>
  <si>
    <t>Monthly Administrative Adder</t>
  </si>
  <si>
    <t>GSD-1</t>
  </si>
  <si>
    <t>GSLD-3, GSLDT-3</t>
  </si>
  <si>
    <t>HLFT</t>
  </si>
  <si>
    <t>SDTR</t>
  </si>
  <si>
    <t>Utility Controlled Demand Credit $/kW</t>
  </si>
  <si>
    <t>SL-1</t>
  </si>
  <si>
    <t>Street Lighting</t>
  </si>
  <si>
    <t>Charges for FPL-Owned Units</t>
  </si>
  <si>
    <t>Fixture</t>
  </si>
  <si>
    <t xml:space="preserve">  Sodium Vapor 9,500 lu 100 watts</t>
  </si>
  <si>
    <t xml:space="preserve">  Sodium Vapor 16,000 lu 150 watts</t>
  </si>
  <si>
    <t xml:space="preserve">  Sodium Vapor 22,000 lu 200 watts</t>
  </si>
  <si>
    <t xml:space="preserve">  Sodium Vapor 50,000 lu 400 watts</t>
  </si>
  <si>
    <t>*</t>
  </si>
  <si>
    <t xml:space="preserve">  Sodium Vapor 12,800 lu 150 watts</t>
  </si>
  <si>
    <t xml:space="preserve">  Sodium Vapor 27,500 lu 250 watts</t>
  </si>
  <si>
    <t xml:space="preserve">  Sodium Vapor 140,000 lu 1,000 watts</t>
  </si>
  <si>
    <t xml:space="preserve">  Mercury Vapor 6,000 lu 140 watts</t>
  </si>
  <si>
    <t xml:space="preserve">  Mercury Vapor 8,600 lu 175 watts</t>
  </si>
  <si>
    <t xml:space="preserve">  Mercury Vapor 11,500 lu 250 watts</t>
  </si>
  <si>
    <t xml:space="preserve">  Mercury Vapor 21,500 lu 400 watts</t>
  </si>
  <si>
    <t xml:space="preserve">  Mercury Vapor 39,500 lu 700 watts</t>
  </si>
  <si>
    <t xml:space="preserve">  Mercury Vapor 60,000 lu 1,000 watts</t>
  </si>
  <si>
    <t>Street Lighting  (continued))</t>
  </si>
  <si>
    <t>Maintenance</t>
  </si>
  <si>
    <t>Energy Non-Fuel</t>
  </si>
  <si>
    <t>Total of FPL Owned</t>
  </si>
  <si>
    <t>Total Charge-Fixtures, Maintenance &amp; Energy</t>
  </si>
  <si>
    <t xml:space="preserve">  Incandescent 1,000 lu 103 watts</t>
  </si>
  <si>
    <t xml:space="preserve">  Incandescent 2,500 lu 202 watts</t>
  </si>
  <si>
    <t xml:space="preserve">  Incandescent 4,000 lu 327 watts</t>
  </si>
  <si>
    <t>Charge for Customer-Owned Units</t>
  </si>
  <si>
    <t>Relamping and Energy</t>
  </si>
  <si>
    <t xml:space="preserve">  Fluorescent 19,800 lu 300 watts</t>
  </si>
  <si>
    <t>Energy Only</t>
  </si>
  <si>
    <t>Non-Fuel Energy (¢ per kWh)</t>
  </si>
  <si>
    <t>Other Charges</t>
  </si>
  <si>
    <t xml:space="preserve">  Wood Pole</t>
  </si>
  <si>
    <t xml:space="preserve">  Concrete Pole</t>
  </si>
  <si>
    <t xml:space="preserve">  Fiberglass Pole</t>
  </si>
  <si>
    <t xml:space="preserve">  Underground conductors not under   paving (¢ per foot)</t>
  </si>
  <si>
    <t xml:space="preserve">  Underground conductors under paving   (¢ per foot)</t>
  </si>
  <si>
    <t>Willful Damage</t>
  </si>
  <si>
    <t xml:space="preserve">  Cost for Shield upon second occurrence</t>
  </si>
  <si>
    <t>PL-1</t>
  </si>
  <si>
    <t>Premium Lighting</t>
  </si>
  <si>
    <t>Present Value Revenue Requirement</t>
  </si>
  <si>
    <t>Multiplier</t>
  </si>
  <si>
    <t>Facilities ( Percentage of total work order cost)</t>
  </si>
  <si>
    <t xml:space="preserve">  10 Year Payment Option</t>
  </si>
  <si>
    <t xml:space="preserve">  20 Year Payment Option</t>
  </si>
  <si>
    <t xml:space="preserve">FPL's estimated cost of </t>
  </si>
  <si>
    <t>maintaining facilities</t>
  </si>
  <si>
    <t>Termination Factors</t>
  </si>
  <si>
    <t>Premium Lighting (continued)</t>
  </si>
  <si>
    <t>&gt;10</t>
  </si>
  <si>
    <t>&gt;20</t>
  </si>
  <si>
    <t>All occurrences after initial repair</t>
  </si>
  <si>
    <t>Cost for repair or replacement</t>
  </si>
  <si>
    <t xml:space="preserve">* 10 and 20 year payment options closed to new facilities </t>
  </si>
  <si>
    <t>RL-1</t>
  </si>
  <si>
    <t>Recreational Lighting  [Schedule closed to new customers]</t>
  </si>
  <si>
    <t>Otherwise applicable General</t>
  </si>
  <si>
    <t>Service Rate</t>
  </si>
  <si>
    <t>OL-1</t>
  </si>
  <si>
    <t>Outdoor Lighting</t>
  </si>
  <si>
    <t xml:space="preserve">  Sodium Vapor 12,000 lu 150 watts</t>
  </si>
  <si>
    <t>Total FPL Owned Charges</t>
  </si>
  <si>
    <t>Outdoor Lighting (continued)</t>
  </si>
  <si>
    <t>Charges for Customer Owned Units</t>
  </si>
  <si>
    <t>Total Charge-Relamping &amp; Energy</t>
  </si>
  <si>
    <t xml:space="preserve">  Underground conductors excluding</t>
  </si>
  <si>
    <t xml:space="preserve">  Trenching per foot</t>
  </si>
  <si>
    <t xml:space="preserve">  Down-guy, Anchor and Protector</t>
  </si>
  <si>
    <t>SL-2</t>
  </si>
  <si>
    <t>Traffic Signal Service</t>
  </si>
  <si>
    <t>Minimum Charge at each point</t>
  </si>
  <si>
    <t>SST-1</t>
  </si>
  <si>
    <t>Standby and Supplemental Service</t>
  </si>
  <si>
    <t xml:space="preserve">  SST-1(D1)</t>
  </si>
  <si>
    <t xml:space="preserve">  SST-1(D2)</t>
  </si>
  <si>
    <t xml:space="preserve">  SST-1(D3)</t>
  </si>
  <si>
    <t xml:space="preserve">  SST-1(T)</t>
  </si>
  <si>
    <t>Distribution Demand $/kW Contract Standby Demand</t>
  </si>
  <si>
    <t>Reservation Demand $/kW</t>
  </si>
  <si>
    <t>Daily Demand (On-Peak) $/kW</t>
  </si>
  <si>
    <t>Supplemental Service</t>
  </si>
  <si>
    <t>Non-Fuel Energy - On-Peak (¢ per kWh)</t>
  </si>
  <si>
    <t>Non-Fuel Energy - Off-Peak (¢ per kWh)</t>
  </si>
  <si>
    <t>ISST-1</t>
  </si>
  <si>
    <t>Interruptible Standby and Supplemental Service</t>
  </si>
  <si>
    <t>Distribution</t>
  </si>
  <si>
    <t>Transmission</t>
  </si>
  <si>
    <t>Distribution Demand</t>
  </si>
  <si>
    <t>Reservation Demand-Interruptible</t>
  </si>
  <si>
    <t>Reservation Demand-Firm</t>
  </si>
  <si>
    <t>Daily Demand (On-Peak) Firm Standby</t>
  </si>
  <si>
    <t>Daily Demand (On-Peak) Interruptible Standby</t>
  </si>
  <si>
    <t>Excess "Firm Standby Demand"</t>
  </si>
  <si>
    <t>Difference between reservation charge for</t>
  </si>
  <si>
    <t>firm and interruptible standby demand</t>
  </si>
  <si>
    <t>times excess demand</t>
  </si>
  <si>
    <t>¤ Penalty Charge per kW for each month of rebilling</t>
  </si>
  <si>
    <t>WIES-1</t>
  </si>
  <si>
    <t>Minimum ten internet device delivery points with monthly energy usage not less than 20kWh or more than 50kWh per device.</t>
  </si>
  <si>
    <t>TR</t>
  </si>
  <si>
    <t>Transformation Rider</t>
  </si>
  <si>
    <t>Transformer Credit</t>
  </si>
  <si>
    <t xml:space="preserve">  (per kW of Billing Demand)</t>
  </si>
  <si>
    <t>GSCU-1</t>
  </si>
  <si>
    <t>General Service constant Usage</t>
  </si>
  <si>
    <t>Customer Charge:</t>
  </si>
  <si>
    <t>Non-Fuel Energy Charges:</t>
  </si>
  <si>
    <t>Base Energy Charge*</t>
  </si>
  <si>
    <t>* The fuel and non-fuel energy charges will be assessed on the Constant Usage kWh</t>
  </si>
  <si>
    <t>High Load Factor - Time of Use</t>
  </si>
  <si>
    <t>21 - 499 kW:</t>
  </si>
  <si>
    <t>500 - 1,999 kW</t>
  </si>
  <si>
    <t>2,000 kW or greater</t>
  </si>
  <si>
    <t>Demand Charges:</t>
  </si>
  <si>
    <t>On-peak Demand Charge:</t>
  </si>
  <si>
    <t>Maximum Demand Charge:</t>
  </si>
  <si>
    <t>Non-Fuel Energy Charges: (¢ per kWh)</t>
  </si>
  <si>
    <t>On-Peak Period</t>
  </si>
  <si>
    <t>Off-Peak Period</t>
  </si>
  <si>
    <t>Seasonal Demand – Time of Use Rider</t>
  </si>
  <si>
    <t>Option A</t>
  </si>
  <si>
    <t>Seasonal On-peak Demand:</t>
  </si>
  <si>
    <t>Non-seasonal Demand Max Demand:</t>
  </si>
  <si>
    <t>Energy Charges (¢ per kWh):</t>
  </si>
  <si>
    <t>Seasonal On-peak Energy:</t>
  </si>
  <si>
    <t>Seasonal Off-peak Energy:</t>
  </si>
  <si>
    <t>Non-seasonal Energy</t>
  </si>
  <si>
    <t>Seasonal Demand – Time of Use Rider  (continued)</t>
  </si>
  <si>
    <t>Option B</t>
  </si>
  <si>
    <t>Non-seasonal On-peak Demand:</t>
  </si>
  <si>
    <t>Non-seasonal On-peak Energy:</t>
  </si>
  <si>
    <t>Non-seasonal Off-peak Energy:</t>
  </si>
  <si>
    <t>FLORIDA POWER &amp; LIGHT COMPANY</t>
  </si>
  <si>
    <t>effective with Proposed Rate Effective Date</t>
  </si>
  <si>
    <t xml:space="preserve"> made prior to Proposed Rate Effective Date</t>
  </si>
  <si>
    <t>(Note:  Also includes Recreational Lighting RL-1)</t>
  </si>
  <si>
    <t>IN RATE</t>
  </si>
  <si>
    <t>*   These units are closed to new FPL owned installations.</t>
  </si>
  <si>
    <t>Date</t>
  </si>
  <si>
    <t>Comment</t>
  </si>
  <si>
    <t>All kWh Energy</t>
  </si>
  <si>
    <t>code</t>
  </si>
  <si>
    <t>component</t>
  </si>
  <si>
    <t>kWh</t>
  </si>
  <si>
    <t>Code</t>
  </si>
  <si>
    <t>Rate</t>
  </si>
  <si>
    <t>Adder</t>
  </si>
  <si>
    <t xml:space="preserve"> </t>
  </si>
  <si>
    <t>RDPR-1</t>
  </si>
  <si>
    <t>Line</t>
  </si>
  <si>
    <t>Rate Class</t>
  </si>
  <si>
    <t>CILC-1D</t>
  </si>
  <si>
    <t>CILC-1G</t>
  </si>
  <si>
    <t>CILC-1T</t>
  </si>
  <si>
    <t>GS(T)-1</t>
  </si>
  <si>
    <t>GSD(T)-1</t>
  </si>
  <si>
    <t>GSLD(T)-1</t>
  </si>
  <si>
    <t>GSLD(T)-2</t>
  </si>
  <si>
    <t>GSLD(T)-3</t>
  </si>
  <si>
    <t>MET</t>
  </si>
  <si>
    <t>RS(T)-1</t>
  </si>
  <si>
    <t>SST-DST</t>
  </si>
  <si>
    <t>SST-TST</t>
  </si>
  <si>
    <t>Total Retail</t>
  </si>
  <si>
    <t>total</t>
  </si>
  <si>
    <t>RTR-1</t>
  </si>
  <si>
    <t>Residential Time of Use Rider</t>
  </si>
  <si>
    <t>Energy Charges/Credits (¢ per kWh)</t>
  </si>
  <si>
    <t xml:space="preserve">  Sodium Vapor 6,300 lu 70 watts</t>
  </si>
  <si>
    <t>increase</t>
  </si>
  <si>
    <t>EPU Energy calc</t>
  </si>
  <si>
    <t>TOTAL CHANGE</t>
  </si>
  <si>
    <t>TOTAL Energy calc</t>
  </si>
  <si>
    <t>Rounding adj</t>
  </si>
  <si>
    <t xml:space="preserve">  Rebilling for last 36 months (per kW)</t>
  </si>
  <si>
    <t>GSDT-1, HLFT-1</t>
  </si>
  <si>
    <t>GSLD-1, GSLDT-1, HLFT2</t>
  </si>
  <si>
    <t>GSLD-2, GSLDT-2, HLFT3</t>
  </si>
  <si>
    <t xml:space="preserve"> charge</t>
  </si>
  <si>
    <t>Charge</t>
  </si>
  <si>
    <t>Relamp increase</t>
  </si>
  <si>
    <t>Note:  The monthly Relamp and Energy charge is calculated by addindg the relamp increase to the Energy-only increaes shown below.  This avoids rounding issues caused by seperating the increases into the various components</t>
  </si>
  <si>
    <t xml:space="preserve"> Relamp increase</t>
  </si>
  <si>
    <t xml:space="preserve">  Incandescent 6,000 lu 448 watts</t>
  </si>
  <si>
    <t xml:space="preserve">  Incandescent 10,000 lu 690 watts</t>
  </si>
  <si>
    <t xml:space="preserve">  Fluorescent 39,600 lu 700 watts</t>
  </si>
  <si>
    <t>NA</t>
  </si>
  <si>
    <t>TOTAL</t>
  </si>
  <si>
    <t>CHANGE %</t>
  </si>
  <si>
    <r>
      <rPr>
        <sz val="8"/>
        <rFont val="Arial"/>
        <family val="2"/>
      </rPr>
      <t>RDC ($/KW)</t>
    </r>
    <r>
      <rPr>
        <vertAlign val="superscript"/>
        <sz val="8"/>
        <rFont val="Arial"/>
        <family val="2"/>
      </rPr>
      <t xml:space="preserve"> (g)</t>
    </r>
  </si>
  <si>
    <r>
      <rPr>
        <sz val="8"/>
        <rFont val="Arial"/>
        <family val="2"/>
      </rPr>
      <t>SDD ($/KW)</t>
    </r>
    <r>
      <rPr>
        <vertAlign val="superscript"/>
        <sz val="8"/>
        <rFont val="Arial"/>
        <family val="2"/>
      </rPr>
      <t xml:space="preserve"> (h)</t>
    </r>
  </si>
  <si>
    <t>Note:  The monthly Relamp and Energy charge is calculated by adding the relamp increase to the Energy-only increase shown below.  This avoids rounding issues caused by seperating the increases into the various components</t>
  </si>
  <si>
    <t>each month of rebilling**</t>
  </si>
  <si>
    <t xml:space="preserve">**The CDR penalty has been revised to equal the CILC penalty that was not updated in the Canaveral GBRA filing. </t>
  </si>
  <si>
    <t>SUMMARY OF TARIFF REVISIONS</t>
  </si>
  <si>
    <t>Closed Rate Schedule - Replaced with RTR-1 at bottom of file</t>
  </si>
  <si>
    <t xml:space="preserve"> with $431.06 Lump-sum metering payment</t>
  </si>
  <si>
    <t>WCEC3</t>
  </si>
  <si>
    <t>WCEC3 Energy calc</t>
  </si>
  <si>
    <t>RTR On-Peak and Off-Peak energy are not increased as the increase is part of the RS-1 Energy Charges</t>
  </si>
  <si>
    <t>WCEC3 ADDED TO BASE 2017</t>
  </si>
  <si>
    <t>ADDITION</t>
  </si>
  <si>
    <t xml:space="preserve"> WCEC3factor 
$ / kWh</t>
  </si>
  <si>
    <t xml:space="preserve"> WCEC3 factor 
¢ / kWh</t>
  </si>
  <si>
    <t>WCEC3 factor 
$ / KW</t>
  </si>
  <si>
    <t>Summary of  WCEC3 Factor Tariff Impacts 2017</t>
  </si>
  <si>
    <t>Wireless Internet Electric Service -Closed Rate Schedule</t>
  </si>
  <si>
    <t>Residential Service - closed Rate Schedule</t>
  </si>
  <si>
    <t>OPC 015369</t>
  </si>
  <si>
    <t>FPL RC-16</t>
  </si>
  <si>
    <t>OPC 015370</t>
  </si>
  <si>
    <t>OPC 015371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</si>
</sst>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%"/>
    <numFmt numFmtId="166" formatCode="0.00000000_)"/>
    <numFmt numFmtId="167" formatCode="0.00000%"/>
    <numFmt numFmtId="168" formatCode="&quot;$&quot;#,##0.00"/>
    <numFmt numFmtId="169" formatCode="00000;\(* &quot;-&quot;??_)"/>
    <numFmt numFmtId="170" formatCode="0.00000%;_(* \(#,##0.00\);_(* &quot;-&quot;??_);_(@_)"/>
    <numFmt numFmtId="171" formatCode="0.00000%;_(* \(#,##0.00\);_(* &quot;-&quot;??_);"/>
    <numFmt numFmtId="172" formatCode="0.00000%;_(* &quot;-&quot;??_);_(@_)"/>
    <numFmt numFmtId="173" formatCode="0.00000%;_(\(#,##0.00\);_(* &quot;-&quot;??_);"/>
    <numFmt numFmtId="174" formatCode="0.00000%;_(\(#,##0.00\);_(&quot;-&quot;??_);"/>
    <numFmt numFmtId="175" formatCode="#,##0;_(\(#,##0.00\);_(&quot;-&quot;??_);"/>
    <numFmt numFmtId="176" formatCode="&quot;$&quot;#,##0.00000_);[Red]\(&quot;$&quot;#,##0.00000\)"/>
    <numFmt numFmtId="177" formatCode="0_);\(0\)"/>
    <numFmt numFmtId="178" formatCode="_(* #,##0.000_);_(* \(#,##0.000\);_(* &quot;-&quot;?????_);_(@_)"/>
    <numFmt numFmtId="179" formatCode="_(* #,##0.000_);_(* \(#,##0.000\);_(* &quot;-&quot;??_);_(@_)"/>
    <numFmt numFmtId="180" formatCode="_(* #,##0.00000_);_(* \(#,##0.00000\);_(* &quot;-&quot;?????_);_(@_)"/>
    <numFmt numFmtId="181" formatCode="0.000"/>
    <numFmt numFmtId="182" formatCode="0.0000"/>
    <numFmt numFmtId="183" formatCode="&quot;$&quot;#,##0.000_);\(&quot;$&quot;#,##0.000\)"/>
    <numFmt numFmtId="184" formatCode="#,##0.000_);[Red]\(#,##0.000\)"/>
    <numFmt numFmtId="185" formatCode="#,##0.0000_);[Red]\(#,##0.0000\)"/>
    <numFmt numFmtId="186" formatCode="_(* #,##0.000_);_(* \(#,##0.000\);_(* &quot;-&quot;???_);_(@_)"/>
    <numFmt numFmtId="187" formatCode="_(* #,##0.0000_);_(* \(#,##0.0000\);_(* &quot;-&quot;??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_);[Red]\(#,##0.00000\)"/>
    <numFmt numFmtId="193" formatCode="0.00000_)"/>
    <numFmt numFmtId="194" formatCode="0.00_)"/>
    <numFmt numFmtId="195" formatCode="0.0%"/>
    <numFmt numFmtId="196" formatCode="0.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&quot;$&quot;#,##0.000"/>
    <numFmt numFmtId="203" formatCode="&quot;$&quot;#,##0.0000"/>
    <numFmt numFmtId="204" formatCode="&quot;$&quot;#,##0.00000"/>
    <numFmt numFmtId="205" formatCode="&quot;$&quot;#,##0.000000"/>
    <numFmt numFmtId="206" formatCode="&quot;$&quot;#,##0.0000000"/>
    <numFmt numFmtId="207" formatCode="&quot;$&quot;#,##0.00000000"/>
    <numFmt numFmtId="208" formatCode="&quot;$&quot;#,##0.000000000"/>
    <numFmt numFmtId="209" formatCode="&quot;$&quot;#,##0.0000000000"/>
    <numFmt numFmtId="210" formatCode="_(* #,##0.00000_);_(* \(#,##0.00000\);_(* &quot;-&quot;??_);_(@_)"/>
    <numFmt numFmtId="211" formatCode="_(* #,##0_);_(* \(#,##0\);_(* &quot;-&quot;??_);_(@_)"/>
    <numFmt numFmtId="212" formatCode="_(&quot;$&quot;* #,##0_);_(&quot;$&quot;* \(#,##0\);_(&quot;$&quot;* &quot;-&quot;??_);_(@_)"/>
    <numFmt numFmtId="213" formatCode="&quot;$&quot;#,##0.0000_);\(&quot;$&quot;#,##0.0000\)"/>
    <numFmt numFmtId="214" formatCode="0.0000%"/>
    <numFmt numFmtId="215" formatCode="[$-409]dddd\,\ mmmm\ dd\,\ yyyy"/>
    <numFmt numFmtId="216" formatCode="[$-409]h:mm:ss\ AM/PM"/>
    <numFmt numFmtId="217" formatCode="#,##0.000_);\(#,##0.000\)"/>
    <numFmt numFmtId="218" formatCode="_(* #,##0.0000_);_(* \(#,##0.0000\);_(* &quot;-&quot;??_);_(@_)"/>
    <numFmt numFmtId="219" formatCode="_(* #,##0.0_);_(* \(#,##0.0\);_(* &quot;-&quot;??_);_(@_)"/>
    <numFmt numFmtId="220" formatCode="&quot;$&quot;#,##0.0"/>
    <numFmt numFmtId="221" formatCode="_(* #,##0.000000_);_(* \(#,##0.000000\);_(* &quot;-&quot;??_);_(@_)"/>
    <numFmt numFmtId="222" formatCode="_(* #,##0.0000000_);_(* \(#,##0.0000000\);_(* &quot;-&quot;??_);_(@_)"/>
  </numFmts>
  <fonts count="6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sz val="9"/>
      <name val="Times New Roman"/>
      <family val="1"/>
    </font>
    <font>
      <sz val="12"/>
      <color indexed="9"/>
      <name val="Arial"/>
      <family val="2"/>
    </font>
    <font>
      <u val="single"/>
      <sz val="9"/>
      <name val="Times New Roman"/>
      <family val="1"/>
    </font>
    <font>
      <strike/>
      <sz val="9"/>
      <name val="Times New Roman"/>
      <family val="1"/>
    </font>
    <font>
      <i/>
      <sz val="12"/>
      <name val="Arial"/>
      <family val="2"/>
    </font>
    <font>
      <u val="single"/>
      <sz val="12"/>
      <color indexed="8"/>
      <name val="Arial"/>
      <family val="2"/>
    </font>
    <font>
      <i/>
      <u val="single"/>
      <sz val="12"/>
      <color indexed="8"/>
      <name val="Arial"/>
      <family val="2"/>
    </font>
    <font>
      <i/>
      <sz val="12"/>
      <color indexed="8"/>
      <name val="Arial"/>
      <family val="2"/>
    </font>
    <font>
      <i/>
      <u val="single"/>
      <sz val="12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vertAlign val="superscript"/>
      <sz val="12"/>
      <color indexed="8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9" fontId="2" fillId="33" borderId="0" xfId="60" applyFont="1" applyFill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9" fontId="2" fillId="33" borderId="0" xfId="60" applyFont="1" applyFill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177" fontId="2" fillId="0" borderId="1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6" fillId="33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9" fontId="2" fillId="33" borderId="0" xfId="60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9" fontId="2" fillId="33" borderId="11" xfId="60" applyFont="1" applyFill="1" applyBorder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/>
      <protection/>
    </xf>
    <xf numFmtId="9" fontId="2" fillId="33" borderId="12" xfId="60" applyFont="1" applyFill="1" applyBorder="1" applyAlignment="1" applyProtection="1">
      <alignment/>
      <protection/>
    </xf>
    <xf numFmtId="168" fontId="3" fillId="0" borderId="0" xfId="0" applyNumberFormat="1" applyFont="1" applyAlignment="1" applyProtection="1">
      <alignment/>
      <protection/>
    </xf>
    <xf numFmtId="9" fontId="3" fillId="33" borderId="0" xfId="60" applyFont="1" applyFill="1" applyAlignment="1" applyProtection="1">
      <alignment/>
      <protection/>
    </xf>
    <xf numFmtId="168" fontId="8" fillId="33" borderId="0" xfId="0" applyNumberFormat="1" applyFont="1" applyFill="1" applyBorder="1" applyAlignment="1" applyProtection="1">
      <alignment/>
      <protection/>
    </xf>
    <xf numFmtId="168" fontId="7" fillId="33" borderId="0" xfId="0" applyNumberFormat="1" applyFont="1" applyFill="1" applyBorder="1" applyAlignment="1" applyProtection="1">
      <alignment/>
      <protection/>
    </xf>
    <xf numFmtId="168" fontId="5" fillId="33" borderId="0" xfId="0" applyNumberFormat="1" applyFont="1" applyFill="1" applyAlignment="1" applyProtection="1">
      <alignment/>
      <protection/>
    </xf>
    <xf numFmtId="178" fontId="3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right"/>
      <protection/>
    </xf>
    <xf numFmtId="0" fontId="10" fillId="0" borderId="0" xfId="0" applyNumberFormat="1" applyFont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9" fontId="12" fillId="33" borderId="0" xfId="60" applyFont="1" applyFill="1" applyAlignment="1" applyProtection="1">
      <alignment/>
      <protection/>
    </xf>
    <xf numFmtId="179" fontId="3" fillId="33" borderId="0" xfId="42" applyNumberFormat="1" applyFont="1" applyFill="1" applyAlignment="1" applyProtection="1">
      <alignment/>
      <protection/>
    </xf>
    <xf numFmtId="7" fontId="3" fillId="0" borderId="0" xfId="0" applyNumberFormat="1" applyFont="1" applyAlignment="1" applyProtection="1">
      <alignment/>
      <protection/>
    </xf>
    <xf numFmtId="180" fontId="3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 quotePrefix="1">
      <alignment horizontal="left"/>
      <protection/>
    </xf>
    <xf numFmtId="9" fontId="2" fillId="33" borderId="0" xfId="6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9" fontId="2" fillId="33" borderId="10" xfId="60" applyFont="1" applyFill="1" applyBorder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181" fontId="3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Alignment="1" applyProtection="1">
      <alignment horizontal="left"/>
      <protection/>
    </xf>
    <xf numFmtId="168" fontId="12" fillId="0" borderId="0" xfId="0" applyNumberFormat="1" applyFont="1" applyAlignment="1" applyProtection="1">
      <alignment/>
      <protection/>
    </xf>
    <xf numFmtId="168" fontId="12" fillId="0" borderId="0" xfId="0" applyNumberFormat="1" applyFont="1" applyAlignment="1" applyProtection="1">
      <alignment horizontal="right"/>
      <protection/>
    </xf>
    <xf numFmtId="168" fontId="3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/>
      <protection/>
    </xf>
    <xf numFmtId="43" fontId="3" fillId="33" borderId="0" xfId="42" applyFont="1" applyFill="1" applyAlignment="1" applyProtection="1">
      <alignment/>
      <protection/>
    </xf>
    <xf numFmtId="0" fontId="3" fillId="0" borderId="0" xfId="0" applyNumberFormat="1" applyFont="1" applyAlignment="1" applyProtection="1">
      <alignment horizontal="right"/>
      <protection/>
    </xf>
    <xf numFmtId="165" fontId="3" fillId="33" borderId="0" xfId="60" applyNumberFormat="1" applyFont="1" applyFill="1" applyAlignment="1" applyProtection="1">
      <alignment horizontal="center"/>
      <protection/>
    </xf>
    <xf numFmtId="182" fontId="3" fillId="0" borderId="0" xfId="0" applyNumberFormat="1" applyFont="1" applyAlignment="1" applyProtection="1">
      <alignment horizontal="center"/>
      <protection/>
    </xf>
    <xf numFmtId="179" fontId="2" fillId="33" borderId="0" xfId="42" applyNumberFormat="1" applyFont="1" applyFill="1" applyAlignment="1" applyProtection="1">
      <alignment/>
      <protection/>
    </xf>
    <xf numFmtId="7" fontId="3" fillId="0" borderId="0" xfId="0" applyNumberFormat="1" applyFont="1" applyAlignment="1" applyProtection="1">
      <alignment horizontal="left"/>
      <protection/>
    </xf>
    <xf numFmtId="0" fontId="3" fillId="0" borderId="12" xfId="0" applyNumberFormat="1" applyFont="1" applyBorder="1" applyAlignment="1" applyProtection="1">
      <alignment/>
      <protection/>
    </xf>
    <xf numFmtId="0" fontId="14" fillId="0" borderId="0" xfId="0" applyNumberFormat="1" applyFont="1" applyAlignment="1" applyProtection="1">
      <alignment/>
      <protection/>
    </xf>
    <xf numFmtId="0" fontId="15" fillId="0" borderId="0" xfId="0" applyNumberFormat="1" applyFont="1" applyAlignment="1" applyProtection="1">
      <alignment/>
      <protection/>
    </xf>
    <xf numFmtId="0" fontId="15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Alignment="1" applyProtection="1">
      <alignment/>
      <protection/>
    </xf>
    <xf numFmtId="183" fontId="2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 horizontal="right"/>
      <protection/>
    </xf>
    <xf numFmtId="0" fontId="3" fillId="0" borderId="12" xfId="0" applyNumberFormat="1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2" xfId="0" applyNumberFormat="1" applyFont="1" applyBorder="1" applyAlignment="1" applyProtection="1">
      <alignment horizontal="right"/>
      <protection/>
    </xf>
    <xf numFmtId="179" fontId="3" fillId="33" borderId="0" xfId="42" applyNumberFormat="1" applyFont="1" applyFill="1" applyAlignment="1" applyProtection="1">
      <alignment horizontal="right"/>
      <protection/>
    </xf>
    <xf numFmtId="179" fontId="3" fillId="33" borderId="0" xfId="42" applyNumberFormat="1" applyFont="1" applyFill="1" applyAlignment="1" applyProtection="1">
      <alignment horizontal="center"/>
      <protection/>
    </xf>
    <xf numFmtId="7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7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43" fontId="2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/>
    </xf>
    <xf numFmtId="195" fontId="3" fillId="33" borderId="0" xfId="60" applyNumberFormat="1" applyFont="1" applyFill="1" applyAlignment="1" applyProtection="1">
      <alignment/>
      <protection/>
    </xf>
    <xf numFmtId="195" fontId="2" fillId="33" borderId="12" xfId="60" applyNumberFormat="1" applyFont="1" applyFill="1" applyBorder="1" applyAlignment="1" applyProtection="1">
      <alignment/>
      <protection/>
    </xf>
    <xf numFmtId="195" fontId="2" fillId="33" borderId="0" xfId="60" applyNumberFormat="1" applyFont="1" applyFill="1" applyAlignment="1" applyProtection="1">
      <alignment/>
      <protection/>
    </xf>
    <xf numFmtId="195" fontId="2" fillId="33" borderId="0" xfId="60" applyNumberFormat="1" applyFont="1" applyFill="1" applyBorder="1" applyAlignment="1" applyProtection="1">
      <alignment/>
      <protection/>
    </xf>
    <xf numFmtId="195" fontId="2" fillId="33" borderId="10" xfId="60" applyNumberFormat="1" applyFont="1" applyFill="1" applyBorder="1" applyAlignment="1" applyProtection="1">
      <alignment/>
      <protection/>
    </xf>
    <xf numFmtId="195" fontId="9" fillId="33" borderId="0" xfId="60" applyNumberFormat="1" applyFont="1" applyFill="1" applyAlignment="1" applyProtection="1">
      <alignment/>
      <protection/>
    </xf>
    <xf numFmtId="195" fontId="9" fillId="33" borderId="0" xfId="60" applyNumberFormat="1" applyFont="1" applyFill="1" applyAlignment="1" applyProtection="1">
      <alignment horizontal="right"/>
      <protection/>
    </xf>
    <xf numFmtId="195" fontId="2" fillId="0" borderId="0" xfId="0" applyNumberFormat="1" applyFont="1" applyAlignment="1" applyProtection="1">
      <alignment/>
      <protection/>
    </xf>
    <xf numFmtId="195" fontId="2" fillId="0" borderId="0" xfId="0" applyNumberFormat="1" applyFont="1" applyBorder="1" applyAlignment="1" applyProtection="1">
      <alignment/>
      <protection/>
    </xf>
    <xf numFmtId="195" fontId="12" fillId="33" borderId="0" xfId="60" applyNumberFormat="1" applyFont="1" applyFill="1" applyAlignment="1" applyProtection="1">
      <alignment/>
      <protection/>
    </xf>
    <xf numFmtId="195" fontId="3" fillId="33" borderId="0" xfId="60" applyNumberFormat="1" applyFont="1" applyFill="1" applyAlignment="1" applyProtection="1">
      <alignment horizontal="right"/>
      <protection/>
    </xf>
    <xf numFmtId="195" fontId="12" fillId="33" borderId="0" xfId="60" applyNumberFormat="1" applyFont="1" applyFill="1" applyAlignment="1" applyProtection="1">
      <alignment horizontal="right"/>
      <protection/>
    </xf>
    <xf numFmtId="195" fontId="3" fillId="0" borderId="0" xfId="0" applyNumberFormat="1" applyFont="1" applyAlignment="1" applyProtection="1">
      <alignment/>
      <protection/>
    </xf>
    <xf numFmtId="195" fontId="2" fillId="0" borderId="12" xfId="0" applyNumberFormat="1" applyFont="1" applyBorder="1" applyAlignment="1" applyProtection="1">
      <alignment/>
      <protection/>
    </xf>
    <xf numFmtId="195" fontId="3" fillId="33" borderId="12" xfId="60" applyNumberFormat="1" applyFont="1" applyFill="1" applyBorder="1" applyAlignment="1" applyProtection="1">
      <alignment/>
      <protection/>
    </xf>
    <xf numFmtId="195" fontId="3" fillId="0" borderId="12" xfId="0" applyNumberFormat="1" applyFont="1" applyBorder="1" applyAlignment="1" applyProtection="1">
      <alignment horizontal="center"/>
      <protection/>
    </xf>
    <xf numFmtId="195" fontId="2" fillId="33" borderId="12" xfId="6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182" fontId="3" fillId="0" borderId="0" xfId="0" applyNumberFormat="1" applyFont="1" applyAlignment="1" applyProtection="1">
      <alignment/>
      <protection/>
    </xf>
    <xf numFmtId="0" fontId="20" fillId="0" borderId="0" xfId="0" applyNumberFormat="1" applyFont="1" applyAlignment="1" applyProtection="1" quotePrefix="1">
      <alignment/>
      <protection/>
    </xf>
    <xf numFmtId="0" fontId="3" fillId="0" borderId="0" xfId="0" applyNumberFormat="1" applyFont="1" applyAlignment="1" applyProtection="1" quotePrefix="1">
      <alignment/>
      <protection/>
    </xf>
    <xf numFmtId="0" fontId="2" fillId="0" borderId="0" xfId="0" applyNumberFormat="1" applyFont="1" applyAlignment="1" applyProtection="1">
      <alignment/>
      <protection/>
    </xf>
    <xf numFmtId="177" fontId="2" fillId="0" borderId="10" xfId="0" applyNumberFormat="1" applyFont="1" applyBorder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centerContinuous"/>
      <protection/>
    </xf>
    <xf numFmtId="0" fontId="3" fillId="0" borderId="13" xfId="0" applyNumberFormat="1" applyFont="1" applyBorder="1" applyAlignment="1" applyProtection="1">
      <alignment horizontal="centerContinuous"/>
      <protection/>
    </xf>
    <xf numFmtId="14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0" fontId="2" fillId="0" borderId="0" xfId="0" applyFont="1" applyAlignment="1" applyProtection="1">
      <alignment/>
      <protection/>
    </xf>
    <xf numFmtId="185" fontId="2" fillId="0" borderId="0" xfId="0" applyNumberFormat="1" applyFont="1" applyAlignment="1">
      <alignment horizontal="center"/>
    </xf>
    <xf numFmtId="7" fontId="3" fillId="33" borderId="0" xfId="60" applyNumberFormat="1" applyFont="1" applyFill="1" applyAlignment="1" applyProtection="1">
      <alignment/>
      <protection/>
    </xf>
    <xf numFmtId="7" fontId="2" fillId="0" borderId="0" xfId="0" applyNumberFormat="1" applyFont="1" applyBorder="1" applyAlignment="1" applyProtection="1">
      <alignment/>
      <protection/>
    </xf>
    <xf numFmtId="7" fontId="2" fillId="33" borderId="0" xfId="60" applyNumberFormat="1" applyFont="1" applyFill="1" applyBorder="1" applyAlignment="1" applyProtection="1">
      <alignment/>
      <protection/>
    </xf>
    <xf numFmtId="7" fontId="2" fillId="0" borderId="10" xfId="0" applyNumberFormat="1" applyFont="1" applyBorder="1" applyAlignment="1" applyProtection="1">
      <alignment/>
      <protection/>
    </xf>
    <xf numFmtId="7" fontId="2" fillId="33" borderId="10" xfId="60" applyNumberFormat="1" applyFont="1" applyFill="1" applyBorder="1" applyAlignment="1" applyProtection="1">
      <alignment/>
      <protection/>
    </xf>
    <xf numFmtId="7" fontId="2" fillId="0" borderId="12" xfId="0" applyNumberFormat="1" applyFont="1" applyBorder="1" applyAlignment="1" applyProtection="1">
      <alignment/>
      <protection/>
    </xf>
    <xf numFmtId="7" fontId="2" fillId="33" borderId="12" xfId="60" applyNumberFormat="1" applyFont="1" applyFill="1" applyBorder="1" applyAlignment="1" applyProtection="1">
      <alignment/>
      <protection/>
    </xf>
    <xf numFmtId="183" fontId="3" fillId="0" borderId="0" xfId="0" applyNumberFormat="1" applyFont="1" applyAlignment="1" applyProtection="1">
      <alignment/>
      <protection/>
    </xf>
    <xf numFmtId="183" fontId="3" fillId="33" borderId="0" xfId="60" applyNumberFormat="1" applyFont="1" applyFill="1" applyAlignment="1" applyProtection="1">
      <alignment/>
      <protection/>
    </xf>
    <xf numFmtId="183" fontId="3" fillId="0" borderId="0" xfId="0" applyNumberFormat="1" applyFont="1" applyFill="1" applyAlignment="1" applyProtection="1">
      <alignment/>
      <protection/>
    </xf>
    <xf numFmtId="183" fontId="2" fillId="0" borderId="0" xfId="0" applyNumberFormat="1" applyFont="1" applyBorder="1" applyAlignment="1" applyProtection="1">
      <alignment/>
      <protection/>
    </xf>
    <xf numFmtId="183" fontId="2" fillId="0" borderId="0" xfId="0" applyNumberFormat="1" applyFont="1" applyFill="1" applyBorder="1" applyAlignment="1" applyProtection="1">
      <alignment/>
      <protection/>
    </xf>
    <xf numFmtId="183" fontId="2" fillId="33" borderId="0" xfId="60" applyNumberFormat="1" applyFont="1" applyFill="1" applyBorder="1" applyAlignment="1" applyProtection="1">
      <alignment/>
      <protection/>
    </xf>
    <xf numFmtId="183" fontId="2" fillId="0" borderId="10" xfId="0" applyNumberFormat="1" applyFont="1" applyBorder="1" applyAlignment="1" applyProtection="1">
      <alignment/>
      <protection/>
    </xf>
    <xf numFmtId="183" fontId="2" fillId="0" borderId="10" xfId="0" applyNumberFormat="1" applyFont="1" applyFill="1" applyBorder="1" applyAlignment="1" applyProtection="1">
      <alignment/>
      <protection/>
    </xf>
    <xf numFmtId="183" fontId="2" fillId="33" borderId="10" xfId="60" applyNumberFormat="1" applyFont="1" applyFill="1" applyBorder="1" applyAlignment="1" applyProtection="1">
      <alignment/>
      <protection/>
    </xf>
    <xf numFmtId="183" fontId="2" fillId="0" borderId="12" xfId="0" applyNumberFormat="1" applyFont="1" applyBorder="1" applyAlignment="1" applyProtection="1">
      <alignment/>
      <protection/>
    </xf>
    <xf numFmtId="183" fontId="2" fillId="0" borderId="12" xfId="0" applyNumberFormat="1" applyFont="1" applyFill="1" applyBorder="1" applyAlignment="1" applyProtection="1">
      <alignment/>
      <protection/>
    </xf>
    <xf numFmtId="183" fontId="2" fillId="33" borderId="12" xfId="60" applyNumberFormat="1" applyFont="1" applyFill="1" applyBorder="1" applyAlignment="1" applyProtection="1">
      <alignment/>
      <protection/>
    </xf>
    <xf numFmtId="7" fontId="2" fillId="0" borderId="0" xfId="0" applyNumberFormat="1" applyFont="1" applyFill="1" applyBorder="1" applyAlignment="1" applyProtection="1">
      <alignment/>
      <protection/>
    </xf>
    <xf numFmtId="7" fontId="2" fillId="0" borderId="10" xfId="0" applyNumberFormat="1" applyFont="1" applyFill="1" applyBorder="1" applyAlignment="1" applyProtection="1">
      <alignment/>
      <protection/>
    </xf>
    <xf numFmtId="7" fontId="2" fillId="0" borderId="12" xfId="0" applyNumberFormat="1" applyFont="1" applyFill="1" applyBorder="1" applyAlignment="1" applyProtection="1">
      <alignment/>
      <protection/>
    </xf>
    <xf numFmtId="179" fontId="3" fillId="0" borderId="0" xfId="0" applyNumberFormat="1" applyFont="1" applyAlignment="1" applyProtection="1">
      <alignment/>
      <protection/>
    </xf>
    <xf numFmtId="181" fontId="3" fillId="33" borderId="0" xfId="42" applyNumberFormat="1" applyFont="1" applyFill="1" applyAlignment="1" applyProtection="1">
      <alignment/>
      <protection/>
    </xf>
    <xf numFmtId="210" fontId="0" fillId="0" borderId="0" xfId="0" applyNumberFormat="1" applyAlignment="1">
      <alignment/>
    </xf>
    <xf numFmtId="37" fontId="0" fillId="0" borderId="0" xfId="0" applyNumberFormat="1" applyAlignment="1">
      <alignment/>
    </xf>
    <xf numFmtId="211" fontId="0" fillId="0" borderId="0" xfId="0" applyNumberFormat="1" applyAlignment="1">
      <alignment/>
    </xf>
    <xf numFmtId="212" fontId="0" fillId="0" borderId="0" xfId="0" applyNumberFormat="1" applyAlignment="1">
      <alignment/>
    </xf>
    <xf numFmtId="10" fontId="0" fillId="0" borderId="0" xfId="0" applyNumberFormat="1" applyAlignment="1">
      <alignment/>
    </xf>
    <xf numFmtId="168" fontId="3" fillId="0" borderId="0" xfId="0" applyNumberFormat="1" applyFont="1" applyFill="1" applyAlignment="1" applyProtection="1">
      <alignment/>
      <protection/>
    </xf>
    <xf numFmtId="179" fontId="3" fillId="0" borderId="0" xfId="42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185" fontId="3" fillId="0" borderId="0" xfId="0" applyNumberFormat="1" applyFont="1" applyAlignment="1" applyProtection="1">
      <alignment/>
      <protection/>
    </xf>
    <xf numFmtId="213" fontId="3" fillId="33" borderId="0" xfId="42" applyNumberFormat="1" applyFont="1" applyFill="1" applyAlignment="1" applyProtection="1">
      <alignment/>
      <protection/>
    </xf>
    <xf numFmtId="0" fontId="2" fillId="0" borderId="13" xfId="0" applyNumberFormat="1" applyFont="1" applyBorder="1" applyAlignment="1" applyProtection="1">
      <alignment horizontal="centerContinuous"/>
      <protection/>
    </xf>
    <xf numFmtId="165" fontId="3" fillId="33" borderId="0" xfId="60" applyNumberFormat="1" applyFont="1" applyFill="1" applyAlignment="1" applyProtection="1">
      <alignment/>
      <protection/>
    </xf>
    <xf numFmtId="181" fontId="2" fillId="33" borderId="0" xfId="42" applyNumberFormat="1" applyFont="1" applyFill="1" applyAlignment="1" applyProtection="1">
      <alignment horizontal="center"/>
      <protection/>
    </xf>
    <xf numFmtId="181" fontId="3" fillId="0" borderId="0" xfId="0" applyNumberFormat="1" applyFont="1" applyAlignment="1" applyProtection="1">
      <alignment horizontal="center"/>
      <protection/>
    </xf>
    <xf numFmtId="217" fontId="3" fillId="0" borderId="0" xfId="0" applyNumberFormat="1" applyFont="1" applyAlignment="1" applyProtection="1">
      <alignment/>
      <protection/>
    </xf>
    <xf numFmtId="43" fontId="14" fillId="0" borderId="0" xfId="0" applyNumberFormat="1" applyFont="1" applyAlignment="1" applyProtection="1">
      <alignment/>
      <protection/>
    </xf>
    <xf numFmtId="218" fontId="3" fillId="33" borderId="0" xfId="42" applyNumberFormat="1" applyFont="1" applyFill="1" applyAlignment="1" applyProtection="1">
      <alignment/>
      <protection/>
    </xf>
    <xf numFmtId="179" fontId="14" fillId="0" borderId="0" xfId="42" applyNumberFormat="1" applyFont="1" applyAlignment="1" applyProtection="1">
      <alignment/>
      <protection/>
    </xf>
    <xf numFmtId="179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3" fontId="3" fillId="0" borderId="0" xfId="42" applyNumberFormat="1" applyFont="1" applyFill="1" applyAlignment="1" applyProtection="1">
      <alignment/>
      <protection/>
    </xf>
    <xf numFmtId="43" fontId="3" fillId="0" borderId="0" xfId="42" applyNumberFormat="1" applyFont="1" applyAlignment="1" applyProtection="1">
      <alignment/>
      <protection/>
    </xf>
    <xf numFmtId="43" fontId="3" fillId="0" borderId="0" xfId="42" applyNumberFormat="1" applyFont="1" applyFill="1" applyAlignment="1" applyProtection="1">
      <alignment horizontal="center"/>
      <protection/>
    </xf>
    <xf numFmtId="0" fontId="5" fillId="0" borderId="0" xfId="0" applyFont="1" applyAlignment="1">
      <alignment/>
    </xf>
    <xf numFmtId="168" fontId="0" fillId="0" borderId="0" xfId="0" applyNumberFormat="1" applyAlignment="1">
      <alignment/>
    </xf>
    <xf numFmtId="0" fontId="21" fillId="0" borderId="0" xfId="0" applyFont="1" applyAlignment="1">
      <alignment horizontal="centerContinuous"/>
    </xf>
    <xf numFmtId="17" fontId="2" fillId="0" borderId="0" xfId="0" applyNumberFormat="1" applyFont="1" applyAlignment="1" applyProtection="1">
      <alignment horizontal="center"/>
      <protection/>
    </xf>
    <xf numFmtId="195" fontId="3" fillId="0" borderId="0" xfId="60" applyNumberFormat="1" applyFont="1" applyAlignment="1" applyProtection="1">
      <alignment/>
      <protection/>
    </xf>
    <xf numFmtId="9" fontId="0" fillId="0" borderId="0" xfId="60" applyFont="1" applyAlignment="1">
      <alignment/>
    </xf>
    <xf numFmtId="0" fontId="0" fillId="0" borderId="0" xfId="0" applyAlignment="1">
      <alignment horizontal="center" wrapText="1"/>
    </xf>
    <xf numFmtId="210" fontId="0" fillId="0" borderId="0" xfId="0" applyNumberFormat="1" applyAlignment="1">
      <alignment horizontal="center" wrapText="1"/>
    </xf>
    <xf numFmtId="210" fontId="0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168" fontId="3" fillId="0" borderId="0" xfId="0" applyNumberFormat="1" applyFont="1" applyFill="1" applyAlignment="1" applyProtection="1">
      <alignment horizontal="right"/>
      <protection/>
    </xf>
    <xf numFmtId="0" fontId="60" fillId="0" borderId="0" xfId="57" applyFont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9" fontId="3" fillId="34" borderId="0" xfId="42" applyNumberFormat="1" applyFont="1" applyFill="1" applyAlignment="1" applyProtection="1">
      <alignment/>
      <protection/>
    </xf>
    <xf numFmtId="221" fontId="0" fillId="0" borderId="0" xfId="0" applyNumberFormat="1" applyAlignment="1">
      <alignment/>
    </xf>
    <xf numFmtId="7" fontId="3" fillId="0" borderId="0" xfId="0" applyNumberFormat="1" applyFont="1" applyAlignment="1" applyProtection="1">
      <alignment horizontal="center" vertical="center" wrapText="1"/>
      <protection/>
    </xf>
    <xf numFmtId="0" fontId="4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xsf27\reg$\RT\RATE_DEV\Dockets\NUCLEAR_UPRATE\Docket%20110270%20-%20Fall%202011\EPU%20Base%20Rate%20Adjustment%20Template_Revised_1019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 Allocation"/>
      <sheetName val="Rates"/>
      <sheetName val="Allocations"/>
      <sheetName val="Capacity Clause Filing"/>
    </sheetNames>
    <sheetDataSet>
      <sheetData sheetId="2">
        <row r="8">
          <cell r="A8">
            <v>1</v>
          </cell>
          <cell r="B8" t="str">
            <v>RS1/RST1/RS-DPR</v>
          </cell>
          <cell r="C8">
            <v>0.023</v>
          </cell>
        </row>
        <row r="9">
          <cell r="A9">
            <v>2</v>
          </cell>
          <cell r="B9" t="str">
            <v>GS1/GST1</v>
          </cell>
          <cell r="C9">
            <v>0.018000000000000002</v>
          </cell>
        </row>
        <row r="10">
          <cell r="A10">
            <v>3</v>
          </cell>
          <cell r="B10" t="str">
            <v>GSD1/GSDT1/HLFT1 (21-499 kW)</v>
          </cell>
          <cell r="C10">
            <v>0.017</v>
          </cell>
        </row>
        <row r="11">
          <cell r="A11">
            <v>4</v>
          </cell>
          <cell r="B11" t="str">
            <v>OS2</v>
          </cell>
          <cell r="C11">
            <v>0.009000000000000001</v>
          </cell>
        </row>
        <row r="12">
          <cell r="A12">
            <v>5</v>
          </cell>
          <cell r="B12" t="str">
            <v>GSLD1/GSLDT1/CS1/CST1/HLFT2 (500-1,999 kW)</v>
          </cell>
          <cell r="C12">
            <v>0.017</v>
          </cell>
        </row>
        <row r="13">
          <cell r="A13">
            <v>6</v>
          </cell>
          <cell r="B13" t="str">
            <v>GSLD2/GSLDT2/CS2/CST2/HLFT3(2,000+ kW)</v>
          </cell>
          <cell r="C13">
            <v>0.013999999999999999</v>
          </cell>
        </row>
        <row r="14">
          <cell r="A14">
            <v>7</v>
          </cell>
          <cell r="B14" t="str">
            <v>GSLD3/GSLDT3/CS3/CST3</v>
          </cell>
          <cell r="C14">
            <v>0.013999999999999999</v>
          </cell>
        </row>
        <row r="15">
          <cell r="A15">
            <v>8</v>
          </cell>
          <cell r="B15" t="str">
            <v>ISST1D</v>
          </cell>
          <cell r="C15">
            <v>0.01</v>
          </cell>
        </row>
        <row r="16">
          <cell r="A16">
            <v>9</v>
          </cell>
          <cell r="B16" t="str">
            <v>ISST1T</v>
          </cell>
          <cell r="C16">
            <v>0.02</v>
          </cell>
        </row>
        <row r="17">
          <cell r="A17">
            <v>10</v>
          </cell>
          <cell r="B17" t="str">
            <v>SST1T</v>
          </cell>
          <cell r="C17">
            <v>0.02</v>
          </cell>
        </row>
        <row r="18">
          <cell r="A18">
            <v>11</v>
          </cell>
          <cell r="B18" t="str">
            <v>SST1D1/SST1D2/SST1D3</v>
          </cell>
          <cell r="C18">
            <v>0.01</v>
          </cell>
        </row>
        <row r="19">
          <cell r="A19">
            <v>12</v>
          </cell>
          <cell r="B19" t="str">
            <v>CILC D/CILC G</v>
          </cell>
          <cell r="C19">
            <v>0.013</v>
          </cell>
        </row>
        <row r="20">
          <cell r="A20">
            <v>13</v>
          </cell>
          <cell r="B20" t="str">
            <v>CILC T</v>
          </cell>
          <cell r="C20">
            <v>0.012</v>
          </cell>
        </row>
        <row r="21">
          <cell r="A21">
            <v>14</v>
          </cell>
          <cell r="B21" t="str">
            <v>MET</v>
          </cell>
          <cell r="C21">
            <v>0.018000000000000002</v>
          </cell>
        </row>
        <row r="22">
          <cell r="A22">
            <v>15</v>
          </cell>
          <cell r="B22" t="str">
            <v>OL1/SL1/PL1</v>
          </cell>
          <cell r="C22">
            <v>0.002</v>
          </cell>
        </row>
        <row r="23">
          <cell r="A23">
            <v>16</v>
          </cell>
          <cell r="B23" t="str">
            <v>SL2, GSCU1</v>
          </cell>
          <cell r="C23">
            <v>0.013999999999999999</v>
          </cell>
        </row>
        <row r="24">
          <cell r="A24">
            <v>17</v>
          </cell>
          <cell r="B24" t="str">
            <v>Total</v>
          </cell>
          <cell r="C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11.57421875" style="0" bestFit="1" customWidth="1"/>
    <col min="2" max="2" width="2.28125" style="0" customWidth="1"/>
    <col min="3" max="3" width="111.8515625" style="0" customWidth="1"/>
  </cols>
  <sheetData>
    <row r="1" s="183" customFormat="1" ht="12.75">
      <c r="A1" s="183" t="s">
        <v>308</v>
      </c>
    </row>
    <row r="2" s="183" customFormat="1" ht="12.75">
      <c r="A2" s="183" t="s">
        <v>309</v>
      </c>
    </row>
    <row r="3" s="183" customFormat="1" ht="12.75"/>
    <row r="4" spans="1:3" ht="12.75">
      <c r="A4" s="112" t="s">
        <v>238</v>
      </c>
      <c r="B4" s="111"/>
      <c r="C4" s="113" t="s">
        <v>239</v>
      </c>
    </row>
    <row r="5" spans="1:3" ht="12.75">
      <c r="A5" s="115"/>
      <c r="B5" s="110"/>
      <c r="C5" s="1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3"/>
  <sheetViews>
    <sheetView showGridLines="0" zoomScale="70" zoomScaleNormal="70" zoomScaleSheetLayoutView="75" zoomScalePageLayoutView="0" workbookViewId="0" topLeftCell="A1">
      <selection activeCell="A2" sqref="A1:A2"/>
    </sheetView>
  </sheetViews>
  <sheetFormatPr defaultColWidth="11.140625" defaultRowHeight="12.75"/>
  <cols>
    <col min="1" max="1" width="5.00390625" style="18" customWidth="1"/>
    <col min="2" max="2" width="3.28125" style="18" customWidth="1"/>
    <col min="3" max="3" width="3.57421875" style="18" customWidth="1"/>
    <col min="4" max="4" width="14.8515625" style="18" customWidth="1"/>
    <col min="5" max="5" width="3.57421875" style="18" customWidth="1"/>
    <col min="6" max="6" width="30.140625" style="5" customWidth="1"/>
    <col min="7" max="7" width="25.57421875" style="5" customWidth="1"/>
    <col min="8" max="8" width="7.7109375" style="5" customWidth="1"/>
    <col min="9" max="10" width="21.8515625" style="5" customWidth="1"/>
    <col min="11" max="11" width="16.57421875" style="5" customWidth="1"/>
    <col min="12" max="12" width="19.421875" style="28" customWidth="1"/>
    <col min="13" max="13" width="2.00390625" style="5" customWidth="1"/>
    <col min="14" max="14" width="13.7109375" style="28" bestFit="1" customWidth="1"/>
    <col min="15" max="15" width="12.421875" style="5" customWidth="1"/>
    <col min="16" max="17" width="11.00390625" style="0" customWidth="1"/>
    <col min="18" max="18" width="11.00390625" style="166" customWidth="1"/>
    <col min="19" max="22" width="11.00390625" style="5" customWidth="1"/>
    <col min="23" max="23" width="11.00390625" style="12" customWidth="1"/>
    <col min="24" max="25" width="11.00390625" style="5" customWidth="1"/>
    <col min="26" max="31" width="11.140625" style="7" customWidth="1"/>
    <col min="32" max="32" width="12.7109375" style="7" customWidth="1"/>
    <col min="33" max="16384" width="11.140625" style="7" customWidth="1"/>
  </cols>
  <sheetData>
    <row r="1" ht="15">
      <c r="A1" s="183" t="s">
        <v>310</v>
      </c>
    </row>
    <row r="2" ht="15">
      <c r="A2" s="183" t="s">
        <v>309</v>
      </c>
    </row>
    <row r="4" spans="1:25" ht="14.25" customHeight="1">
      <c r="A4" s="1"/>
      <c r="B4" s="2"/>
      <c r="C4" s="2"/>
      <c r="D4" s="1"/>
      <c r="E4" s="1"/>
      <c r="F4" s="1"/>
      <c r="G4" s="1"/>
      <c r="H4" s="1"/>
      <c r="I4" s="3"/>
      <c r="J4" s="3"/>
      <c r="K4" s="3"/>
      <c r="L4" s="4"/>
      <c r="N4" s="4"/>
      <c r="X4" s="3"/>
      <c r="Y4" s="3"/>
    </row>
    <row r="5" spans="1:25" ht="15">
      <c r="A5" s="8"/>
      <c r="B5" s="2"/>
      <c r="C5" s="2"/>
      <c r="D5" s="9"/>
      <c r="E5" s="9"/>
      <c r="F5" s="102" t="s">
        <v>232</v>
      </c>
      <c r="G5" s="98"/>
      <c r="H5" s="99"/>
      <c r="I5" s="100"/>
      <c r="J5" s="100"/>
      <c r="K5" s="100"/>
      <c r="L5" s="7"/>
      <c r="M5" s="1"/>
      <c r="N5" s="7"/>
      <c r="X5" s="100"/>
      <c r="Y5" s="100"/>
    </row>
    <row r="6" spans="1:25" ht="15">
      <c r="A6" s="8"/>
      <c r="B6" s="2"/>
      <c r="C6" s="2"/>
      <c r="D6" s="9"/>
      <c r="E6" s="9"/>
      <c r="F6" s="102" t="s">
        <v>294</v>
      </c>
      <c r="G6" s="101"/>
      <c r="H6" s="99"/>
      <c r="I6" s="100"/>
      <c r="J6" s="100"/>
      <c r="K6" s="100"/>
      <c r="L6" s="7"/>
      <c r="M6" s="1"/>
      <c r="N6" s="7"/>
      <c r="X6" s="100"/>
      <c r="Y6" s="100"/>
    </row>
    <row r="7" spans="1:25" ht="15">
      <c r="A7" s="8"/>
      <c r="B7" s="2"/>
      <c r="C7" s="2"/>
      <c r="D7" s="9"/>
      <c r="E7" s="9"/>
      <c r="F7" s="102" t="s">
        <v>300</v>
      </c>
      <c r="G7" s="101"/>
      <c r="H7" s="99"/>
      <c r="I7" s="100"/>
      <c r="J7" s="100"/>
      <c r="K7" s="100"/>
      <c r="L7" s="7"/>
      <c r="M7" s="1"/>
      <c r="N7" s="7"/>
      <c r="O7" s="6"/>
      <c r="P7" t="s">
        <v>2</v>
      </c>
      <c r="Q7">
        <v>2</v>
      </c>
      <c r="X7" s="100"/>
      <c r="Y7" s="100"/>
    </row>
    <row r="8" spans="1:25" ht="15">
      <c r="A8" s="8"/>
      <c r="B8" s="2"/>
      <c r="C8" s="2"/>
      <c r="D8" s="9"/>
      <c r="E8" s="9"/>
      <c r="F8" s="168"/>
      <c r="G8" s="101"/>
      <c r="H8" s="99"/>
      <c r="I8" s="100"/>
      <c r="J8" s="100"/>
      <c r="K8" s="100"/>
      <c r="L8" s="7"/>
      <c r="M8" s="1"/>
      <c r="N8" s="7"/>
      <c r="O8" s="8"/>
      <c r="S8" s="11"/>
      <c r="T8" s="11"/>
      <c r="X8" s="106"/>
      <c r="Y8" s="106"/>
    </row>
    <row r="9" spans="1:25" ht="15">
      <c r="A9" s="8"/>
      <c r="B9" s="2"/>
      <c r="C9" s="2"/>
      <c r="D9" s="9"/>
      <c r="E9" s="9"/>
      <c r="F9" s="1"/>
      <c r="G9" s="1"/>
      <c r="H9" s="8"/>
      <c r="I9" s="106"/>
      <c r="J9" s="106"/>
      <c r="K9" s="106"/>
      <c r="L9" s="7"/>
      <c r="M9" s="1"/>
      <c r="N9" s="7"/>
      <c r="O9" s="8"/>
      <c r="S9" s="11"/>
      <c r="T9" s="11"/>
      <c r="X9" s="106"/>
      <c r="Y9" s="106"/>
    </row>
    <row r="10" spans="1:25" ht="15">
      <c r="A10" s="8"/>
      <c r="B10" s="12"/>
      <c r="C10" s="12"/>
      <c r="D10" s="7"/>
      <c r="E10" s="7"/>
      <c r="F10" s="1"/>
      <c r="G10" s="1"/>
      <c r="H10" s="8"/>
      <c r="I10" s="106"/>
      <c r="J10" s="106"/>
      <c r="K10" s="106"/>
      <c r="L10" s="7"/>
      <c r="M10" s="1"/>
      <c r="N10" s="7"/>
      <c r="O10" s="8"/>
      <c r="P10" t="s">
        <v>3</v>
      </c>
      <c r="S10" s="11"/>
      <c r="T10" s="11"/>
      <c r="X10" s="106"/>
      <c r="Y10" s="106"/>
    </row>
    <row r="11" spans="1:25" ht="6.75" customHeight="1" thickBot="1">
      <c r="A11" s="9"/>
      <c r="B11" s="2"/>
      <c r="C11" s="2"/>
      <c r="D11" s="9"/>
      <c r="E11" s="9"/>
      <c r="F11" s="1"/>
      <c r="G11" s="1"/>
      <c r="H11" s="1"/>
      <c r="I11" s="116"/>
      <c r="J11" s="116"/>
      <c r="K11" s="116"/>
      <c r="L11" s="13"/>
      <c r="M11" s="1"/>
      <c r="N11" s="13"/>
      <c r="O11" s="6"/>
      <c r="S11" s="11"/>
      <c r="T11" s="11"/>
      <c r="X11" s="116"/>
      <c r="Y11" s="116"/>
    </row>
    <row r="12" spans="1:25" s="12" customFormat="1" ht="15">
      <c r="A12" s="14"/>
      <c r="B12" s="14"/>
      <c r="C12" s="14"/>
      <c r="D12" s="15">
        <v>-1</v>
      </c>
      <c r="E12" s="15"/>
      <c r="F12" s="107">
        <v>-2</v>
      </c>
      <c r="G12" s="107"/>
      <c r="H12" s="15"/>
      <c r="I12" s="15">
        <v>-3</v>
      </c>
      <c r="J12" s="15">
        <v>-4</v>
      </c>
      <c r="K12" s="15">
        <v>-6</v>
      </c>
      <c r="L12" s="15">
        <v>-7</v>
      </c>
      <c r="M12" s="14"/>
      <c r="N12" s="15"/>
      <c r="O12" s="16"/>
      <c r="P12" t="s">
        <v>4</v>
      </c>
      <c r="Q12"/>
      <c r="R12" s="166"/>
      <c r="S12" s="17"/>
      <c r="T12" s="17"/>
      <c r="U12" s="18"/>
      <c r="V12" s="18"/>
      <c r="X12" s="15"/>
      <c r="Y12" s="15"/>
    </row>
    <row r="13" spans="1:25" ht="15">
      <c r="A13" s="7"/>
      <c r="B13" s="2"/>
      <c r="C13" s="2"/>
      <c r="D13" s="2" t="s">
        <v>5</v>
      </c>
      <c r="E13" s="2"/>
      <c r="F13" s="71"/>
      <c r="G13" s="71"/>
      <c r="H13" s="2"/>
      <c r="I13" s="2"/>
      <c r="J13" s="2"/>
      <c r="K13" s="2"/>
      <c r="L13" s="19"/>
      <c r="M13" s="2"/>
      <c r="N13" s="19"/>
      <c r="O13" s="6"/>
      <c r="S13" s="11"/>
      <c r="T13" s="11"/>
      <c r="X13" s="2"/>
      <c r="Y13" s="2"/>
    </row>
    <row r="14" spans="1:25" ht="15">
      <c r="A14" s="2" t="s">
        <v>6</v>
      </c>
      <c r="B14" s="2"/>
      <c r="C14" s="2"/>
      <c r="D14" s="2" t="s">
        <v>7</v>
      </c>
      <c r="E14" s="2"/>
      <c r="F14" s="71" t="s">
        <v>8</v>
      </c>
      <c r="G14" s="71"/>
      <c r="H14" s="2"/>
      <c r="I14" s="2" t="s">
        <v>5</v>
      </c>
      <c r="J14" s="2" t="s">
        <v>297</v>
      </c>
      <c r="K14" s="169">
        <v>42736</v>
      </c>
      <c r="L14" s="19" t="s">
        <v>271</v>
      </c>
      <c r="M14" s="7"/>
      <c r="N14" s="19" t="s">
        <v>287</v>
      </c>
      <c r="O14" s="7"/>
      <c r="S14" s="10"/>
      <c r="T14" s="11"/>
      <c r="X14" s="2" t="s">
        <v>297</v>
      </c>
      <c r="Y14" s="2" t="s">
        <v>264</v>
      </c>
    </row>
    <row r="15" spans="1:25" ht="15" thickBot="1">
      <c r="A15" s="21" t="s">
        <v>9</v>
      </c>
      <c r="B15" s="21"/>
      <c r="C15" s="21"/>
      <c r="D15" s="21" t="s">
        <v>10</v>
      </c>
      <c r="E15" s="21"/>
      <c r="F15" s="108" t="s">
        <v>11</v>
      </c>
      <c r="G15" s="108"/>
      <c r="H15" s="21"/>
      <c r="I15" s="21" t="s">
        <v>7</v>
      </c>
      <c r="J15" s="21" t="s">
        <v>301</v>
      </c>
      <c r="K15" s="21" t="s">
        <v>7</v>
      </c>
      <c r="L15" s="22" t="s">
        <v>236</v>
      </c>
      <c r="M15" s="23"/>
      <c r="N15" s="22" t="s">
        <v>288</v>
      </c>
      <c r="O15" s="6"/>
      <c r="P15" t="s">
        <v>12</v>
      </c>
      <c r="Q15" t="s">
        <v>13</v>
      </c>
      <c r="R15" s="166" t="s">
        <v>14</v>
      </c>
      <c r="S15" s="20"/>
      <c r="T15" s="11"/>
      <c r="W15" s="12" t="s">
        <v>241</v>
      </c>
      <c r="X15" s="21" t="s">
        <v>242</v>
      </c>
      <c r="Y15" s="21" t="s">
        <v>269</v>
      </c>
    </row>
    <row r="16" spans="1:25" ht="15" thickBot="1">
      <c r="A16" s="18">
        <v>1</v>
      </c>
      <c r="D16" s="24" t="s">
        <v>15</v>
      </c>
      <c r="E16" s="24"/>
      <c r="F16" s="25" t="s">
        <v>16</v>
      </c>
      <c r="G16" s="25"/>
      <c r="H16" s="25"/>
      <c r="I16" s="25"/>
      <c r="J16" s="25"/>
      <c r="K16" s="25"/>
      <c r="L16" s="26"/>
      <c r="N16" s="26"/>
      <c r="O16" s="6"/>
      <c r="S16" s="11"/>
      <c r="T16" s="11"/>
      <c r="X16" s="25"/>
      <c r="Y16" s="25"/>
    </row>
    <row r="17" spans="1:25" ht="15">
      <c r="A17" s="18">
        <v>2</v>
      </c>
      <c r="F17" s="5" t="s">
        <v>17</v>
      </c>
      <c r="I17" s="27">
        <v>7.87</v>
      </c>
      <c r="J17" s="27">
        <f>IF(X17="","",X17)</f>
      </c>
      <c r="K17" s="27">
        <f>ROUND(I17+Y17,2)</f>
        <v>7.87</v>
      </c>
      <c r="L17" s="27">
        <f>(K17-I17)</f>
        <v>0</v>
      </c>
      <c r="N17" s="170">
        <f>L17/I17</f>
        <v>0</v>
      </c>
      <c r="O17" s="6"/>
      <c r="P17">
        <f>IF($Q$7=1,TEXT(I17,"$0.00"),"")</f>
      </c>
      <c r="Q17">
        <f>IF($Q$7=1,TEXT(VALUE(K17),"$0.00"),"")</f>
      </c>
      <c r="R17" s="166" t="str">
        <f>IF($Q$7=2,TEXT(VALUE(K17),"$0.00"),"")</f>
        <v>$7.87</v>
      </c>
      <c r="S17" s="11"/>
      <c r="X17" s="27"/>
      <c r="Y17" s="27">
        <f>SUM(X17:X17)</f>
        <v>0</v>
      </c>
    </row>
    <row r="18" spans="1:20" ht="15">
      <c r="A18" s="18">
        <v>3</v>
      </c>
      <c r="O18" s="6"/>
      <c r="S18" s="11"/>
      <c r="T18" s="11"/>
    </row>
    <row r="19" spans="1:20" ht="15">
      <c r="A19" s="18">
        <v>4</v>
      </c>
      <c r="F19" s="5" t="s">
        <v>18</v>
      </c>
      <c r="S19" s="11"/>
      <c r="T19" s="11"/>
    </row>
    <row r="20" spans="1:26" ht="15">
      <c r="A20" s="18">
        <v>5</v>
      </c>
      <c r="F20" s="5" t="s">
        <v>19</v>
      </c>
      <c r="I20" s="32">
        <v>4.913</v>
      </c>
      <c r="J20" s="32">
        <f>IF(X20="","",X20)</f>
        <v>0.144</v>
      </c>
      <c r="K20" s="32">
        <f>ROUND(I20+Y20,3)</f>
        <v>5.057</v>
      </c>
      <c r="L20" s="32">
        <f>(K20-I20)</f>
        <v>0.14400000000000013</v>
      </c>
      <c r="N20" s="170">
        <f>L20/I20</f>
        <v>0.029309993893751298</v>
      </c>
      <c r="P20">
        <f>IF($Q$7=1,TEXT(I20,"0.000"),"")</f>
      </c>
      <c r="Q20">
        <f>IF($Q$7=1,TEXT(VALUE(K20),"0.000"),"")</f>
      </c>
      <c r="R20" s="166" t="str">
        <f>IF($Q$7=2,TEXT(VALUE(K20),"0.000"),"")</f>
        <v>5.057</v>
      </c>
      <c r="S20" s="11"/>
      <c r="T20" s="11"/>
      <c r="W20" s="12">
        <v>1</v>
      </c>
      <c r="X20" s="32">
        <f>WCEC3!J$19</f>
        <v>0.144</v>
      </c>
      <c r="Y20" s="32">
        <f>SUM(X20:X20)</f>
        <v>0.144</v>
      </c>
      <c r="Z20" s="79"/>
    </row>
    <row r="21" spans="1:25" ht="15">
      <c r="A21" s="18">
        <v>6</v>
      </c>
      <c r="F21" s="5" t="s">
        <v>20</v>
      </c>
      <c r="I21" s="32">
        <v>6.038</v>
      </c>
      <c r="J21" s="32">
        <f>IF(X21="","",X21)</f>
        <v>0.144</v>
      </c>
      <c r="K21" s="32">
        <f>ROUND(I21+Y21,3)</f>
        <v>6.182</v>
      </c>
      <c r="L21" s="32">
        <f>(K21-I21)</f>
        <v>0.14400000000000013</v>
      </c>
      <c r="N21" s="170">
        <f>L21/I21</f>
        <v>0.023848956608148415</v>
      </c>
      <c r="P21">
        <f>IF($Q$7=1,TEXT(I21,"0.000"),"")</f>
      </c>
      <c r="Q21">
        <f>IF($Q$7=1,TEXT(VALUE(K21),"0.000"),"")</f>
      </c>
      <c r="R21" s="166" t="str">
        <f>IF($Q$7=2,TEXT(VALUE(K21),"0.000"),"")</f>
        <v>6.182</v>
      </c>
      <c r="W21" s="12">
        <v>1</v>
      </c>
      <c r="X21" s="32">
        <f>WCEC3!J$19</f>
        <v>0.144</v>
      </c>
      <c r="Y21" s="32">
        <f>SUM(X21:X21)</f>
        <v>0.144</v>
      </c>
    </row>
    <row r="22" ht="15">
      <c r="A22" s="18">
        <v>7</v>
      </c>
    </row>
    <row r="23" spans="1:25" ht="15">
      <c r="A23" s="18">
        <v>8</v>
      </c>
      <c r="B23" s="52" t="s">
        <v>295</v>
      </c>
      <c r="F23" s="35"/>
      <c r="G23" s="35"/>
      <c r="H23" s="35"/>
      <c r="I23" s="36"/>
      <c r="J23" s="36"/>
      <c r="K23" s="36"/>
      <c r="L23" s="37"/>
      <c r="N23" s="37"/>
      <c r="X23" s="36"/>
      <c r="Y23" s="36"/>
    </row>
    <row r="24" spans="1:25" ht="15" thickBot="1">
      <c r="A24" s="18">
        <v>9</v>
      </c>
      <c r="D24" s="24" t="s">
        <v>21</v>
      </c>
      <c r="E24" s="24"/>
      <c r="F24" s="25" t="s">
        <v>22</v>
      </c>
      <c r="G24" s="25"/>
      <c r="H24" s="25"/>
      <c r="I24" s="25"/>
      <c r="J24" s="25"/>
      <c r="K24" s="25"/>
      <c r="L24" s="26"/>
      <c r="N24" s="26"/>
      <c r="X24" s="25"/>
      <c r="Y24" s="25"/>
    </row>
    <row r="25" spans="1:25" ht="15">
      <c r="A25" s="18">
        <v>10</v>
      </c>
      <c r="F25" s="5" t="s">
        <v>17</v>
      </c>
      <c r="I25" s="27">
        <v>12.36</v>
      </c>
      <c r="J25" s="27">
        <f>IF(X25="","",X25)</f>
      </c>
      <c r="K25" s="27">
        <f>ROUND(I25+Y25,2)</f>
        <v>12.36</v>
      </c>
      <c r="L25" s="27">
        <f>(K25-I25)</f>
        <v>0</v>
      </c>
      <c r="N25" s="170">
        <f>L25/I25</f>
        <v>0</v>
      </c>
      <c r="P25">
        <f>IF($Q$7=1,TEXT(I25,"$0.00"),"")</f>
      </c>
      <c r="Q25">
        <f>IF($Q$7=1,TEXT(VALUE(K25),"$0.00"),"")</f>
      </c>
      <c r="R25" s="166" t="str">
        <f>IF($Q$7=2,TEXT(VALUE(K25),"$0.00"),"")</f>
        <v>$12.36</v>
      </c>
      <c r="X25" s="27"/>
      <c r="Y25" s="27">
        <f>SUM(X25:X25)</f>
        <v>0</v>
      </c>
    </row>
    <row r="26" spans="1:16" ht="15">
      <c r="A26" s="18">
        <v>11</v>
      </c>
      <c r="F26" s="5" t="str">
        <f>" with "&amp;TEXT($U26,"$0.00")&amp;" Lump-sum metering payment"</f>
        <v> with $0.00 Lump-sum metering payment</v>
      </c>
      <c r="G26" s="7"/>
      <c r="J26" s="27"/>
      <c r="P26">
        <f>IF($Q$7=1,TEXT(I26,"$0.00"),"")</f>
      </c>
    </row>
    <row r="27" spans="1:7" ht="15">
      <c r="A27" s="18">
        <v>12</v>
      </c>
      <c r="D27" s="7"/>
      <c r="E27" s="7"/>
      <c r="F27" s="5" t="s">
        <v>234</v>
      </c>
      <c r="G27" s="7"/>
    </row>
    <row r="28" spans="1:25" ht="15">
      <c r="A28" s="18">
        <v>13</v>
      </c>
      <c r="F28" s="7"/>
      <c r="G28" s="7"/>
      <c r="H28" s="7"/>
      <c r="I28" s="7"/>
      <c r="J28" s="7"/>
      <c r="K28" s="7"/>
      <c r="L28" s="13"/>
      <c r="N28" s="13"/>
      <c r="X28" s="7"/>
      <c r="Y28" s="7"/>
    </row>
    <row r="29" spans="1:25" ht="15">
      <c r="A29" s="18">
        <v>14</v>
      </c>
      <c r="F29" s="5" t="str">
        <f>" with "&amp;TEXT(U29,"$0.00")&amp;" Lump-sum metering payment"</f>
        <v> with $0.00 Lump-sum metering payment</v>
      </c>
      <c r="I29" s="27">
        <v>7.87</v>
      </c>
      <c r="J29" s="27">
        <f>IF(X29="","",X29)</f>
      </c>
      <c r="K29" s="27">
        <f>ROUND(I29+Y29,2)</f>
        <v>7.87</v>
      </c>
      <c r="L29" s="27">
        <f>(K29-I26)</f>
        <v>7.87</v>
      </c>
      <c r="N29" s="170">
        <f>L29/I29</f>
        <v>1</v>
      </c>
      <c r="Q29">
        <f>IF($Q$7=1,TEXT(VALUE(K29),"$0.00"),"")</f>
      </c>
      <c r="R29" s="166" t="str">
        <f>IF($Q$7=2,TEXT(VALUE(K29),"$0.00"),"")</f>
        <v>$7.87</v>
      </c>
      <c r="X29" s="27"/>
      <c r="Y29" s="27">
        <f>SUM(X29:X29)</f>
        <v>0</v>
      </c>
    </row>
    <row r="30" spans="1:6" ht="15">
      <c r="A30" s="18">
        <v>15</v>
      </c>
      <c r="F30" s="5" t="s">
        <v>233</v>
      </c>
    </row>
    <row r="31" ht="15">
      <c r="A31" s="18">
        <v>16</v>
      </c>
    </row>
    <row r="32" spans="1:6" ht="15">
      <c r="A32" s="18">
        <v>17</v>
      </c>
      <c r="F32" s="5" t="s">
        <v>18</v>
      </c>
    </row>
    <row r="33" spans="1:25" ht="15">
      <c r="A33" s="18">
        <v>18</v>
      </c>
      <c r="F33" s="5" t="s">
        <v>23</v>
      </c>
      <c r="I33" s="32">
        <v>14.44</v>
      </c>
      <c r="J33" s="38">
        <f>IF(X33="","",X33)</f>
        <v>0.144</v>
      </c>
      <c r="K33" s="32">
        <f>ROUND(I33+Y33,3)</f>
        <v>14.584</v>
      </c>
      <c r="L33" s="32">
        <f>(K33-I33)</f>
        <v>0.14400000000000013</v>
      </c>
      <c r="N33" s="170">
        <f>L33/I33</f>
        <v>0.00997229916897508</v>
      </c>
      <c r="P33">
        <f>IF($Q$7=1,TEXT(I33,"0.000"),"")</f>
      </c>
      <c r="Q33">
        <f>IF($Q$7=1,TEXT(VALUE(K33),"0.000"),"")</f>
      </c>
      <c r="R33" s="166" t="str">
        <f>IF($Q$7=2,TEXT(VALUE(K33),"0.000"),"")</f>
        <v>14.584</v>
      </c>
      <c r="W33" s="12">
        <v>1</v>
      </c>
      <c r="X33" s="32">
        <f>WCEC3!J$19</f>
        <v>0.144</v>
      </c>
      <c r="Y33" s="32">
        <f>SUM(X33:X33)</f>
        <v>0.144</v>
      </c>
    </row>
    <row r="34" spans="1:25" ht="15">
      <c r="A34" s="18">
        <v>19</v>
      </c>
      <c r="F34" s="5" t="s">
        <v>24</v>
      </c>
      <c r="I34" s="32">
        <v>1.215</v>
      </c>
      <c r="J34" s="38">
        <f>IF(X34="","",X34)</f>
        <v>0.144</v>
      </c>
      <c r="K34" s="32">
        <f>ROUND(I34+Y34,3)</f>
        <v>1.359</v>
      </c>
      <c r="L34" s="32">
        <f>(K34-I34)</f>
        <v>0.1439999999999999</v>
      </c>
      <c r="N34" s="170">
        <f>L34/I34</f>
        <v>0.11851851851851844</v>
      </c>
      <c r="P34">
        <f>IF($Q$7=1,TEXT(I34,"0.000"),"")</f>
      </c>
      <c r="Q34">
        <f>IF($Q$7=1,TEXT(VALUE(K34),"0.000"),"")</f>
      </c>
      <c r="R34" s="166" t="str">
        <f>IF($Q$7=2,TEXT(VALUE(K34),"0.000"),"")</f>
        <v>1.359</v>
      </c>
      <c r="W34" s="12">
        <v>1</v>
      </c>
      <c r="X34" s="32">
        <f>WCEC3!J$19</f>
        <v>0.144</v>
      </c>
      <c r="Y34" s="32">
        <f>SUM(X34:X34)</f>
        <v>0.144</v>
      </c>
    </row>
    <row r="35" spans="1:22" ht="15">
      <c r="A35" s="18">
        <v>20</v>
      </c>
      <c r="L35" s="81"/>
      <c r="N35" s="81"/>
      <c r="P35">
        <f>IF($Q$7=1,TEXT(U35,"$0.00"),"")</f>
      </c>
      <c r="Q35">
        <f>IF($Q$7=1,TEXT(VALUE(V35),"$0.00"),"")</f>
      </c>
      <c r="R35" s="166" t="str">
        <f>IF($Q$7=2,TEXT(VALUE(V35),"$0.00"),"")</f>
        <v>$608.40</v>
      </c>
      <c r="U35" s="5">
        <v>160.45</v>
      </c>
      <c r="V35" s="5">
        <v>608.4</v>
      </c>
    </row>
    <row r="36" spans="1:14" ht="15">
      <c r="A36" s="18">
        <v>21</v>
      </c>
      <c r="L36" s="81"/>
      <c r="N36" s="81"/>
    </row>
    <row r="37" spans="1:25" ht="15" thickBot="1">
      <c r="A37" s="18">
        <v>22</v>
      </c>
      <c r="D37" s="24" t="s">
        <v>25</v>
      </c>
      <c r="E37" s="24"/>
      <c r="F37" s="25" t="s">
        <v>26</v>
      </c>
      <c r="G37" s="25"/>
      <c r="H37" s="25"/>
      <c r="I37" s="25"/>
      <c r="J37" s="25"/>
      <c r="K37" s="25"/>
      <c r="L37" s="82"/>
      <c r="N37" s="82"/>
      <c r="X37" s="25"/>
      <c r="Y37" s="25"/>
    </row>
    <row r="38" spans="1:14" ht="15">
      <c r="A38" s="18">
        <v>23</v>
      </c>
      <c r="F38" s="5" t="s">
        <v>17</v>
      </c>
      <c r="L38" s="81"/>
      <c r="N38" s="81"/>
    </row>
    <row r="39" spans="1:25" ht="15">
      <c r="A39" s="18">
        <v>24</v>
      </c>
      <c r="F39" s="5" t="s">
        <v>27</v>
      </c>
      <c r="I39" s="27">
        <v>7.75</v>
      </c>
      <c r="J39" s="27">
        <f>IF(X39="","",X39)</f>
      </c>
      <c r="K39" s="27">
        <f>ROUND(I39+Y39,2)</f>
        <v>7.75</v>
      </c>
      <c r="L39" s="27">
        <f>(K39-I39)</f>
        <v>0</v>
      </c>
      <c r="N39" s="170">
        <f>L39/I39</f>
        <v>0</v>
      </c>
      <c r="P39">
        <f>IF($Q$7=1,TEXT(I39,"$0.00"),"")</f>
      </c>
      <c r="Q39">
        <f>IF($Q$7=1,TEXT(VALUE(K39),"$0.00"),"")</f>
      </c>
      <c r="R39" s="166" t="str">
        <f>IF($Q$7=2,TEXT(VALUE(K39),"$0.00"),"")</f>
        <v>$7.75</v>
      </c>
      <c r="X39" s="27"/>
      <c r="Y39" s="27">
        <f>SUM(X39:X39)</f>
        <v>0</v>
      </c>
    </row>
    <row r="40" spans="1:25" ht="15">
      <c r="A40" s="18">
        <v>25</v>
      </c>
      <c r="F40" s="5" t="s">
        <v>28</v>
      </c>
      <c r="I40" s="27">
        <v>1</v>
      </c>
      <c r="J40" s="27">
        <f>IF(X40="","",X40)</f>
      </c>
      <c r="K40" s="27">
        <f>ROUND(I40+Y40,2)</f>
        <v>1</v>
      </c>
      <c r="L40" s="27">
        <f>(K40-I40)</f>
        <v>0</v>
      </c>
      <c r="N40" s="170">
        <f>L40/I40</f>
        <v>0</v>
      </c>
      <c r="P40">
        <f>IF($Q$7=1,TEXT(I40,"$0.00"),"")</f>
      </c>
      <c r="Q40">
        <f>IF($Q$7=1,TEXT(VALUE(K40),"$0.00"),"")</f>
      </c>
      <c r="R40" s="166" t="str">
        <f>IF($Q$7=2,TEXT(VALUE(K40),"$0.00"),"")</f>
        <v>$1.00</v>
      </c>
      <c r="X40" s="27"/>
      <c r="Y40" s="27">
        <f>SUM(X40:X40)</f>
        <v>0</v>
      </c>
    </row>
    <row r="41" spans="1:14" ht="15">
      <c r="A41" s="18">
        <v>26</v>
      </c>
      <c r="L41" s="81"/>
      <c r="N41" s="81"/>
    </row>
    <row r="42" spans="1:25" ht="15">
      <c r="A42" s="18">
        <v>27</v>
      </c>
      <c r="F42" s="5" t="s">
        <v>18</v>
      </c>
      <c r="I42" s="32">
        <v>5.384</v>
      </c>
      <c r="J42" s="38">
        <f>IF(X42="","",X42)</f>
        <v>0.131</v>
      </c>
      <c r="K42" s="32">
        <f>ROUND(I42+Y42,3)</f>
        <v>5.515</v>
      </c>
      <c r="L42" s="32">
        <f>(K42-I42)</f>
        <v>0.13099999999999934</v>
      </c>
      <c r="N42" s="170">
        <f>L42/I42</f>
        <v>0.024331352154531822</v>
      </c>
      <c r="P42">
        <f>IF($Q$7=1,TEXT(I42,"0.000"),"")</f>
      </c>
      <c r="Q42">
        <f>IF($Q$7=1,TEXT(VALUE(K42),"0.000"),"")</f>
      </c>
      <c r="R42" s="166" t="str">
        <f>IF($Q$7=2,TEXT(VALUE(K42),"0.000"),"")</f>
        <v>5.515</v>
      </c>
      <c r="W42" s="12">
        <v>2</v>
      </c>
      <c r="X42" s="32">
        <f>WCEC3!J$10</f>
        <v>0.131</v>
      </c>
      <c r="Y42" s="32">
        <f>SUM(X42:X42)</f>
        <v>0.131</v>
      </c>
    </row>
    <row r="43" spans="1:25" ht="15">
      <c r="A43" s="18">
        <v>28</v>
      </c>
      <c r="I43" s="40"/>
      <c r="J43" s="40"/>
      <c r="K43" s="40"/>
      <c r="L43" s="81"/>
      <c r="N43" s="81"/>
      <c r="X43" s="40"/>
      <c r="Y43" s="40"/>
    </row>
    <row r="44" spans="1:14" ht="15">
      <c r="A44" s="18">
        <v>29</v>
      </c>
      <c r="D44" s="7"/>
      <c r="E44" s="7"/>
      <c r="L44" s="81"/>
      <c r="N44" s="81"/>
    </row>
    <row r="45" spans="1:25" ht="15" thickBot="1">
      <c r="A45" s="18">
        <v>30</v>
      </c>
      <c r="D45" s="24" t="s">
        <v>29</v>
      </c>
      <c r="E45" s="24"/>
      <c r="F45" s="25" t="s">
        <v>30</v>
      </c>
      <c r="G45" s="25"/>
      <c r="H45" s="25"/>
      <c r="I45" s="25"/>
      <c r="J45" s="25"/>
      <c r="K45" s="25"/>
      <c r="L45" s="82"/>
      <c r="N45" s="82"/>
      <c r="X45" s="25"/>
      <c r="Y45" s="25"/>
    </row>
    <row r="46" spans="1:25" ht="15">
      <c r="A46" s="18">
        <v>31</v>
      </c>
      <c r="D46" s="7"/>
      <c r="E46" s="7"/>
      <c r="F46" s="5" t="s">
        <v>17</v>
      </c>
      <c r="I46" s="39">
        <v>15.21</v>
      </c>
      <c r="J46" s="39">
        <f>IF(X46="","",X46)</f>
      </c>
      <c r="K46" s="39">
        <f>I46+Y46</f>
        <v>15.21</v>
      </c>
      <c r="L46" s="39">
        <f>(K46-I46)</f>
        <v>0</v>
      </c>
      <c r="N46" s="170">
        <f>L46/I46</f>
        <v>0</v>
      </c>
      <c r="P46">
        <f>IF($Q$7=1,TEXT(I46,"$0.00"),"")</f>
      </c>
      <c r="Q46">
        <f>IF($Q$7=1,TEXT(VALUE(K46),"$0.00"),"")</f>
      </c>
      <c r="R46" s="166" t="str">
        <f>IF($Q$7=2,TEXT(VALUE(K46),"$0.00"),"")</f>
        <v>$15.21</v>
      </c>
      <c r="X46" s="39"/>
      <c r="Y46" s="39">
        <f>SUM(X46:X46)</f>
        <v>0</v>
      </c>
    </row>
    <row r="47" spans="1:21" ht="15">
      <c r="A47" s="18">
        <v>32</v>
      </c>
      <c r="F47" s="5" t="str">
        <f>" with "&amp;TEXT($U47,"$0.00")&amp;" Lump-sum metering payment"</f>
        <v> with $0.00 Lump-sum metering payment</v>
      </c>
      <c r="J47" s="39"/>
      <c r="L47" s="81"/>
      <c r="N47" s="81"/>
      <c r="P47">
        <f>IF($Q$7=1,TEXT(I47,"$0.00"),"")</f>
      </c>
      <c r="U47" s="5">
        <v>0</v>
      </c>
    </row>
    <row r="48" spans="1:14" ht="15">
      <c r="A48" s="18">
        <v>33</v>
      </c>
      <c r="F48" s="5" t="s">
        <v>234</v>
      </c>
      <c r="L48" s="81"/>
      <c r="N48" s="81"/>
    </row>
    <row r="49" spans="1:25" ht="15">
      <c r="A49" s="18">
        <v>34</v>
      </c>
      <c r="F49" s="7"/>
      <c r="G49" s="7"/>
      <c r="H49" s="7"/>
      <c r="I49" s="7"/>
      <c r="J49" s="7"/>
      <c r="K49" s="7"/>
      <c r="L49" s="83"/>
      <c r="N49" s="83"/>
      <c r="X49" s="7"/>
      <c r="Y49" s="7"/>
    </row>
    <row r="50" spans="1:25" ht="15">
      <c r="A50" s="18">
        <v>35</v>
      </c>
      <c r="F50" s="5" t="s">
        <v>296</v>
      </c>
      <c r="I50" s="39">
        <v>7.75</v>
      </c>
      <c r="J50" s="39">
        <f>IF(X50="","",X50)</f>
      </c>
      <c r="K50" s="39">
        <f>I50</f>
        <v>7.75</v>
      </c>
      <c r="L50" s="27">
        <f>(K50-I50)</f>
        <v>0</v>
      </c>
      <c r="M50" s="41"/>
      <c r="N50" s="170"/>
      <c r="Q50">
        <f>IF($Q$7=1,TEXT(VALUE(K50),"$0.00"),"")</f>
      </c>
      <c r="R50" s="166" t="str">
        <f>IF($Q$7=2,TEXT(VALUE(K50),"$0.00"),"")</f>
        <v>$7.75</v>
      </c>
      <c r="U50" s="5">
        <f>U47</f>
        <v>0</v>
      </c>
      <c r="X50" s="39"/>
      <c r="Y50" s="39">
        <f>SUM(X50:X50)</f>
        <v>0</v>
      </c>
    </row>
    <row r="51" spans="1:14" ht="15">
      <c r="A51" s="18">
        <v>36</v>
      </c>
      <c r="F51" s="5" t="s">
        <v>233</v>
      </c>
      <c r="L51" s="81"/>
      <c r="M51" s="41"/>
      <c r="N51" s="81"/>
    </row>
    <row r="52" spans="1:14" ht="15">
      <c r="A52" s="18">
        <v>37</v>
      </c>
      <c r="L52" s="81"/>
      <c r="M52" s="41"/>
      <c r="N52" s="81"/>
    </row>
    <row r="53" spans="1:25" s="42" customFormat="1" ht="15">
      <c r="A53" s="16">
        <v>38</v>
      </c>
      <c r="B53" s="3"/>
      <c r="C53" s="3"/>
      <c r="D53" s="18"/>
      <c r="E53" s="18"/>
      <c r="F53" s="5" t="s">
        <v>18</v>
      </c>
      <c r="G53" s="5"/>
      <c r="H53" s="5"/>
      <c r="I53" s="5"/>
      <c r="J53" s="5"/>
      <c r="K53" s="5"/>
      <c r="L53" s="81"/>
      <c r="M53" s="41"/>
      <c r="N53" s="81"/>
      <c r="O53" s="41"/>
      <c r="P53"/>
      <c r="Q53"/>
      <c r="R53" s="166"/>
      <c r="S53" s="6"/>
      <c r="T53" s="6"/>
      <c r="U53" s="6"/>
      <c r="V53" s="6"/>
      <c r="W53" s="78"/>
      <c r="X53" s="5"/>
      <c r="Y53" s="5"/>
    </row>
    <row r="54" spans="1:25" s="42" customFormat="1" ht="15">
      <c r="A54" s="16">
        <v>39</v>
      </c>
      <c r="B54" s="3"/>
      <c r="C54" s="3"/>
      <c r="D54" s="18"/>
      <c r="E54" s="18"/>
      <c r="F54" s="5" t="s">
        <v>23</v>
      </c>
      <c r="G54" s="5"/>
      <c r="H54" s="5"/>
      <c r="I54" s="38">
        <v>9.911</v>
      </c>
      <c r="J54" s="38">
        <f>IF(X54="","",X54)</f>
        <v>0.131</v>
      </c>
      <c r="K54" s="38">
        <f>I54+Y54</f>
        <v>10.042</v>
      </c>
      <c r="L54" s="32">
        <f>(K54-I54)</f>
        <v>0.13100000000000023</v>
      </c>
      <c r="N54" s="170">
        <f>L54/I54</f>
        <v>0.01321763696902434</v>
      </c>
      <c r="O54" s="41"/>
      <c r="P54">
        <f>IF($Q$7=1,TEXT(I54,"0.000"),"")</f>
      </c>
      <c r="Q54">
        <f>IF($Q$7=1,TEXT(VALUE(K54),"0.000"),"")</f>
      </c>
      <c r="R54" s="166" t="str">
        <f>IF($Q$7=2,TEXT(VALUE(K54),"0.000"),"")</f>
        <v>10.042</v>
      </c>
      <c r="S54" s="6"/>
      <c r="T54" s="6"/>
      <c r="U54" s="6"/>
      <c r="V54" s="6"/>
      <c r="W54" s="12">
        <v>2</v>
      </c>
      <c r="X54" s="38">
        <f>WCEC3!J$10</f>
        <v>0.131</v>
      </c>
      <c r="Y54" s="38">
        <f>SUM(X54:X54)</f>
        <v>0.131</v>
      </c>
    </row>
    <row r="55" spans="1:25" ht="15">
      <c r="A55" s="16">
        <v>40</v>
      </c>
      <c r="B55" s="3"/>
      <c r="C55" s="3"/>
      <c r="F55" s="5" t="s">
        <v>24</v>
      </c>
      <c r="I55" s="38">
        <v>3.358</v>
      </c>
      <c r="J55" s="38">
        <f>IF(X55="","",X55)</f>
        <v>0.131</v>
      </c>
      <c r="K55" s="38">
        <f>I55+Y55</f>
        <v>3.489</v>
      </c>
      <c r="L55" s="32">
        <f>(K55-I55)</f>
        <v>0.13099999999999978</v>
      </c>
      <c r="N55" s="170">
        <f>L55/I55</f>
        <v>0.03901131625967832</v>
      </c>
      <c r="O55" s="41"/>
      <c r="P55">
        <f>IF($Q$7=1,TEXT(I55,"0.000"),"")</f>
      </c>
      <c r="Q55">
        <f>IF($Q$7=1,TEXT(VALUE(K55),"0.000"),"")</f>
      </c>
      <c r="R55" s="166" t="str">
        <f>IF($Q$7=2,TEXT(VALUE(K55),"0.000"),"")</f>
        <v>3.489</v>
      </c>
      <c r="W55" s="12">
        <v>2</v>
      </c>
      <c r="X55" s="38">
        <f>WCEC3!J$10</f>
        <v>0.131</v>
      </c>
      <c r="Y55" s="38">
        <f>SUM(X55:X55)</f>
        <v>0.131</v>
      </c>
    </row>
    <row r="56" spans="1:15" ht="15">
      <c r="A56" s="16">
        <v>41</v>
      </c>
      <c r="B56" s="3"/>
      <c r="C56" s="3"/>
      <c r="L56" s="81"/>
      <c r="N56" s="81"/>
      <c r="O56" s="41"/>
    </row>
    <row r="57" spans="1:15" ht="15">
      <c r="A57" s="16">
        <v>42</v>
      </c>
      <c r="B57" s="3"/>
      <c r="L57" s="81"/>
      <c r="N57" s="81"/>
      <c r="O57" s="41"/>
    </row>
    <row r="58" spans="1:15" ht="15">
      <c r="A58" s="16"/>
      <c r="B58" s="3"/>
      <c r="C58" s="43"/>
      <c r="L58" s="81"/>
      <c r="N58" s="81"/>
      <c r="O58" s="41"/>
    </row>
    <row r="59" spans="1:25" ht="15" thickBot="1">
      <c r="A59" s="16"/>
      <c r="B59" s="3"/>
      <c r="C59" s="3"/>
      <c r="D59" s="41"/>
      <c r="E59" s="41"/>
      <c r="F59" s="41"/>
      <c r="G59" s="41"/>
      <c r="H59" s="41"/>
      <c r="I59" s="41"/>
      <c r="J59" s="41"/>
      <c r="K59" s="41"/>
      <c r="L59" s="84"/>
      <c r="M59" s="41"/>
      <c r="N59" s="84"/>
      <c r="O59" s="41"/>
      <c r="X59" s="41"/>
      <c r="Y59" s="41"/>
    </row>
    <row r="60" spans="1:25" ht="15">
      <c r="A60" s="45" t="s">
        <v>31</v>
      </c>
      <c r="B60" s="14"/>
      <c r="C60" s="14"/>
      <c r="D60" s="45"/>
      <c r="E60" s="45"/>
      <c r="F60" s="45"/>
      <c r="G60" s="45"/>
      <c r="H60" s="45"/>
      <c r="I60" s="45" t="s">
        <v>32</v>
      </c>
      <c r="J60" s="45"/>
      <c r="K60" s="45" t="s">
        <v>32</v>
      </c>
      <c r="L60" s="85"/>
      <c r="M60" s="45"/>
      <c r="N60" s="85"/>
      <c r="O60" s="1"/>
      <c r="X60" s="45"/>
      <c r="Y60" s="45"/>
    </row>
    <row r="61" spans="1:25" ht="15" thickBot="1">
      <c r="A61" s="18">
        <v>1</v>
      </c>
      <c r="D61" s="24" t="s">
        <v>33</v>
      </c>
      <c r="E61" s="24"/>
      <c r="F61" s="25" t="s">
        <v>34</v>
      </c>
      <c r="G61" s="25"/>
      <c r="H61" s="25"/>
      <c r="I61" s="25"/>
      <c r="J61" s="25"/>
      <c r="K61" s="25"/>
      <c r="L61" s="82"/>
      <c r="M61" s="7"/>
      <c r="N61" s="82"/>
      <c r="X61" s="25"/>
      <c r="Y61" s="25"/>
    </row>
    <row r="62" spans="1:25" ht="15">
      <c r="A62" s="18">
        <v>2</v>
      </c>
      <c r="F62" s="5" t="s">
        <v>35</v>
      </c>
      <c r="I62" s="27">
        <v>20.24</v>
      </c>
      <c r="J62" s="39">
        <f>IF(X62="","",X62)</f>
      </c>
      <c r="K62" s="27">
        <f>ROUND(I62+Y62,2)</f>
        <v>20.24</v>
      </c>
      <c r="L62" s="27">
        <f>(K62-I62)</f>
        <v>0</v>
      </c>
      <c r="M62" s="7"/>
      <c r="N62" s="170">
        <f>L62/I62</f>
        <v>0</v>
      </c>
      <c r="P62">
        <f>IF($Q$7=1,TEXT(I62,"$0.00"),"")</f>
      </c>
      <c r="Q62">
        <f>IF($Q$7=1,TEXT(VALUE(K62),"$0.00"),"")</f>
      </c>
      <c r="R62" s="166" t="str">
        <f>IF($Q$7=2,TEXT(VALUE(K62),"$0.00"),"")</f>
        <v>$20.24</v>
      </c>
      <c r="X62" s="27"/>
      <c r="Y62" s="27">
        <f>SUM(X62:X62)</f>
        <v>0</v>
      </c>
    </row>
    <row r="63" spans="1:25" ht="15">
      <c r="A63" s="18">
        <v>3</v>
      </c>
      <c r="I63" s="39"/>
      <c r="J63" s="39">
        <f>IF(X63="","",X63)</f>
      </c>
      <c r="K63" s="39"/>
      <c r="L63" s="81"/>
      <c r="M63" s="7"/>
      <c r="N63" s="81"/>
      <c r="X63" s="39"/>
      <c r="Y63" s="39"/>
    </row>
    <row r="64" spans="1:25" ht="15">
      <c r="A64" s="18">
        <v>4</v>
      </c>
      <c r="F64" s="5" t="s">
        <v>36</v>
      </c>
      <c r="I64" s="27">
        <v>8.26</v>
      </c>
      <c r="J64" s="39">
        <f>IF(X64="","",X64)</f>
        <v>0.44</v>
      </c>
      <c r="K64" s="27">
        <f>ROUND(I64+Y64,2)</f>
        <v>8.7</v>
      </c>
      <c r="L64" s="27">
        <f>(K64-I64)</f>
        <v>0.4399999999999995</v>
      </c>
      <c r="M64" s="7"/>
      <c r="N64" s="170">
        <f>L64/I64</f>
        <v>0.05326876513317185</v>
      </c>
      <c r="P64">
        <f>IF($Q$7=1,TEXT(I64,"$0.00"),"")</f>
      </c>
      <c r="Q64">
        <f>IF($Q$7=1,TEXT(VALUE(K64),"$0.00"),"")</f>
      </c>
      <c r="R64" s="166" t="str">
        <f>IF($Q$7=2,TEXT(VALUE(K64),"$0.00"),"")</f>
        <v>$8.70</v>
      </c>
      <c r="X64" s="27">
        <f>WCEC3!$K$12</f>
        <v>0.44</v>
      </c>
      <c r="Y64" s="27">
        <f>SUM(X64:X64)</f>
        <v>0.44</v>
      </c>
    </row>
    <row r="65" spans="1:25" ht="15">
      <c r="A65" s="18">
        <v>5</v>
      </c>
      <c r="I65" s="39"/>
      <c r="J65" s="39">
        <f>IF(X65="","",X65)</f>
      </c>
      <c r="K65" s="39"/>
      <c r="L65" s="81"/>
      <c r="M65" s="7"/>
      <c r="N65" s="81"/>
      <c r="X65" s="39"/>
      <c r="Y65" s="39"/>
    </row>
    <row r="66" spans="1:25" ht="15">
      <c r="A66" s="18">
        <v>6</v>
      </c>
      <c r="F66" s="5" t="s">
        <v>18</v>
      </c>
      <c r="I66" s="38">
        <v>1.934</v>
      </c>
      <c r="J66" s="38">
        <f>IF(X66="","",X66)</f>
        <v>0</v>
      </c>
      <c r="K66" s="38">
        <f>I66+Y66</f>
        <v>1.934</v>
      </c>
      <c r="L66" s="32">
        <f>(K66-I66)</f>
        <v>0</v>
      </c>
      <c r="M66" s="7"/>
      <c r="N66" s="170">
        <f>L66/I66</f>
        <v>0</v>
      </c>
      <c r="P66">
        <f>IF($Q$7=1,TEXT(I66,"0.000"),"")</f>
      </c>
      <c r="Q66">
        <f>IF($Q$7=1,TEXT(VALUE(K66),"0.000"),"")</f>
      </c>
      <c r="R66" s="166" t="str">
        <f>IF($Q$7=2,TEXT(VALUE(K66),"0.000"),"")</f>
        <v>1.934</v>
      </c>
      <c r="W66" s="12">
        <v>3</v>
      </c>
      <c r="X66" s="38">
        <f>WCEC3!J$12</f>
        <v>0</v>
      </c>
      <c r="Y66" s="38">
        <f>SUM(X66:X66)</f>
        <v>0</v>
      </c>
    </row>
    <row r="67" spans="1:25" ht="15">
      <c r="A67" s="18">
        <v>7</v>
      </c>
      <c r="I67" s="39"/>
      <c r="J67" s="39"/>
      <c r="K67" s="39"/>
      <c r="L67" s="81"/>
      <c r="N67" s="81"/>
      <c r="P67">
        <v>149.55</v>
      </c>
      <c r="Q67">
        <f>21*K64+K62</f>
        <v>202.94</v>
      </c>
      <c r="R67" s="166" t="str">
        <f>IF($Q$7=2,TEXT(VALUE(Q67),"$0.00"),"")</f>
        <v>$202.94</v>
      </c>
      <c r="X67" s="39"/>
      <c r="Y67" s="39"/>
    </row>
    <row r="68" spans="1:25" ht="15">
      <c r="A68" s="18">
        <v>8</v>
      </c>
      <c r="F68" s="35"/>
      <c r="G68" s="47"/>
      <c r="H68" s="47"/>
      <c r="I68" s="48"/>
      <c r="J68" s="48"/>
      <c r="K68" s="48"/>
      <c r="L68" s="86"/>
      <c r="N68" s="86"/>
      <c r="T68" s="39"/>
      <c r="U68" s="39"/>
      <c r="X68" s="48"/>
      <c r="Y68" s="48"/>
    </row>
    <row r="69" spans="1:25" ht="15" thickBot="1">
      <c r="A69" s="18">
        <v>9</v>
      </c>
      <c r="D69" s="24" t="s">
        <v>37</v>
      </c>
      <c r="E69" s="24"/>
      <c r="F69" s="25" t="s">
        <v>38</v>
      </c>
      <c r="G69" s="25"/>
      <c r="H69" s="25"/>
      <c r="I69" s="25"/>
      <c r="J69" s="25"/>
      <c r="K69" s="25"/>
      <c r="L69" s="82"/>
      <c r="N69" s="82"/>
      <c r="X69" s="25"/>
      <c r="Y69" s="25"/>
    </row>
    <row r="70" spans="1:25" ht="15">
      <c r="A70" s="18">
        <v>10</v>
      </c>
      <c r="F70" s="5" t="s">
        <v>35</v>
      </c>
      <c r="I70" s="27">
        <v>26.97</v>
      </c>
      <c r="J70" s="39">
        <f aca="true" t="shared" si="0" ref="J70:J82">IF(X70="","",X70)</f>
      </c>
      <c r="K70" s="27">
        <f>ROUND(I70+Y70,2)</f>
        <v>26.97</v>
      </c>
      <c r="L70" s="27">
        <f>(K70-I70)</f>
        <v>0</v>
      </c>
      <c r="N70" s="170">
        <f>L70/I70</f>
        <v>0</v>
      </c>
      <c r="P70">
        <f>IF($Q$7=1,TEXT(I70,"$0.00"),"")</f>
      </c>
      <c r="Q70">
        <f>IF($Q$7=1,TEXT(VALUE(K70),"$0.00"),"")</f>
      </c>
      <c r="R70" s="166" t="str">
        <f>IF($Q$7=2,TEXT(VALUE(K70),"$0.00"),"")</f>
        <v>$26.97</v>
      </c>
      <c r="X70" s="27"/>
      <c r="Y70" s="27">
        <f>SUM(X70:X70)</f>
        <v>0</v>
      </c>
    </row>
    <row r="71" spans="1:25" ht="15">
      <c r="A71" s="18">
        <v>11</v>
      </c>
      <c r="F71" s="5" t="str">
        <f>" with "&amp;TEXT($U71,"$0.00")&amp;" Lump-sum metering payment"</f>
        <v> with $0.00 Lump-sum metering payment</v>
      </c>
      <c r="I71" s="76"/>
      <c r="J71" s="75">
        <f t="shared" si="0"/>
      </c>
      <c r="K71" s="76"/>
      <c r="L71" s="81"/>
      <c r="N71" s="81"/>
      <c r="P71">
        <f>IF($Q$7=1,TEXT(I71,"$0.00"),"")</f>
      </c>
      <c r="U71" s="5">
        <v>0</v>
      </c>
      <c r="X71" s="76"/>
      <c r="Y71" s="76"/>
    </row>
    <row r="72" spans="1:25" ht="15">
      <c r="A72" s="18">
        <v>12</v>
      </c>
      <c r="D72" s="7"/>
      <c r="E72" s="7"/>
      <c r="F72" s="5" t="s">
        <v>234</v>
      </c>
      <c r="I72" s="75"/>
      <c r="J72" s="75">
        <f t="shared" si="0"/>
      </c>
      <c r="K72" s="75"/>
      <c r="L72" s="81"/>
      <c r="N72" s="81"/>
      <c r="X72" s="75"/>
      <c r="Y72" s="75"/>
    </row>
    <row r="73" spans="1:25" ht="15">
      <c r="A73" s="18">
        <v>13</v>
      </c>
      <c r="F73" s="7"/>
      <c r="I73" s="76"/>
      <c r="J73" s="76">
        <f t="shared" si="0"/>
      </c>
      <c r="K73" s="76"/>
      <c r="L73" s="81"/>
      <c r="N73" s="81"/>
      <c r="X73" s="76"/>
      <c r="Y73" s="76"/>
    </row>
    <row r="74" spans="1:25" ht="15">
      <c r="A74" s="18">
        <v>14</v>
      </c>
      <c r="F74" s="5" t="str">
        <f>" with "&amp;TEXT(U74,"$0.00")&amp;" Lump-sum metering payment"</f>
        <v> with $0.00 Lump-sum metering payment</v>
      </c>
      <c r="H74" s="7"/>
      <c r="I74" s="77">
        <v>20.24</v>
      </c>
      <c r="J74" s="51">
        <f t="shared" si="0"/>
      </c>
      <c r="K74" s="77">
        <f>I74+Y74</f>
        <v>20.24</v>
      </c>
      <c r="L74" s="27">
        <f>(K74-I71)</f>
        <v>20.24</v>
      </c>
      <c r="N74" s="27"/>
      <c r="Q74">
        <f>IF($Q$7=1,TEXT(VALUE(K74),"$0.00"),"")</f>
      </c>
      <c r="R74" s="166" t="str">
        <f>IF($Q$7=2,TEXT(VALUE(K74),"$0.00"),"")</f>
        <v>$20.24</v>
      </c>
      <c r="U74" s="5">
        <f>U71</f>
        <v>0</v>
      </c>
      <c r="X74" s="77"/>
      <c r="Y74" s="77">
        <f>SUM(X74:X74)</f>
        <v>0</v>
      </c>
    </row>
    <row r="75" spans="1:25" ht="15">
      <c r="A75" s="18">
        <v>15</v>
      </c>
      <c r="F75" s="5" t="s">
        <v>233</v>
      </c>
      <c r="I75" s="76"/>
      <c r="J75" s="76">
        <f t="shared" si="0"/>
      </c>
      <c r="K75" s="76"/>
      <c r="L75" s="81"/>
      <c r="N75" s="81"/>
      <c r="X75" s="76"/>
      <c r="Y75" s="76"/>
    </row>
    <row r="76" spans="1:25" ht="15">
      <c r="A76" s="18">
        <v>16</v>
      </c>
      <c r="I76" s="76"/>
      <c r="J76" s="76">
        <f t="shared" si="0"/>
      </c>
      <c r="K76" s="76"/>
      <c r="L76" s="81"/>
      <c r="N76" s="81"/>
      <c r="X76" s="76"/>
      <c r="Y76" s="76"/>
    </row>
    <row r="77" spans="1:25" ht="15">
      <c r="A77" s="18">
        <v>17</v>
      </c>
      <c r="F77" s="5" t="s">
        <v>39</v>
      </c>
      <c r="I77" s="27">
        <v>8.26</v>
      </c>
      <c r="J77" s="39">
        <f t="shared" si="0"/>
        <v>0.44</v>
      </c>
      <c r="K77" s="27">
        <f>ROUND(I77+Y77,2)</f>
        <v>8.7</v>
      </c>
      <c r="L77" s="27">
        <f>(K77-I77)</f>
        <v>0.4399999999999995</v>
      </c>
      <c r="N77" s="170">
        <f>L77/I77</f>
        <v>0.05326876513317185</v>
      </c>
      <c r="P77">
        <f>IF($Q$7=1,TEXT(I77,"$0.00"),"")</f>
      </c>
      <c r="Q77">
        <f>IF($Q$7=1,TEXT(VALUE(K77),"$0.00"),"")</f>
      </c>
      <c r="R77" s="166" t="str">
        <f>IF($Q$7=2,TEXT(VALUE(K77),"$0.00"),"")</f>
        <v>$8.70</v>
      </c>
      <c r="X77" s="27">
        <f>WCEC3!$K$12</f>
        <v>0.44</v>
      </c>
      <c r="Y77" s="27">
        <f>SUM(X77:X77)</f>
        <v>0.44</v>
      </c>
    </row>
    <row r="78" spans="1:25" ht="15">
      <c r="A78" s="18">
        <v>18</v>
      </c>
      <c r="I78" s="39"/>
      <c r="J78" s="39">
        <f t="shared" si="0"/>
      </c>
      <c r="K78" s="39"/>
      <c r="L78" s="81"/>
      <c r="N78" s="81"/>
      <c r="X78" s="39"/>
      <c r="Y78" s="39"/>
    </row>
    <row r="79" spans="1:14" ht="15">
      <c r="A79" s="18">
        <v>19</v>
      </c>
      <c r="F79" s="5" t="s">
        <v>18</v>
      </c>
      <c r="J79" s="5">
        <f t="shared" si="0"/>
      </c>
      <c r="L79" s="81"/>
      <c r="N79" s="81"/>
    </row>
    <row r="80" spans="1:25" ht="15">
      <c r="A80" s="18">
        <v>20</v>
      </c>
      <c r="D80" s="7"/>
      <c r="E80" s="7"/>
      <c r="F80" s="5" t="s">
        <v>23</v>
      </c>
      <c r="I80" s="38">
        <v>4.114</v>
      </c>
      <c r="J80" s="38">
        <f t="shared" si="0"/>
        <v>0</v>
      </c>
      <c r="K80" s="38">
        <f>I80+Y80</f>
        <v>4.114</v>
      </c>
      <c r="L80" s="32">
        <f>(K80-I80)</f>
        <v>0</v>
      </c>
      <c r="N80" s="170">
        <f>L80/I80</f>
        <v>0</v>
      </c>
      <c r="P80">
        <f>IF($Q$7=1,TEXT(I80,"0.000"),"")</f>
      </c>
      <c r="Q80">
        <f>IF($Q$7=1,TEXT(VALUE(K80),"0.000"),"")</f>
      </c>
      <c r="R80" s="166" t="str">
        <f>IF($Q$7=2,TEXT(VALUE(K80),"0.000"),"")</f>
        <v>4.114</v>
      </c>
      <c r="W80" s="12">
        <v>3</v>
      </c>
      <c r="X80" s="38">
        <f>WCEC3!J$12</f>
        <v>0</v>
      </c>
      <c r="Y80" s="38">
        <f>SUM(X80:X80)</f>
        <v>0</v>
      </c>
    </row>
    <row r="81" spans="1:25" ht="15">
      <c r="A81" s="18">
        <v>21</v>
      </c>
      <c r="D81" s="7"/>
      <c r="E81" s="7"/>
      <c r="F81" s="5" t="s">
        <v>24</v>
      </c>
      <c r="I81" s="38">
        <v>1.045</v>
      </c>
      <c r="J81" s="38">
        <f t="shared" si="0"/>
        <v>0</v>
      </c>
      <c r="K81" s="38">
        <f>I81+Y81</f>
        <v>1.045</v>
      </c>
      <c r="L81" s="32">
        <f>(K81-I81)</f>
        <v>0</v>
      </c>
      <c r="N81" s="170">
        <f>L81/I81</f>
        <v>0</v>
      </c>
      <c r="P81">
        <f>IF($Q$7=1,TEXT(I81,"0.000"),"")</f>
      </c>
      <c r="Q81">
        <f>IF($Q$7=1,TEXT(VALUE(K81),"0.000"),"")</f>
      </c>
      <c r="R81" s="166" t="str">
        <f>IF($Q$7=2,TEXT(VALUE(K81),"0.000"),"")</f>
        <v>1.045</v>
      </c>
      <c r="W81" s="12">
        <v>3</v>
      </c>
      <c r="X81" s="38">
        <f>WCEC3!J$12</f>
        <v>0</v>
      </c>
      <c r="Y81" s="38">
        <f>SUM(X81:X81)</f>
        <v>0</v>
      </c>
    </row>
    <row r="82" spans="1:25" ht="15">
      <c r="A82" s="18">
        <v>22</v>
      </c>
      <c r="D82" s="7"/>
      <c r="E82" s="7"/>
      <c r="F82" s="35"/>
      <c r="G82" s="47"/>
      <c r="H82" s="47"/>
      <c r="I82" s="33"/>
      <c r="J82" s="33">
        <f t="shared" si="0"/>
      </c>
      <c r="K82" s="33"/>
      <c r="L82" s="87"/>
      <c r="N82" s="87"/>
      <c r="P82">
        <v>149.55</v>
      </c>
      <c r="Q82" s="167">
        <f>21*K77+K70</f>
        <v>209.67</v>
      </c>
      <c r="R82" s="166" t="str">
        <f>IF($Q$7=2,TEXT(VALUE(Q82),"$0.00"),"")</f>
        <v>$209.67</v>
      </c>
      <c r="X82" s="33"/>
      <c r="Y82" s="33"/>
    </row>
    <row r="83" spans="1:25" ht="15">
      <c r="A83" s="18">
        <v>23</v>
      </c>
      <c r="F83" s="7"/>
      <c r="G83" s="7"/>
      <c r="H83" s="7"/>
      <c r="I83" s="7"/>
      <c r="J83" s="7"/>
      <c r="K83" s="7"/>
      <c r="L83" s="83"/>
      <c r="N83" s="83"/>
      <c r="X83" s="7"/>
      <c r="Y83" s="7"/>
    </row>
    <row r="84" spans="1:25" ht="15" thickBot="1">
      <c r="A84" s="18">
        <v>24</v>
      </c>
      <c r="D84" s="24" t="s">
        <v>40</v>
      </c>
      <c r="E84" s="24"/>
      <c r="F84" s="25" t="s">
        <v>41</v>
      </c>
      <c r="G84" s="25"/>
      <c r="H84" s="25"/>
      <c r="I84" s="25"/>
      <c r="J84" s="25"/>
      <c r="K84" s="25"/>
      <c r="L84" s="82"/>
      <c r="N84" s="82"/>
      <c r="X84" s="25"/>
      <c r="Y84" s="25"/>
    </row>
    <row r="85" spans="1:25" ht="15">
      <c r="A85" s="18">
        <v>25</v>
      </c>
      <c r="F85" s="5" t="s">
        <v>35</v>
      </c>
      <c r="I85" s="27">
        <v>61.83</v>
      </c>
      <c r="J85" s="39">
        <f>IF(X85="","",X85)</f>
      </c>
      <c r="K85" s="27">
        <f>ROUND(I85+Y85,2)</f>
        <v>61.83</v>
      </c>
      <c r="L85" s="39">
        <f>(K85-I85)</f>
        <v>0</v>
      </c>
      <c r="N85" s="170">
        <f>L85/I85</f>
        <v>0</v>
      </c>
      <c r="P85">
        <f>IF($Q$7=1,TEXT(I85,"$0.00"),"")</f>
      </c>
      <c r="Q85">
        <f>IF($Q$7=1,TEXT(VALUE(K85),"$0.00"),"")</f>
      </c>
      <c r="R85" s="166" t="str">
        <f>IF($Q$7=2,TEXT(VALUE(K85),"$0.00"),"")</f>
        <v>$61.83</v>
      </c>
      <c r="X85" s="27"/>
      <c r="Y85" s="27">
        <f>SUM(X85:X85)</f>
        <v>0</v>
      </c>
    </row>
    <row r="86" spans="1:25" ht="15">
      <c r="A86" s="18">
        <v>26</v>
      </c>
      <c r="I86" s="39"/>
      <c r="J86" s="39">
        <f>IF(X86="","",X86)</f>
      </c>
      <c r="K86" s="39"/>
      <c r="L86" s="39"/>
      <c r="N86" s="39"/>
      <c r="X86" s="39"/>
      <c r="Y86" s="39"/>
    </row>
    <row r="87" spans="1:25" ht="15">
      <c r="A87" s="18">
        <v>27</v>
      </c>
      <c r="F87" s="5" t="s">
        <v>36</v>
      </c>
      <c r="I87" s="27">
        <v>9.47</v>
      </c>
      <c r="J87" s="39">
        <f>IF(X87="","",X87)</f>
        <v>0.49</v>
      </c>
      <c r="K87" s="27">
        <f>ROUND(I87+Y87,2)</f>
        <v>9.96</v>
      </c>
      <c r="L87" s="39">
        <f>(K87-I87)</f>
        <v>0.4900000000000002</v>
      </c>
      <c r="N87" s="170">
        <f>L87/I87</f>
        <v>0.05174234424498418</v>
      </c>
      <c r="P87">
        <f>IF($Q$7=1,TEXT(I87,"$0.00"),"")</f>
      </c>
      <c r="Q87">
        <f>IF($Q$7=1,TEXT(VALUE(K87),"$0.00"),"")</f>
      </c>
      <c r="R87" s="166" t="str">
        <f>IF($Q$7=2,TEXT(VALUE(K87),"$0.00"),"")</f>
        <v>$9.96</v>
      </c>
      <c r="X87" s="27">
        <f>WCEC3!$K$13</f>
        <v>0.49</v>
      </c>
      <c r="Y87" s="27">
        <f>SUM(X87:X87)</f>
        <v>0.49</v>
      </c>
    </row>
    <row r="88" spans="1:25" ht="15">
      <c r="A88" s="18">
        <v>28</v>
      </c>
      <c r="I88" s="39"/>
      <c r="J88" s="39">
        <f>IF(X88="","",X88)</f>
      </c>
      <c r="K88" s="39"/>
      <c r="L88" s="39"/>
      <c r="N88" s="39"/>
      <c r="X88" s="39"/>
      <c r="Y88" s="39"/>
    </row>
    <row r="89" spans="1:25" ht="15">
      <c r="A89" s="18">
        <v>29</v>
      </c>
      <c r="F89" s="5" t="s">
        <v>18</v>
      </c>
      <c r="I89" s="50">
        <v>1.43</v>
      </c>
      <c r="J89" s="38">
        <f>IF(X89="","",X89)</f>
        <v>0</v>
      </c>
      <c r="K89" s="50">
        <f>I89+Y89</f>
        <v>1.43</v>
      </c>
      <c r="L89" s="50">
        <f>(K89-I89)</f>
        <v>0</v>
      </c>
      <c r="N89" s="170">
        <f>L89/I89</f>
        <v>0</v>
      </c>
      <c r="P89">
        <f>IF($Q$7=1,TEXT(I89,"0.000"),"")</f>
      </c>
      <c r="Q89">
        <f>IF($Q$7=1,TEXT(VALUE(K89),"0.000"),"")</f>
      </c>
      <c r="R89" s="166" t="str">
        <f>IF($Q$7=2,TEXT(VALUE(K89),"0.000"),"")</f>
        <v>1.430</v>
      </c>
      <c r="W89" s="12">
        <v>5</v>
      </c>
      <c r="X89" s="50">
        <f>WCEC3!J$13</f>
        <v>0</v>
      </c>
      <c r="Y89" s="50">
        <f>SUM(X89:X89)</f>
        <v>0</v>
      </c>
    </row>
    <row r="90" spans="1:18" ht="15">
      <c r="A90" s="18">
        <v>30</v>
      </c>
      <c r="L90" s="5"/>
      <c r="N90" s="5"/>
      <c r="P90">
        <f>I85+(500*I87)</f>
        <v>4796.83</v>
      </c>
      <c r="Q90">
        <f>K85+(K87*500)</f>
        <v>5041.83</v>
      </c>
      <c r="R90" s="166" t="str">
        <f>IF($Q$7=2,TEXT(VALUE(Q90),"$0,00.00"),"")</f>
        <v>$5,041.83</v>
      </c>
    </row>
    <row r="91" spans="1:14" ht="15">
      <c r="A91" s="18">
        <v>31</v>
      </c>
      <c r="L91" s="5"/>
      <c r="N91" s="5"/>
    </row>
    <row r="92" spans="1:25" ht="15" thickBot="1">
      <c r="A92" s="18">
        <v>32</v>
      </c>
      <c r="D92" s="24" t="s">
        <v>42</v>
      </c>
      <c r="E92" s="24"/>
      <c r="F92" s="25" t="s">
        <v>43</v>
      </c>
      <c r="G92" s="25"/>
      <c r="H92" s="25"/>
      <c r="I92" s="25"/>
      <c r="J92" s="25"/>
      <c r="K92" s="25"/>
      <c r="L92" s="25"/>
      <c r="N92" s="25"/>
      <c r="X92" s="25"/>
      <c r="Y92" s="25"/>
    </row>
    <row r="93" spans="1:25" ht="15">
      <c r="A93" s="18">
        <v>33</v>
      </c>
      <c r="F93" s="5" t="s">
        <v>35</v>
      </c>
      <c r="I93" s="27">
        <v>61.83</v>
      </c>
      <c r="J93" s="39">
        <f aca="true" t="shared" si="1" ref="J93:J99">IF(X93="","",X93)</f>
      </c>
      <c r="K93" s="27">
        <f>ROUND(I93+Y93,2)</f>
        <v>61.83</v>
      </c>
      <c r="L93" s="39">
        <f>(K93-I93)</f>
        <v>0</v>
      </c>
      <c r="N93" s="170">
        <f>L93/I93</f>
        <v>0</v>
      </c>
      <c r="P93">
        <f>IF($Q$7=1,TEXT(I93,"$0.00"),"")</f>
      </c>
      <c r="Q93">
        <f>IF($Q$7=1,TEXT(VALUE(K93),"$0.00"),"")</f>
      </c>
      <c r="R93" s="166" t="str">
        <f>IF($Q$7=2,TEXT(VALUE(K93),"$0.00"),"")</f>
        <v>$61.83</v>
      </c>
      <c r="X93" s="27"/>
      <c r="Y93" s="27">
        <f>SUM(X93:X93)</f>
        <v>0</v>
      </c>
    </row>
    <row r="94" spans="1:25" ht="15">
      <c r="A94" s="18">
        <v>34</v>
      </c>
      <c r="I94" s="39"/>
      <c r="J94" s="39">
        <f t="shared" si="1"/>
      </c>
      <c r="K94" s="39"/>
      <c r="L94" s="39"/>
      <c r="N94" s="39"/>
      <c r="X94" s="39"/>
      <c r="Y94" s="39"/>
    </row>
    <row r="95" spans="1:25" ht="15">
      <c r="A95" s="18">
        <v>35</v>
      </c>
      <c r="F95" s="5" t="s">
        <v>39</v>
      </c>
      <c r="I95" s="27">
        <v>9.47</v>
      </c>
      <c r="J95" s="39">
        <f t="shared" si="1"/>
        <v>0.49</v>
      </c>
      <c r="K95" s="27">
        <f>ROUND(I95+Y95,2)</f>
        <v>9.96</v>
      </c>
      <c r="L95" s="39">
        <f>(K95-I95)</f>
        <v>0.4900000000000002</v>
      </c>
      <c r="N95" s="170">
        <f>L95/I95</f>
        <v>0.05174234424498418</v>
      </c>
      <c r="P95">
        <f>IF($Q$7=1,TEXT(I95,"$0.00"),"")</f>
      </c>
      <c r="Q95">
        <f>IF($Q$7=1,TEXT(VALUE(K95),"$0.00"),"")</f>
      </c>
      <c r="R95" s="166" t="str">
        <f>IF($Q$7=2,TEXT(VALUE(K95),"$0.00"),"")</f>
        <v>$9.96</v>
      </c>
      <c r="X95" s="27">
        <f>WCEC3!$K$13</f>
        <v>0.49</v>
      </c>
      <c r="Y95" s="27">
        <f>SUM(X95:X95)</f>
        <v>0.49</v>
      </c>
    </row>
    <row r="96" spans="1:25" s="42" customFormat="1" ht="15">
      <c r="A96" s="18">
        <v>36</v>
      </c>
      <c r="B96" s="18"/>
      <c r="C96" s="18"/>
      <c r="D96" s="18"/>
      <c r="E96" s="18"/>
      <c r="F96" s="5"/>
      <c r="G96" s="5"/>
      <c r="H96" s="5"/>
      <c r="I96" s="39"/>
      <c r="J96" s="39">
        <f t="shared" si="1"/>
      </c>
      <c r="K96" s="39"/>
      <c r="L96" s="39"/>
      <c r="M96" s="5"/>
      <c r="N96" s="39"/>
      <c r="O96" s="5"/>
      <c r="P96"/>
      <c r="Q96"/>
      <c r="R96" s="166"/>
      <c r="S96" s="6"/>
      <c r="T96" s="6"/>
      <c r="U96" s="6"/>
      <c r="V96" s="6"/>
      <c r="W96" s="78"/>
      <c r="X96" s="39"/>
      <c r="Y96" s="39"/>
    </row>
    <row r="97" spans="1:25" s="42" customFormat="1" ht="15">
      <c r="A97" s="18">
        <v>37</v>
      </c>
      <c r="B97" s="3"/>
      <c r="C97" s="3"/>
      <c r="D97" s="18"/>
      <c r="E97" s="18"/>
      <c r="F97" s="5" t="s">
        <v>18</v>
      </c>
      <c r="G97" s="5"/>
      <c r="H97" s="5"/>
      <c r="I97" s="5"/>
      <c r="J97" s="5">
        <f t="shared" si="1"/>
      </c>
      <c r="K97" s="5"/>
      <c r="L97" s="5"/>
      <c r="M97" s="5"/>
      <c r="N97" s="5"/>
      <c r="O97" s="6"/>
      <c r="P97"/>
      <c r="Q97"/>
      <c r="R97" s="166"/>
      <c r="S97" s="6"/>
      <c r="T97" s="6"/>
      <c r="U97" s="6"/>
      <c r="V97" s="6"/>
      <c r="W97" s="78"/>
      <c r="X97" s="5"/>
      <c r="Y97" s="5"/>
    </row>
    <row r="98" spans="1:25" ht="15">
      <c r="A98" s="16">
        <v>38</v>
      </c>
      <c r="B98" s="3"/>
      <c r="C98" s="3"/>
      <c r="F98" s="5" t="s">
        <v>23</v>
      </c>
      <c r="I98" s="38">
        <v>2.38</v>
      </c>
      <c r="J98" s="38">
        <f t="shared" si="1"/>
        <v>0</v>
      </c>
      <c r="K98" s="38">
        <f>I98+Y98</f>
        <v>2.38</v>
      </c>
      <c r="L98" s="38">
        <f>(K98-I98)</f>
        <v>0</v>
      </c>
      <c r="M98" s="41"/>
      <c r="N98" s="170">
        <f>L98/I98</f>
        <v>0</v>
      </c>
      <c r="O98" s="6"/>
      <c r="P98">
        <f>IF($Q$7=1,TEXT(I98,"0.000"),"")</f>
      </c>
      <c r="Q98">
        <f>IF($Q$7=1,TEXT(VALUE(K98),"0.000"),"")</f>
      </c>
      <c r="R98" s="166" t="str">
        <f>IF($Q$7=2,TEXT(VALUE(K98),"0.000"),"")</f>
        <v>2.380</v>
      </c>
      <c r="W98" s="12">
        <v>5</v>
      </c>
      <c r="X98" s="38">
        <f>WCEC3!J$13</f>
        <v>0</v>
      </c>
      <c r="Y98" s="38">
        <f>SUM(X98:X98)</f>
        <v>0</v>
      </c>
    </row>
    <row r="99" spans="1:25" ht="15">
      <c r="A99" s="16">
        <v>39</v>
      </c>
      <c r="B99" s="3"/>
      <c r="C99" s="3"/>
      <c r="F99" s="5" t="s">
        <v>24</v>
      </c>
      <c r="I99" s="38">
        <v>1.035</v>
      </c>
      <c r="J99" s="38">
        <f t="shared" si="1"/>
        <v>0</v>
      </c>
      <c r="K99" s="38">
        <f>I99+Y99</f>
        <v>1.035</v>
      </c>
      <c r="L99" s="38">
        <f>(K99-I99)</f>
        <v>0</v>
      </c>
      <c r="M99" s="41"/>
      <c r="N99" s="170">
        <f>L99/I99</f>
        <v>0</v>
      </c>
      <c r="P99">
        <f>IF($Q$7=1,TEXT(I99,"0.000"),"")</f>
      </c>
      <c r="Q99">
        <f>IF($Q$7=1,TEXT(VALUE(K99),"0.000"),"")</f>
      </c>
      <c r="R99" s="166" t="str">
        <f>IF($Q$7=2,TEXT(VALUE(K99),"0.000"),"")</f>
        <v>1.035</v>
      </c>
      <c r="W99" s="12">
        <v>5</v>
      </c>
      <c r="X99" s="38">
        <f>WCEC3!J$13</f>
        <v>0</v>
      </c>
      <c r="Y99" s="38">
        <f>SUM(X99:X99)</f>
        <v>0</v>
      </c>
    </row>
    <row r="100" spans="1:18" ht="15">
      <c r="A100" s="16">
        <v>40</v>
      </c>
      <c r="B100" s="3"/>
      <c r="C100" s="3"/>
      <c r="L100" s="81"/>
      <c r="M100" s="41"/>
      <c r="N100" s="81"/>
      <c r="P100">
        <f>I93+(500*I95)</f>
        <v>4796.83</v>
      </c>
      <c r="Q100">
        <f>K93+(K95*500)</f>
        <v>5041.83</v>
      </c>
      <c r="R100" s="166" t="str">
        <f>IF($Q$7=2,TEXT(VALUE(Q100),"$0,00.00"),"")</f>
        <v>$5,041.83</v>
      </c>
    </row>
    <row r="101" spans="1:25" ht="15">
      <c r="A101" s="16">
        <v>41</v>
      </c>
      <c r="B101" s="3"/>
      <c r="C101" s="3"/>
      <c r="D101" s="41"/>
      <c r="E101" s="41"/>
      <c r="F101" s="41"/>
      <c r="G101" s="41"/>
      <c r="H101" s="41"/>
      <c r="I101" s="41"/>
      <c r="J101" s="41"/>
      <c r="K101" s="41"/>
      <c r="L101" s="84"/>
      <c r="M101" s="41"/>
      <c r="N101" s="84"/>
      <c r="X101" s="41"/>
      <c r="Y101" s="41"/>
    </row>
    <row r="102" spans="1:25" ht="15">
      <c r="A102" s="16">
        <v>42</v>
      </c>
      <c r="B102" s="3"/>
      <c r="C102" s="3"/>
      <c r="D102" s="41"/>
      <c r="E102" s="41"/>
      <c r="F102" s="41"/>
      <c r="G102" s="41"/>
      <c r="H102" s="41"/>
      <c r="I102" s="41"/>
      <c r="J102" s="41"/>
      <c r="K102" s="41"/>
      <c r="L102" s="84"/>
      <c r="M102" s="41"/>
      <c r="N102" s="84"/>
      <c r="X102" s="41"/>
      <c r="Y102" s="41"/>
    </row>
    <row r="103" spans="1:25" ht="15">
      <c r="A103" s="3"/>
      <c r="B103" s="3"/>
      <c r="C103" s="43"/>
      <c r="D103" s="41"/>
      <c r="E103" s="41"/>
      <c r="F103" s="41"/>
      <c r="G103" s="41"/>
      <c r="H103" s="41"/>
      <c r="I103" s="41"/>
      <c r="J103" s="41"/>
      <c r="K103" s="41"/>
      <c r="L103" s="84"/>
      <c r="M103" s="41"/>
      <c r="N103" s="84"/>
      <c r="X103" s="41"/>
      <c r="Y103" s="41"/>
    </row>
    <row r="104" spans="1:25" ht="15" thickBot="1">
      <c r="A104" s="16"/>
      <c r="B104" s="3"/>
      <c r="C104" s="3"/>
      <c r="D104" s="41"/>
      <c r="E104" s="41"/>
      <c r="F104" s="41"/>
      <c r="G104" s="41"/>
      <c r="H104" s="41"/>
      <c r="I104" s="41"/>
      <c r="J104" s="41"/>
      <c r="K104" s="41"/>
      <c r="L104" s="84"/>
      <c r="M104" s="41"/>
      <c r="N104" s="84"/>
      <c r="O104" s="41"/>
      <c r="X104" s="41"/>
      <c r="Y104" s="41"/>
    </row>
    <row r="105" spans="1:25" ht="15">
      <c r="A105" s="45" t="s">
        <v>31</v>
      </c>
      <c r="B105" s="14"/>
      <c r="C105" s="14"/>
      <c r="D105" s="45"/>
      <c r="E105" s="45"/>
      <c r="F105" s="45"/>
      <c r="G105" s="45"/>
      <c r="H105" s="45"/>
      <c r="I105" s="45"/>
      <c r="J105" s="45"/>
      <c r="K105" s="45" t="s">
        <v>32</v>
      </c>
      <c r="L105" s="85"/>
      <c r="M105" s="45"/>
      <c r="N105" s="85"/>
      <c r="O105" s="1"/>
      <c r="X105" s="45"/>
      <c r="Y105" s="45"/>
    </row>
    <row r="106" spans="1:25" ht="15" thickBot="1">
      <c r="A106" s="18">
        <v>1</v>
      </c>
      <c r="D106" s="24" t="s">
        <v>44</v>
      </c>
      <c r="E106" s="24"/>
      <c r="F106" s="25" t="s">
        <v>45</v>
      </c>
      <c r="G106" s="25"/>
      <c r="H106" s="25"/>
      <c r="I106" s="25"/>
      <c r="J106" s="25"/>
      <c r="K106" s="25"/>
      <c r="L106" s="82"/>
      <c r="M106" s="7"/>
      <c r="N106" s="82"/>
      <c r="X106" s="25"/>
      <c r="Y106" s="25"/>
    </row>
    <row r="107" spans="1:25" ht="15">
      <c r="A107" s="18">
        <v>2</v>
      </c>
      <c r="F107" s="5" t="s">
        <v>35</v>
      </c>
      <c r="I107" s="27">
        <v>89.93</v>
      </c>
      <c r="J107" s="39">
        <f>IF(X107="","",X107)</f>
      </c>
      <c r="K107" s="27">
        <f>ROUND(I107+Y107,2)</f>
        <v>89.93</v>
      </c>
      <c r="L107" s="39">
        <f>(K107-I107)</f>
        <v>0</v>
      </c>
      <c r="N107" s="170">
        <f>L107/I107</f>
        <v>0</v>
      </c>
      <c r="P107">
        <f>IF($Q$7=1,TEXT(I107,"$0.00"),"")</f>
      </c>
      <c r="Q107">
        <f>IF($Q$7=1,TEXT(VALUE(K107),"$0.00"),"")</f>
      </c>
      <c r="R107" s="166" t="str">
        <f>IF($Q$7=2,TEXT(VALUE(K107),"$0.00"),"")</f>
        <v>$89.93</v>
      </c>
      <c r="X107" s="27"/>
      <c r="Y107" s="27">
        <f>SUM(X107:X107)</f>
        <v>0</v>
      </c>
    </row>
    <row r="108" spans="1:25" ht="15">
      <c r="A108" s="18">
        <v>3</v>
      </c>
      <c r="I108" s="39"/>
      <c r="J108" s="39"/>
      <c r="K108" s="39"/>
      <c r="L108" s="39"/>
      <c r="N108" s="39"/>
      <c r="X108" s="39"/>
      <c r="Y108" s="39"/>
    </row>
    <row r="109" spans="1:25" ht="15">
      <c r="A109" s="18">
        <v>4</v>
      </c>
      <c r="F109" s="5" t="s">
        <v>36</v>
      </c>
      <c r="I109" s="27">
        <v>9.47</v>
      </c>
      <c r="J109" s="39">
        <f aca="true" t="shared" si="2" ref="J109:J118">IF(X109="","",X109)</f>
        <v>0.49</v>
      </c>
      <c r="K109" s="27">
        <f>ROUND(I109+Y109,2)</f>
        <v>9.96</v>
      </c>
      <c r="L109" s="39">
        <f>(K109-I109)</f>
        <v>0.4900000000000002</v>
      </c>
      <c r="N109" s="170">
        <f>L109/I109</f>
        <v>0.05174234424498418</v>
      </c>
      <c r="P109">
        <f>IF($Q$7=1,TEXT(I109,"$0.00"),"")</f>
      </c>
      <c r="Q109">
        <f>IF($Q$7=1,TEXT(VALUE(K109),"$0.00"),"")</f>
      </c>
      <c r="R109" s="166" t="str">
        <f>IF($Q$7=2,TEXT(VALUE(K109),"$0.00"),"")</f>
        <v>$9.96</v>
      </c>
      <c r="X109" s="27">
        <f>WCEC3!$K$13</f>
        <v>0.49</v>
      </c>
      <c r="Y109" s="27">
        <f>SUM(X109:X109)</f>
        <v>0.49</v>
      </c>
    </row>
    <row r="110" spans="1:14" ht="15">
      <c r="A110" s="18">
        <v>5</v>
      </c>
      <c r="J110" s="5">
        <f t="shared" si="2"/>
      </c>
      <c r="L110" s="5"/>
      <c r="N110" s="5"/>
    </row>
    <row r="111" spans="1:25" ht="15">
      <c r="A111" s="18">
        <v>6</v>
      </c>
      <c r="F111" s="5" t="s">
        <v>18</v>
      </c>
      <c r="I111" s="38">
        <v>1.43</v>
      </c>
      <c r="J111" s="38">
        <f t="shared" si="2"/>
        <v>0</v>
      </c>
      <c r="K111" s="38">
        <f>I111+Y111</f>
        <v>1.43</v>
      </c>
      <c r="L111" s="38">
        <f>(K111-I111)</f>
        <v>0</v>
      </c>
      <c r="N111" s="170">
        <f>L111/I111</f>
        <v>0</v>
      </c>
      <c r="P111">
        <f>IF($Q$7=1,TEXT(I111,"0.000"),"")</f>
      </c>
      <c r="Q111">
        <f>IF($Q$7=1,TEXT(VALUE(K111),"0.000"),"")</f>
      </c>
      <c r="R111" s="166" t="str">
        <f>IF($Q$7=2,TEXT(VALUE(K111),"0.000"),"")</f>
        <v>1.430</v>
      </c>
      <c r="W111" s="12">
        <v>5</v>
      </c>
      <c r="X111" s="38">
        <f>WCEC3!J$13</f>
        <v>0</v>
      </c>
      <c r="Y111" s="38">
        <f>SUM(X111:X111)</f>
        <v>0</v>
      </c>
    </row>
    <row r="112" spans="1:14" ht="15">
      <c r="A112" s="18">
        <v>7</v>
      </c>
      <c r="J112" s="5">
        <f t="shared" si="2"/>
      </c>
      <c r="L112" s="5"/>
      <c r="N112" s="5"/>
    </row>
    <row r="113" spans="1:25" ht="15">
      <c r="A113" s="18">
        <v>8</v>
      </c>
      <c r="F113" s="5" t="s">
        <v>46</v>
      </c>
      <c r="I113" s="39">
        <v>-1.93</v>
      </c>
      <c r="J113" s="39">
        <f t="shared" si="2"/>
      </c>
      <c r="K113" s="39">
        <f>ROUND(I113+Y113,2)</f>
        <v>-1.93</v>
      </c>
      <c r="L113" s="39">
        <f>(K113-I113)</f>
        <v>0</v>
      </c>
      <c r="N113" s="170">
        <f>L113/I113</f>
        <v>0</v>
      </c>
      <c r="P113">
        <f>IF($Q$7=1,TEXT(I113,"$0.00"),"")</f>
      </c>
      <c r="Q113">
        <f>IF($Q$7=1,TEXT(VALUE(K113),"$0.00"),"")</f>
      </c>
      <c r="R113" s="166" t="str">
        <f>IF($Q$7=2,TEXT(VALUE(-K113),"$0.00"),"")</f>
        <v>$1.93</v>
      </c>
      <c r="X113" s="39"/>
      <c r="Y113" s="39">
        <f>SUM(X113:X113)</f>
        <v>0</v>
      </c>
    </row>
    <row r="114" spans="1:25" ht="15">
      <c r="A114" s="18">
        <v>9</v>
      </c>
      <c r="J114" s="5">
        <f t="shared" si="2"/>
      </c>
      <c r="L114" s="5"/>
      <c r="N114" s="5"/>
      <c r="P114">
        <f>I107+(500*I109)</f>
        <v>4824.93</v>
      </c>
      <c r="Q114">
        <f>K107+(500*K109)</f>
        <v>5069.93</v>
      </c>
      <c r="R114" s="166" t="str">
        <f>IF($Q$7=2,TEXT(VALUE(Q114),"$0,000.00"),"")</f>
        <v>$5,069.93</v>
      </c>
      <c r="Y114" s="5">
        <f>SUM(X114:X114)</f>
        <v>0</v>
      </c>
    </row>
    <row r="115" spans="1:14" ht="15">
      <c r="A115" s="18">
        <v>10</v>
      </c>
      <c r="F115" s="5" t="s">
        <v>47</v>
      </c>
      <c r="J115" s="5">
        <f t="shared" si="2"/>
      </c>
      <c r="L115" s="5"/>
      <c r="N115" s="5"/>
    </row>
    <row r="116" spans="1:25" ht="15">
      <c r="A116" s="18">
        <v>11</v>
      </c>
      <c r="F116" s="51" t="s">
        <v>274</v>
      </c>
      <c r="I116" s="39">
        <v>1.93</v>
      </c>
      <c r="J116" s="39">
        <f t="shared" si="2"/>
      </c>
      <c r="K116" s="39">
        <f>I116+Y116</f>
        <v>1.93</v>
      </c>
      <c r="L116" s="39">
        <f>(K116-I116)</f>
        <v>0</v>
      </c>
      <c r="N116" s="170">
        <f>L116/I116</f>
        <v>0</v>
      </c>
      <c r="P116">
        <f>IF($Q$7=1,TEXT(I116,"$0.00"),"")</f>
      </c>
      <c r="Q116">
        <f>IF($Q$7=1,TEXT(VALUE(K116),"$0.00"),"")</f>
      </c>
      <c r="R116" s="166" t="str">
        <f>IF($Q$7=2,TEXT(VALUE(K116),"$0.00"),"")</f>
        <v>$1.93</v>
      </c>
      <c r="X116" s="39"/>
      <c r="Y116" s="39">
        <f>SUM(X116:X116)</f>
        <v>0</v>
      </c>
    </row>
    <row r="117" spans="1:25" ht="15">
      <c r="A117" s="18">
        <v>12</v>
      </c>
      <c r="F117" s="5" t="s">
        <v>49</v>
      </c>
      <c r="I117" s="39">
        <v>4.16</v>
      </c>
      <c r="J117" s="39">
        <f t="shared" si="2"/>
      </c>
      <c r="K117" s="39">
        <f>I117+Y117</f>
        <v>4.16</v>
      </c>
      <c r="L117" s="39">
        <f>(K117-I117)</f>
        <v>0</v>
      </c>
      <c r="N117" s="170">
        <f>L117/I117</f>
        <v>0</v>
      </c>
      <c r="P117">
        <f>IF($Q$7=1,TEXT(I117,"$0.00"),"")</f>
      </c>
      <c r="Q117">
        <f>IF($Q$7=1,TEXT(VALUE(K117),"$0.00"),"")</f>
      </c>
      <c r="R117" s="166" t="str">
        <f>IF($Q$7=2,TEXT(VALUE(K117),"$0.00"),"")</f>
        <v>$4.16</v>
      </c>
      <c r="X117" s="39"/>
      <c r="Y117" s="39">
        <f>SUM(X117:X117)</f>
        <v>0</v>
      </c>
    </row>
    <row r="118" spans="1:25" ht="15">
      <c r="A118" s="18">
        <v>13</v>
      </c>
      <c r="F118" s="5" t="s">
        <v>50</v>
      </c>
      <c r="I118" s="39">
        <v>1.23</v>
      </c>
      <c r="J118" s="39">
        <f t="shared" si="2"/>
      </c>
      <c r="K118" s="39">
        <f>I118+Y118</f>
        <v>1.23</v>
      </c>
      <c r="L118" s="39">
        <f>(K118-I118)</f>
        <v>0</v>
      </c>
      <c r="N118" s="170">
        <f>L118/I118</f>
        <v>0</v>
      </c>
      <c r="X118" s="39"/>
      <c r="Y118" s="39">
        <f>SUM(X118:X118)</f>
        <v>0</v>
      </c>
    </row>
    <row r="119" spans="1:25" ht="15">
      <c r="A119" s="18">
        <v>14</v>
      </c>
      <c r="I119" s="39"/>
      <c r="J119" s="39"/>
      <c r="K119" s="39"/>
      <c r="L119" s="81"/>
      <c r="N119" s="81"/>
      <c r="X119" s="39"/>
      <c r="Y119" s="39"/>
    </row>
    <row r="120" spans="1:25" ht="15" thickBot="1">
      <c r="A120" s="18">
        <v>15</v>
      </c>
      <c r="D120" s="24" t="s">
        <v>51</v>
      </c>
      <c r="E120" s="24"/>
      <c r="F120" s="25" t="s">
        <v>52</v>
      </c>
      <c r="G120" s="25"/>
      <c r="H120" s="25"/>
      <c r="I120" s="25"/>
      <c r="J120" s="25"/>
      <c r="K120" s="25"/>
      <c r="L120" s="82"/>
      <c r="N120" s="82"/>
      <c r="X120" s="25"/>
      <c r="Y120" s="25"/>
    </row>
    <row r="121" spans="1:25" ht="15">
      <c r="A121" s="18">
        <v>16</v>
      </c>
      <c r="F121" s="5" t="s">
        <v>35</v>
      </c>
      <c r="I121" s="39">
        <v>89.93</v>
      </c>
      <c r="J121" s="39">
        <f aca="true" t="shared" si="3" ref="J121:J134">IF(X121="","",X121)</f>
      </c>
      <c r="K121" s="39">
        <f>I121+Y121</f>
        <v>89.93</v>
      </c>
      <c r="L121" s="39">
        <f>(K121-I121)</f>
        <v>0</v>
      </c>
      <c r="N121" s="170">
        <f>L121/I121</f>
        <v>0</v>
      </c>
      <c r="P121">
        <f>IF($Q$7=1,TEXT(I121,"$0.00"),"")</f>
      </c>
      <c r="Q121">
        <f>IF($Q$7=1,TEXT(VALUE(K121),"$0.00"),"")</f>
      </c>
      <c r="R121" s="166" t="str">
        <f>IF($Q$7=2,TEXT(VALUE(K121),"$0.00"),"")</f>
        <v>$89.93</v>
      </c>
      <c r="X121" s="39"/>
      <c r="Y121" s="39">
        <f>SUM(X121:X121)</f>
        <v>0</v>
      </c>
    </row>
    <row r="122" spans="1:25" ht="15">
      <c r="A122" s="18">
        <v>17</v>
      </c>
      <c r="I122" s="39"/>
      <c r="J122" s="39">
        <f t="shared" si="3"/>
      </c>
      <c r="K122" s="39"/>
      <c r="L122" s="39"/>
      <c r="N122" s="39"/>
      <c r="X122" s="39"/>
      <c r="Y122" s="39"/>
    </row>
    <row r="123" spans="1:25" ht="15">
      <c r="A123" s="18">
        <v>18</v>
      </c>
      <c r="F123" s="5" t="s">
        <v>39</v>
      </c>
      <c r="I123" s="39">
        <v>9.47</v>
      </c>
      <c r="J123" s="39">
        <f t="shared" si="3"/>
        <v>0.49</v>
      </c>
      <c r="K123" s="39">
        <f>I123+Y123</f>
        <v>9.96</v>
      </c>
      <c r="L123" s="39">
        <f>(K123-I123)</f>
        <v>0.4900000000000002</v>
      </c>
      <c r="N123" s="170">
        <f>L123/I123</f>
        <v>0.05174234424498418</v>
      </c>
      <c r="P123">
        <f>IF($Q$7=1,TEXT(I123,"$0.00"),"")</f>
      </c>
      <c r="Q123">
        <f>IF($Q$7=1,TEXT(VALUE(K123),"$0.00"),"")</f>
      </c>
      <c r="R123" s="166" t="str">
        <f>IF($Q$7=2,TEXT(VALUE(K123),"$0.00"),"")</f>
        <v>$9.96</v>
      </c>
      <c r="X123" s="27">
        <f>WCEC3!$K$13</f>
        <v>0.49</v>
      </c>
      <c r="Y123" s="39">
        <f>SUM(X123:X123)</f>
        <v>0.49</v>
      </c>
    </row>
    <row r="124" spans="1:25" ht="15">
      <c r="A124" s="18">
        <v>19</v>
      </c>
      <c r="I124" s="39"/>
      <c r="J124" s="39">
        <f t="shared" si="3"/>
      </c>
      <c r="K124" s="39"/>
      <c r="L124" s="39"/>
      <c r="N124" s="39"/>
      <c r="X124" s="39"/>
      <c r="Y124" s="39"/>
    </row>
    <row r="125" spans="1:14" ht="15">
      <c r="A125" s="18">
        <v>20</v>
      </c>
      <c r="F125" s="5" t="s">
        <v>18</v>
      </c>
      <c r="J125" s="5">
        <f t="shared" si="3"/>
      </c>
      <c r="L125" s="5"/>
      <c r="N125" s="5"/>
    </row>
    <row r="126" spans="1:25" ht="15">
      <c r="A126" s="18">
        <v>21</v>
      </c>
      <c r="F126" s="5" t="s">
        <v>23</v>
      </c>
      <c r="I126" s="38">
        <v>2.38</v>
      </c>
      <c r="J126" s="38">
        <f t="shared" si="3"/>
        <v>0</v>
      </c>
      <c r="K126" s="38">
        <f>I126+Y126</f>
        <v>2.38</v>
      </c>
      <c r="L126" s="38">
        <f>(K126-I126)</f>
        <v>0</v>
      </c>
      <c r="N126" s="170">
        <f>L126/I126</f>
        <v>0</v>
      </c>
      <c r="P126">
        <f>IF($Q$7=1,TEXT(I126,"0.000"),"")</f>
      </c>
      <c r="Q126">
        <f>IF($Q$7=1,TEXT(VALUE(K126),"0.000"),"")</f>
      </c>
      <c r="R126" s="166" t="str">
        <f>IF($Q$7=2,TEXT(VALUE(K126),"0.000"),"")</f>
        <v>2.380</v>
      </c>
      <c r="W126" s="12">
        <v>5</v>
      </c>
      <c r="X126" s="38">
        <f>WCEC3!J$13</f>
        <v>0</v>
      </c>
      <c r="Y126" s="38">
        <f>SUM(X126:X126)</f>
        <v>0</v>
      </c>
    </row>
    <row r="127" spans="1:25" ht="15">
      <c r="A127" s="18">
        <v>22</v>
      </c>
      <c r="F127" s="5" t="s">
        <v>24</v>
      </c>
      <c r="I127" s="38">
        <v>1.035</v>
      </c>
      <c r="J127" s="38">
        <f t="shared" si="3"/>
        <v>0</v>
      </c>
      <c r="K127" s="38">
        <f>I127+Y127</f>
        <v>1.035</v>
      </c>
      <c r="L127" s="38">
        <f>(K127-I127)</f>
        <v>0</v>
      </c>
      <c r="N127" s="170">
        <f>L127/I127</f>
        <v>0</v>
      </c>
      <c r="P127">
        <f>IF($Q$7=1,TEXT(I127,"0.000"),"")</f>
      </c>
      <c r="Q127">
        <f>IF($Q$7=1,TEXT(VALUE(K127),"0.000"),"")</f>
      </c>
      <c r="R127" s="166" t="str">
        <f>IF($Q$7=2,TEXT(VALUE(K127),"0.000"),"")</f>
        <v>1.035</v>
      </c>
      <c r="W127" s="12">
        <v>5</v>
      </c>
      <c r="X127" s="38">
        <f>WCEC3!J$13</f>
        <v>0</v>
      </c>
      <c r="Y127" s="38">
        <f>SUM(X127:X127)</f>
        <v>0</v>
      </c>
    </row>
    <row r="128" spans="1:25" ht="15">
      <c r="A128" s="18">
        <v>23</v>
      </c>
      <c r="I128" s="50"/>
      <c r="J128" s="50">
        <f t="shared" si="3"/>
      </c>
      <c r="K128" s="50"/>
      <c r="L128" s="50"/>
      <c r="N128" s="50"/>
      <c r="X128" s="50"/>
      <c r="Y128" s="50"/>
    </row>
    <row r="129" spans="1:25" ht="15">
      <c r="A129" s="18">
        <v>24</v>
      </c>
      <c r="F129" s="5" t="s">
        <v>53</v>
      </c>
      <c r="I129" s="39">
        <v>-1.93</v>
      </c>
      <c r="J129" s="39">
        <f t="shared" si="3"/>
      </c>
      <c r="K129" s="39">
        <f>I129+Y129</f>
        <v>-1.93</v>
      </c>
      <c r="L129" s="39">
        <f>(K129-I129)</f>
        <v>0</v>
      </c>
      <c r="N129" s="170">
        <f>L129/I129</f>
        <v>0</v>
      </c>
      <c r="P129">
        <f>IF($Q$7=1,TEXT(I129,"$0.00"),"")</f>
      </c>
      <c r="Q129">
        <f>IF($Q$7=1,TEXT(VALUE(K129),"$0.00"),"")</f>
      </c>
      <c r="R129" s="166" t="str">
        <f>IF($Q$7=2,TEXT(VALUE(-K129),"$0.00"),"")</f>
        <v>$1.93</v>
      </c>
      <c r="X129" s="39"/>
      <c r="Y129" s="39">
        <f>SUM(X129:X129)</f>
        <v>0</v>
      </c>
    </row>
    <row r="130" spans="1:25" ht="15">
      <c r="A130" s="18">
        <v>25</v>
      </c>
      <c r="I130" s="39"/>
      <c r="J130" s="39">
        <f t="shared" si="3"/>
      </c>
      <c r="K130" s="39"/>
      <c r="L130" s="39"/>
      <c r="N130" s="39"/>
      <c r="P130">
        <f>I121+(500*I123)</f>
        <v>4824.93</v>
      </c>
      <c r="Q130">
        <f>K121+(500*K123)</f>
        <v>5069.93</v>
      </c>
      <c r="R130" s="166" t="str">
        <f>IF($Q$7=2,TEXT(VALUE(Q130),"$0,000.00"),"")</f>
        <v>$5,069.93</v>
      </c>
      <c r="X130" s="39"/>
      <c r="Y130" s="39"/>
    </row>
    <row r="131" spans="1:14" ht="15">
      <c r="A131" s="18">
        <v>26</v>
      </c>
      <c r="F131" s="5" t="s">
        <v>47</v>
      </c>
      <c r="J131" s="5">
        <f t="shared" si="3"/>
      </c>
      <c r="L131" s="5"/>
      <c r="N131" s="5"/>
    </row>
    <row r="132" spans="1:25" ht="15">
      <c r="A132" s="18">
        <v>27</v>
      </c>
      <c r="F132" s="51" t="s">
        <v>274</v>
      </c>
      <c r="I132" s="39">
        <v>1.93</v>
      </c>
      <c r="J132" s="39">
        <f t="shared" si="3"/>
      </c>
      <c r="K132" s="39">
        <f>I132+Y132</f>
        <v>1.93</v>
      </c>
      <c r="L132" s="39">
        <f>(K132-I132)</f>
        <v>0</v>
      </c>
      <c r="N132" s="170">
        <f>L132/I132</f>
        <v>0</v>
      </c>
      <c r="P132">
        <f>IF($Q$7=1,TEXT(I132,"$0.00"),"")</f>
      </c>
      <c r="Q132">
        <f>IF($Q$7=1,TEXT(VALUE(K132),"$0.00"),"")</f>
      </c>
      <c r="R132" s="166" t="str">
        <f>IF($Q$7=2,TEXT(VALUE(K132),"$0.00"),"")</f>
        <v>$1.93</v>
      </c>
      <c r="X132" s="39"/>
      <c r="Y132" s="39">
        <f>SUM(X132:X132)</f>
        <v>0</v>
      </c>
    </row>
    <row r="133" spans="1:25" ht="15">
      <c r="A133" s="18">
        <v>28</v>
      </c>
      <c r="F133" s="5" t="s">
        <v>49</v>
      </c>
      <c r="I133" s="39">
        <v>4.16</v>
      </c>
      <c r="J133" s="39">
        <f t="shared" si="3"/>
      </c>
      <c r="K133" s="39">
        <f>I133+Y133</f>
        <v>4.16</v>
      </c>
      <c r="L133" s="39">
        <f>(K133-I133)</f>
        <v>0</v>
      </c>
      <c r="N133" s="170">
        <f>L133/I133</f>
        <v>0</v>
      </c>
      <c r="P133">
        <f>IF($Q$7=1,TEXT(I133,"$0.00"),"")</f>
      </c>
      <c r="Q133">
        <f>IF($Q$7=1,TEXT(VALUE(K133),"$0.00"),"")</f>
      </c>
      <c r="R133" s="166" t="str">
        <f>IF($Q$7=2,TEXT(VALUE(K133),"$0.00"),"")</f>
        <v>$4.16</v>
      </c>
      <c r="X133" s="39"/>
      <c r="Y133" s="39">
        <f>SUM(X133:X133)</f>
        <v>0</v>
      </c>
    </row>
    <row r="134" spans="1:25" ht="15">
      <c r="A134" s="18">
        <v>29</v>
      </c>
      <c r="F134" s="5" t="s">
        <v>50</v>
      </c>
      <c r="I134" s="39">
        <v>1.23</v>
      </c>
      <c r="J134" s="39">
        <f t="shared" si="3"/>
      </c>
      <c r="K134" s="39">
        <f>I134+Y134</f>
        <v>1.23</v>
      </c>
      <c r="L134" s="39">
        <f>(K134-I134)</f>
        <v>0</v>
      </c>
      <c r="N134" s="170">
        <f>L134/I134</f>
        <v>0</v>
      </c>
      <c r="X134" s="39"/>
      <c r="Y134" s="39">
        <f>SUM(X134:X134)</f>
        <v>0</v>
      </c>
    </row>
    <row r="135" spans="1:14" ht="15">
      <c r="A135" s="18">
        <v>30</v>
      </c>
      <c r="L135" s="81"/>
      <c r="N135" s="81"/>
    </row>
    <row r="136" spans="1:25" ht="15" thickBot="1">
      <c r="A136" s="18">
        <v>31</v>
      </c>
      <c r="D136" s="24" t="s">
        <v>54</v>
      </c>
      <c r="E136" s="24"/>
      <c r="F136" s="25" t="s">
        <v>55</v>
      </c>
      <c r="G136" s="25"/>
      <c r="H136" s="25"/>
      <c r="I136" s="25"/>
      <c r="J136" s="25"/>
      <c r="K136" s="25"/>
      <c r="L136" s="82"/>
      <c r="N136" s="82"/>
      <c r="X136" s="25"/>
      <c r="Y136" s="25"/>
    </row>
    <row r="137" spans="1:25" ht="15">
      <c r="A137" s="18">
        <v>32</v>
      </c>
      <c r="F137" s="5" t="s">
        <v>35</v>
      </c>
      <c r="I137" s="39">
        <v>219.22</v>
      </c>
      <c r="J137" s="39">
        <f>IF(X137="","",X137)</f>
      </c>
      <c r="K137" s="39">
        <f>I137+Y137</f>
        <v>219.22</v>
      </c>
      <c r="L137" s="39">
        <f>(K137-I137)</f>
        <v>0</v>
      </c>
      <c r="N137" s="170">
        <f>L137/I137</f>
        <v>0</v>
      </c>
      <c r="P137">
        <f>IF($Q$7=1,TEXT(I137,"$0.00"),"")</f>
      </c>
      <c r="Q137">
        <f>IF($Q$7=1,TEXT(VALUE(K137),"$0.00"),"")</f>
      </c>
      <c r="R137" s="166" t="str">
        <f>IF($Q$7=2,TEXT(VALUE(K137),"$0.00"),"")</f>
        <v>$219.22</v>
      </c>
      <c r="X137" s="39"/>
      <c r="Y137" s="39">
        <f>SUM(X137:X137)</f>
        <v>0</v>
      </c>
    </row>
    <row r="138" spans="1:25" ht="15">
      <c r="A138" s="18">
        <v>33</v>
      </c>
      <c r="I138" s="39"/>
      <c r="J138" s="39">
        <f>IF(X138="","",X138)</f>
      </c>
      <c r="K138" s="39"/>
      <c r="L138" s="39"/>
      <c r="N138" s="39"/>
      <c r="X138" s="39"/>
      <c r="Y138" s="39"/>
    </row>
    <row r="139" spans="1:25" ht="15">
      <c r="A139" s="18">
        <v>34</v>
      </c>
      <c r="F139" s="5" t="s">
        <v>36</v>
      </c>
      <c r="I139" s="39">
        <v>9.8</v>
      </c>
      <c r="J139" s="39">
        <f>IF(X139="","",X139)</f>
        <v>0.48</v>
      </c>
      <c r="K139" s="39">
        <f>I139+Y139</f>
        <v>10.280000000000001</v>
      </c>
      <c r="L139" s="39">
        <f>(K139-I139)</f>
        <v>0.4800000000000004</v>
      </c>
      <c r="N139" s="170">
        <f>L139/I139</f>
        <v>0.04897959183673473</v>
      </c>
      <c r="P139">
        <f>IF($Q$7=1,TEXT(I139,"$0.00"),"")</f>
      </c>
      <c r="Q139">
        <f>IF($Q$7=1,TEXT(VALUE(K139),"$0.00"),"")</f>
      </c>
      <c r="R139" s="166" t="str">
        <f>IF($Q$7=2,TEXT(VALUE(K139),"$0.00"),"")</f>
        <v>$10.28</v>
      </c>
      <c r="X139" s="39">
        <f>WCEC3!$K$14</f>
        <v>0.48</v>
      </c>
      <c r="Y139" s="39">
        <f>SUM(X139:X139)</f>
        <v>0.48</v>
      </c>
    </row>
    <row r="140" spans="1:14" ht="15">
      <c r="A140" s="18">
        <v>35</v>
      </c>
      <c r="J140" s="5">
        <f>IF(X140="","",X140)</f>
      </c>
      <c r="L140" s="5"/>
      <c r="N140" s="5"/>
    </row>
    <row r="141" spans="1:25" ht="15">
      <c r="A141" s="18">
        <v>36</v>
      </c>
      <c r="F141" s="5" t="s">
        <v>18</v>
      </c>
      <c r="I141" s="50">
        <v>1.287</v>
      </c>
      <c r="J141" s="38">
        <f>IF(X141="","",X141)</f>
        <v>0</v>
      </c>
      <c r="K141" s="50">
        <f>I141+Y141</f>
        <v>1.287</v>
      </c>
      <c r="L141" s="50">
        <f>(K141-I141)</f>
        <v>0</v>
      </c>
      <c r="N141" s="170">
        <f>L141/I141</f>
        <v>0</v>
      </c>
      <c r="P141">
        <f>IF($Q$7=1,TEXT(I141,"0.000"),"")</f>
      </c>
      <c r="Q141">
        <f>IF($Q$7=1,TEXT(VALUE(K141),"0.000"),"")</f>
      </c>
      <c r="R141" s="166" t="str">
        <f>IF($Q$7=2,TEXT(VALUE(K141),"0.000"),"")</f>
        <v>1.287</v>
      </c>
      <c r="W141" s="12">
        <v>6</v>
      </c>
      <c r="X141" s="50">
        <f>WCEC3!J$14</f>
        <v>0</v>
      </c>
      <c r="Y141" s="50">
        <f>SUM(X141:X141)</f>
        <v>0</v>
      </c>
    </row>
    <row r="142" spans="1:18" ht="15">
      <c r="A142" s="18">
        <v>37</v>
      </c>
      <c r="J142" s="38"/>
      <c r="L142" s="81"/>
      <c r="N142" s="81"/>
      <c r="P142">
        <f>I137+(2000*I139)</f>
        <v>19819.22</v>
      </c>
      <c r="Q142">
        <f>K137+(2000*K139)</f>
        <v>20779.220000000005</v>
      </c>
      <c r="R142" s="166" t="str">
        <f>IF($Q$7=2,TEXT(VALUE(Q142),"$0,000.00"),"")</f>
        <v>$20,779.22</v>
      </c>
    </row>
    <row r="143" spans="1:14" ht="15">
      <c r="A143" s="16">
        <v>38</v>
      </c>
      <c r="L143" s="81"/>
      <c r="N143" s="81"/>
    </row>
    <row r="144" spans="1:25" ht="15">
      <c r="A144" s="16">
        <v>39</v>
      </c>
      <c r="I144" s="39"/>
      <c r="J144" s="39"/>
      <c r="K144" s="39"/>
      <c r="L144" s="81"/>
      <c r="N144" s="81"/>
      <c r="X144" s="39"/>
      <c r="Y144" s="39"/>
    </row>
    <row r="145" spans="1:25" ht="15">
      <c r="A145" s="16">
        <v>40</v>
      </c>
      <c r="D145" s="5"/>
      <c r="E145" s="5"/>
      <c r="I145" s="39"/>
      <c r="J145" s="39"/>
      <c r="K145" s="39"/>
      <c r="L145" s="81"/>
      <c r="N145" s="81"/>
      <c r="X145" s="39"/>
      <c r="Y145" s="39"/>
    </row>
    <row r="146" spans="1:14" ht="15">
      <c r="A146" s="16">
        <v>41</v>
      </c>
      <c r="L146" s="81"/>
      <c r="N146" s="81"/>
    </row>
    <row r="147" spans="1:25" s="42" customFormat="1" ht="15">
      <c r="A147" s="16">
        <v>42</v>
      </c>
      <c r="B147" s="3"/>
      <c r="C147" s="3"/>
      <c r="D147" s="41"/>
      <c r="E147" s="41"/>
      <c r="F147" s="41"/>
      <c r="G147" s="41"/>
      <c r="H147" s="41"/>
      <c r="I147" s="41"/>
      <c r="J147" s="41"/>
      <c r="K147" s="41"/>
      <c r="L147" s="84"/>
      <c r="M147" s="41"/>
      <c r="N147" s="84"/>
      <c r="O147" s="6"/>
      <c r="P147"/>
      <c r="Q147"/>
      <c r="R147" s="166"/>
      <c r="S147" s="6"/>
      <c r="T147" s="6"/>
      <c r="U147" s="6"/>
      <c r="V147" s="6"/>
      <c r="W147" s="78"/>
      <c r="X147" s="41"/>
      <c r="Y147" s="41"/>
    </row>
    <row r="148" spans="1:25" ht="15">
      <c r="A148" s="3"/>
      <c r="B148" s="3"/>
      <c r="C148" s="43"/>
      <c r="D148" s="41"/>
      <c r="E148" s="41"/>
      <c r="F148" s="41"/>
      <c r="G148" s="41"/>
      <c r="H148" s="41"/>
      <c r="I148" s="41"/>
      <c r="J148" s="41"/>
      <c r="K148" s="41"/>
      <c r="L148" s="84"/>
      <c r="M148" s="41"/>
      <c r="N148" s="84"/>
      <c r="X148" s="41"/>
      <c r="Y148" s="41"/>
    </row>
    <row r="149" spans="1:25" ht="15" thickBot="1">
      <c r="A149" s="16"/>
      <c r="B149" s="3"/>
      <c r="C149" s="3"/>
      <c r="D149" s="41"/>
      <c r="E149" s="41"/>
      <c r="F149" s="41"/>
      <c r="G149" s="41"/>
      <c r="H149" s="41"/>
      <c r="I149" s="41"/>
      <c r="J149" s="41"/>
      <c r="K149" s="41"/>
      <c r="L149" s="84"/>
      <c r="M149" s="41"/>
      <c r="N149" s="84"/>
      <c r="O149" s="41"/>
      <c r="X149" s="41"/>
      <c r="Y149" s="41"/>
    </row>
    <row r="150" spans="1:25" ht="15">
      <c r="A150" s="45" t="s">
        <v>31</v>
      </c>
      <c r="B150" s="14"/>
      <c r="C150" s="14"/>
      <c r="D150" s="45"/>
      <c r="E150" s="45"/>
      <c r="F150" s="45"/>
      <c r="G150" s="45"/>
      <c r="H150" s="45"/>
      <c r="I150" s="45"/>
      <c r="J150" s="45"/>
      <c r="K150" s="45" t="s">
        <v>32</v>
      </c>
      <c r="L150" s="85"/>
      <c r="M150" s="45"/>
      <c r="N150" s="85"/>
      <c r="O150" s="1"/>
      <c r="X150" s="45"/>
      <c r="Y150" s="45"/>
    </row>
    <row r="151" spans="1:25" ht="15" thickBot="1">
      <c r="A151" s="18">
        <v>1</v>
      </c>
      <c r="D151" s="24" t="s">
        <v>56</v>
      </c>
      <c r="E151" s="24"/>
      <c r="F151" s="25" t="s">
        <v>57</v>
      </c>
      <c r="G151" s="25"/>
      <c r="H151" s="25"/>
      <c r="I151" s="25"/>
      <c r="J151" s="25"/>
      <c r="K151" s="25"/>
      <c r="L151" s="82"/>
      <c r="N151" s="82"/>
      <c r="X151" s="25"/>
      <c r="Y151" s="25"/>
    </row>
    <row r="152" spans="1:25" ht="15">
      <c r="A152" s="18">
        <v>2</v>
      </c>
      <c r="F152" s="5" t="s">
        <v>35</v>
      </c>
      <c r="I152" s="39">
        <v>219.22</v>
      </c>
      <c r="J152" s="39">
        <f aca="true" t="shared" si="4" ref="J152:J159">IF(X152="","",X152)</f>
      </c>
      <c r="K152" s="39">
        <f>I152+Y152</f>
        <v>219.22</v>
      </c>
      <c r="L152" s="39">
        <f>(K152-I152)</f>
        <v>0</v>
      </c>
      <c r="N152" s="170">
        <f>L152/I152</f>
        <v>0</v>
      </c>
      <c r="P152">
        <f>IF($Q$7=1,TEXT(I152,"$0.00"),"")</f>
      </c>
      <c r="Q152">
        <f>IF($Q$7=1,TEXT(VALUE(K152),"$0.00"),"")</f>
      </c>
      <c r="R152" s="166" t="str">
        <f>IF($Q$7=2,TEXT(VALUE(K152),"$0.00"),"")</f>
        <v>$219.22</v>
      </c>
      <c r="X152" s="39"/>
      <c r="Y152" s="39">
        <f>SUM(X152:X152)</f>
        <v>0</v>
      </c>
    </row>
    <row r="153" spans="1:25" ht="15">
      <c r="A153" s="18">
        <v>3</v>
      </c>
      <c r="I153" s="39"/>
      <c r="J153" s="39">
        <f t="shared" si="4"/>
      </c>
      <c r="K153" s="39"/>
      <c r="L153" s="39"/>
      <c r="N153" s="39"/>
      <c r="X153" s="39"/>
      <c r="Y153" s="39"/>
    </row>
    <row r="154" spans="1:25" ht="15">
      <c r="A154" s="18">
        <v>4</v>
      </c>
      <c r="F154" s="5" t="s">
        <v>39</v>
      </c>
      <c r="I154" s="39">
        <v>9.8</v>
      </c>
      <c r="J154" s="39">
        <f t="shared" si="4"/>
        <v>0.48</v>
      </c>
      <c r="K154" s="39">
        <f>I154+Y154</f>
        <v>10.280000000000001</v>
      </c>
      <c r="L154" s="39">
        <f>(K154-I154)</f>
        <v>0.4800000000000004</v>
      </c>
      <c r="N154" s="170">
        <f>L154/I154</f>
        <v>0.04897959183673473</v>
      </c>
      <c r="P154">
        <f>IF($Q$7=1,TEXT(I154,"$0.00"),"")</f>
      </c>
      <c r="Q154">
        <f>IF($Q$7=1,TEXT(VALUE(K154),"$0.00"),"")</f>
      </c>
      <c r="R154" s="166" t="str">
        <f>IF($Q$7=2,TEXT(VALUE(K154),"$0.00"),"")</f>
        <v>$10.28</v>
      </c>
      <c r="X154" s="39">
        <f>WCEC3!$K$14</f>
        <v>0.48</v>
      </c>
      <c r="Y154" s="39">
        <f>SUM(X154:X154)</f>
        <v>0.48</v>
      </c>
    </row>
    <row r="155" spans="1:25" ht="15">
      <c r="A155" s="18">
        <v>5</v>
      </c>
      <c r="I155" s="39"/>
      <c r="J155" s="39">
        <f t="shared" si="4"/>
      </c>
      <c r="K155" s="39"/>
      <c r="L155" s="39"/>
      <c r="N155" s="39"/>
      <c r="X155" s="39"/>
      <c r="Y155" s="39"/>
    </row>
    <row r="156" spans="1:14" ht="15">
      <c r="A156" s="18">
        <v>6</v>
      </c>
      <c r="F156" s="5" t="s">
        <v>18</v>
      </c>
      <c r="J156" s="5">
        <f t="shared" si="4"/>
      </c>
      <c r="L156" s="5"/>
      <c r="N156" s="5"/>
    </row>
    <row r="157" spans="1:25" ht="15">
      <c r="A157" s="18">
        <v>7</v>
      </c>
      <c r="F157" s="5" t="s">
        <v>23</v>
      </c>
      <c r="I157" s="38">
        <v>2.041</v>
      </c>
      <c r="J157" s="38">
        <f t="shared" si="4"/>
        <v>0</v>
      </c>
      <c r="K157" s="38">
        <f>I157+Y157</f>
        <v>2.041</v>
      </c>
      <c r="L157" s="38">
        <f>(K157-I157)</f>
        <v>0</v>
      </c>
      <c r="N157" s="170">
        <f>L157/I157</f>
        <v>0</v>
      </c>
      <c r="P157">
        <f>IF($Q$7=1,TEXT(I157,"0.000"),"")</f>
      </c>
      <c r="Q157">
        <f>IF($Q$7=1,TEXT(VALUE(K157),"0.000"),"")</f>
      </c>
      <c r="R157" s="166" t="str">
        <f>IF($Q$7=2,TEXT(VALUE(K157),"0.000"),"")</f>
        <v>2.041</v>
      </c>
      <c r="W157" s="12">
        <v>6</v>
      </c>
      <c r="X157" s="38">
        <f>WCEC3!J$14</f>
        <v>0</v>
      </c>
      <c r="Y157" s="38">
        <f>SUM(X157:X157)</f>
        <v>0</v>
      </c>
    </row>
    <row r="158" spans="1:25" ht="15">
      <c r="A158" s="18">
        <v>8</v>
      </c>
      <c r="D158" s="7"/>
      <c r="E158" s="7"/>
      <c r="F158" s="5" t="s">
        <v>24</v>
      </c>
      <c r="I158" s="38">
        <v>1.003</v>
      </c>
      <c r="J158" s="38">
        <f t="shared" si="4"/>
        <v>0</v>
      </c>
      <c r="K158" s="38">
        <f>I158+Y158</f>
        <v>1.003</v>
      </c>
      <c r="L158" s="38">
        <f>(K158-I158)</f>
        <v>0</v>
      </c>
      <c r="N158" s="170">
        <f>L158/I158</f>
        <v>0</v>
      </c>
      <c r="P158">
        <f>IF($Q$7=1,TEXT(I158,"0.000"),"")</f>
      </c>
      <c r="Q158">
        <f>IF($Q$7=1,TEXT(VALUE(K158),"0.000"),"")</f>
      </c>
      <c r="R158" s="166" t="str">
        <f>IF($Q$7=2,TEXT(VALUE(K158),"0.000"),"")</f>
        <v>1.003</v>
      </c>
      <c r="W158" s="12">
        <v>6</v>
      </c>
      <c r="X158" s="38">
        <f>WCEC3!J$14</f>
        <v>0</v>
      </c>
      <c r="Y158" s="38">
        <f>SUM(X158:X158)</f>
        <v>0</v>
      </c>
    </row>
    <row r="159" spans="1:25" ht="15">
      <c r="A159" s="18">
        <v>9</v>
      </c>
      <c r="D159" s="7"/>
      <c r="E159" s="7"/>
      <c r="F159" s="7"/>
      <c r="G159" s="7"/>
      <c r="H159" s="7"/>
      <c r="I159" s="7"/>
      <c r="J159" s="7">
        <f t="shared" si="4"/>
      </c>
      <c r="K159" s="7"/>
      <c r="L159" s="7"/>
      <c r="N159" s="7"/>
      <c r="P159">
        <f>I152+(2000*I154)</f>
        <v>19819.22</v>
      </c>
      <c r="Q159">
        <f>K152+(2000*K154)</f>
        <v>20779.220000000005</v>
      </c>
      <c r="R159" s="166" t="str">
        <f>IF($Q$7=2,TEXT(VALUE(Q159),"$0,00.00"),"")</f>
        <v>$20,779.22</v>
      </c>
      <c r="X159" s="7"/>
      <c r="Y159" s="7"/>
    </row>
    <row r="160" spans="1:25" ht="15">
      <c r="A160" s="18">
        <v>10</v>
      </c>
      <c r="D160" s="7"/>
      <c r="E160" s="7"/>
      <c r="F160" s="7"/>
      <c r="G160" s="7"/>
      <c r="H160" s="7"/>
      <c r="I160" s="7"/>
      <c r="J160" s="7"/>
      <c r="K160" s="7"/>
      <c r="L160" s="7"/>
      <c r="N160" s="7"/>
      <c r="X160" s="7"/>
      <c r="Y160" s="7"/>
    </row>
    <row r="161" spans="1:25" ht="15" thickBot="1">
      <c r="A161" s="18">
        <v>11</v>
      </c>
      <c r="D161" s="24" t="s">
        <v>58</v>
      </c>
      <c r="E161" s="24"/>
      <c r="F161" s="25" t="s">
        <v>59</v>
      </c>
      <c r="G161" s="25"/>
      <c r="H161" s="25"/>
      <c r="I161" s="25"/>
      <c r="J161" s="25"/>
      <c r="K161" s="25"/>
      <c r="L161" s="25"/>
      <c r="N161" s="25"/>
      <c r="X161" s="25"/>
      <c r="Y161" s="25"/>
    </row>
    <row r="162" spans="1:25" ht="15">
      <c r="A162" s="18">
        <v>12</v>
      </c>
      <c r="D162" s="7"/>
      <c r="E162" s="7"/>
      <c r="F162" s="5" t="s">
        <v>35</v>
      </c>
      <c r="I162" s="39">
        <v>247.32</v>
      </c>
      <c r="J162" s="39">
        <f aca="true" t="shared" si="5" ref="J162:J174">IF(X162="","",X162)</f>
      </c>
      <c r="K162" s="39">
        <f>I162+Y162</f>
        <v>247.32</v>
      </c>
      <c r="L162" s="39">
        <f>(K162-I162)</f>
        <v>0</v>
      </c>
      <c r="N162" s="170">
        <f>L162/I162</f>
        <v>0</v>
      </c>
      <c r="P162">
        <f>IF($Q$7=1,TEXT(I162,"$0.00"),"")</f>
      </c>
      <c r="Q162">
        <f>IF($Q$7=1,TEXT(VALUE(K162),"$0.00"),"")</f>
      </c>
      <c r="R162" s="166" t="str">
        <f>IF($Q$7=2,TEXT(VALUE(K162),"$0.00"),"")</f>
        <v>$247.32</v>
      </c>
      <c r="X162" s="39"/>
      <c r="Y162" s="39">
        <f>SUM(X162:X162)</f>
        <v>0</v>
      </c>
    </row>
    <row r="163" spans="1:25" ht="15">
      <c r="A163" s="18">
        <v>13</v>
      </c>
      <c r="I163" s="39">
        <v>0</v>
      </c>
      <c r="J163" s="39">
        <f t="shared" si="5"/>
      </c>
      <c r="K163" s="39"/>
      <c r="L163" s="39"/>
      <c r="N163" s="39"/>
      <c r="X163" s="39"/>
      <c r="Y163" s="39"/>
    </row>
    <row r="164" spans="1:25" ht="15">
      <c r="A164" s="18">
        <v>14</v>
      </c>
      <c r="F164" s="5" t="s">
        <v>36</v>
      </c>
      <c r="I164" s="39">
        <v>9.8</v>
      </c>
      <c r="J164" s="39">
        <f t="shared" si="5"/>
        <v>0.48</v>
      </c>
      <c r="K164" s="39">
        <f>I164+Y164</f>
        <v>10.280000000000001</v>
      </c>
      <c r="L164" s="39">
        <f>(K164-I164)</f>
        <v>0.4800000000000004</v>
      </c>
      <c r="N164" s="170">
        <f>L164/I164</f>
        <v>0.04897959183673473</v>
      </c>
      <c r="P164">
        <f>IF($Q$7=1,TEXT(I164,"$0.00"),"")</f>
      </c>
      <c r="Q164">
        <f>IF($Q$7=1,TEXT(VALUE(K164),"$0.00"),"")</f>
      </c>
      <c r="R164" s="166" t="str">
        <f>IF($Q$7=2,TEXT(VALUE(K164),"$0.00"),"")</f>
        <v>$10.28</v>
      </c>
      <c r="X164" s="39">
        <f>WCEC3!$K$14</f>
        <v>0.48</v>
      </c>
      <c r="Y164" s="39">
        <f>SUM(X164:X164)</f>
        <v>0.48</v>
      </c>
    </row>
    <row r="165" spans="1:14" ht="15">
      <c r="A165" s="18">
        <v>15</v>
      </c>
      <c r="I165" s="5">
        <v>0</v>
      </c>
      <c r="J165" s="5">
        <f t="shared" si="5"/>
      </c>
      <c r="L165" s="5"/>
      <c r="N165" s="5"/>
    </row>
    <row r="166" spans="1:25" ht="15">
      <c r="A166" s="18">
        <v>16</v>
      </c>
      <c r="F166" s="5" t="s">
        <v>18</v>
      </c>
      <c r="I166" s="50">
        <v>1.287</v>
      </c>
      <c r="J166" s="38">
        <f t="shared" si="5"/>
        <v>0</v>
      </c>
      <c r="K166" s="50">
        <f>I166+Y166</f>
        <v>1.287</v>
      </c>
      <c r="L166" s="50">
        <f>(K166-I166)</f>
        <v>0</v>
      </c>
      <c r="N166" s="170">
        <f>L166/I166</f>
        <v>0</v>
      </c>
      <c r="P166">
        <f>IF($Q$7=1,TEXT(I166,"0.000"),"")</f>
      </c>
      <c r="Q166">
        <f>IF($Q$7=1,TEXT(VALUE(K166),"0.000"),"")</f>
      </c>
      <c r="R166" s="166" t="str">
        <f>IF($Q$7=2,TEXT(VALUE(K166),"0.000"),"")</f>
        <v>1.287</v>
      </c>
      <c r="W166" s="12">
        <v>6</v>
      </c>
      <c r="X166" s="50">
        <f>WCEC3!J$14</f>
        <v>0</v>
      </c>
      <c r="Y166" s="50">
        <f>SUM(X166:X166)</f>
        <v>0</v>
      </c>
    </row>
    <row r="167" spans="1:14" ht="15">
      <c r="A167" s="18">
        <v>17</v>
      </c>
      <c r="I167" s="5">
        <v>0</v>
      </c>
      <c r="J167" s="5">
        <f t="shared" si="5"/>
      </c>
      <c r="L167" s="5"/>
      <c r="N167" s="5"/>
    </row>
    <row r="168" spans="1:25" ht="15">
      <c r="A168" s="18">
        <v>18</v>
      </c>
      <c r="F168" s="5" t="s">
        <v>53</v>
      </c>
      <c r="I168" s="39">
        <v>-1.93</v>
      </c>
      <c r="J168" s="39">
        <f t="shared" si="5"/>
      </c>
      <c r="K168" s="39">
        <f>I168+Y168</f>
        <v>-1.93</v>
      </c>
      <c r="L168" s="39">
        <f>(K168-I168)</f>
        <v>0</v>
      </c>
      <c r="N168" s="170">
        <f>L168/I168</f>
        <v>0</v>
      </c>
      <c r="P168">
        <f>IF($Q$7=1,TEXT(I168,"$0.00"),"")</f>
      </c>
      <c r="Q168">
        <f>IF($Q$7=1,TEXT(VALUE(K168),"$0.00"),"")</f>
      </c>
      <c r="R168" s="166" t="str">
        <f>IF($Q$7=2,TEXT(VALUE(-K168),"$0.00"),"")</f>
        <v>$1.93</v>
      </c>
      <c r="X168" s="39"/>
      <c r="Y168" s="39">
        <f>SUM(X168:X168)</f>
        <v>0</v>
      </c>
    </row>
    <row r="169" spans="1:25" ht="15">
      <c r="A169" s="18">
        <v>19</v>
      </c>
      <c r="I169" s="39">
        <v>0</v>
      </c>
      <c r="J169" s="39">
        <f t="shared" si="5"/>
      </c>
      <c r="K169" s="39"/>
      <c r="L169" s="39"/>
      <c r="N169" s="39"/>
      <c r="X169" s="39"/>
      <c r="Y169" s="39"/>
    </row>
    <row r="170" spans="1:14" ht="15">
      <c r="A170" s="18">
        <v>20</v>
      </c>
      <c r="F170" s="5" t="s">
        <v>47</v>
      </c>
      <c r="I170" s="5">
        <v>0</v>
      </c>
      <c r="J170" s="5">
        <f t="shared" si="5"/>
      </c>
      <c r="L170" s="5"/>
      <c r="N170" s="5"/>
    </row>
    <row r="171" spans="1:25" ht="15">
      <c r="A171" s="18">
        <v>21</v>
      </c>
      <c r="F171" s="51" t="s">
        <v>274</v>
      </c>
      <c r="I171" s="39">
        <v>1.93</v>
      </c>
      <c r="J171" s="39">
        <f t="shared" si="5"/>
      </c>
      <c r="K171" s="39">
        <f>I171+Y171</f>
        <v>1.93</v>
      </c>
      <c r="L171" s="39">
        <f>(K171-I171)</f>
        <v>0</v>
      </c>
      <c r="N171" s="170">
        <f>L171/I171</f>
        <v>0</v>
      </c>
      <c r="P171">
        <f>IF($Q$7=1,TEXT(I171,"$0.00"),"")</f>
      </c>
      <c r="Q171">
        <f>IF($Q$7=1,TEXT(VALUE(K171),"$0.00"),"")</f>
      </c>
      <c r="R171" s="166" t="str">
        <f>IF($Q$7=2,TEXT(VALUE(K171),"$0.00"),"")</f>
        <v>$1.93</v>
      </c>
      <c r="X171" s="39"/>
      <c r="Y171" s="39">
        <f>SUM(X171:X171)</f>
        <v>0</v>
      </c>
    </row>
    <row r="172" spans="1:25" ht="15">
      <c r="A172" s="18">
        <v>22</v>
      </c>
      <c r="F172" s="5" t="s">
        <v>49</v>
      </c>
      <c r="I172" s="39">
        <v>4.16</v>
      </c>
      <c r="J172" s="39">
        <f t="shared" si="5"/>
      </c>
      <c r="K172" s="39">
        <f>I172+Y172</f>
        <v>4.16</v>
      </c>
      <c r="L172" s="39">
        <f>(K172-I172)</f>
        <v>0</v>
      </c>
      <c r="N172" s="170">
        <f>L172/I172</f>
        <v>0</v>
      </c>
      <c r="P172">
        <f>IF($Q$7=1,TEXT(I172,"$0.00"),"")</f>
      </c>
      <c r="Q172">
        <f>IF($Q$7=1,TEXT(VALUE(K172),"$0.00"),"")</f>
      </c>
      <c r="R172" s="166" t="str">
        <f>IF($Q$7=2,TEXT(VALUE(K172),"$0.00"),"")</f>
        <v>$4.16</v>
      </c>
      <c r="X172" s="39"/>
      <c r="Y172" s="39">
        <f>SUM(X172:X172)</f>
        <v>0</v>
      </c>
    </row>
    <row r="173" spans="1:25" ht="15">
      <c r="A173" s="18">
        <v>23</v>
      </c>
      <c r="F173" s="5" t="s">
        <v>50</v>
      </c>
      <c r="I173" s="39">
        <v>1.23</v>
      </c>
      <c r="J173" s="39">
        <f t="shared" si="5"/>
      </c>
      <c r="K173" s="39">
        <f>I173+Y173</f>
        <v>1.23</v>
      </c>
      <c r="L173" s="39">
        <f>(K173-I173)</f>
        <v>0</v>
      </c>
      <c r="N173" s="170">
        <f>L173/I173</f>
        <v>0</v>
      </c>
      <c r="P173">
        <f>I162+(2000*I164)</f>
        <v>19847.32</v>
      </c>
      <c r="Q173">
        <f>K162+(2000*K164)</f>
        <v>20807.320000000003</v>
      </c>
      <c r="R173" s="166" t="str">
        <f>IF($Q$7=2,TEXT(VALUE(Q173),"$0,00.00"),"")</f>
        <v>$20,807.32</v>
      </c>
      <c r="X173" s="39"/>
      <c r="Y173" s="39">
        <f>SUM(X173:X173)</f>
        <v>0</v>
      </c>
    </row>
    <row r="174" spans="1:14" ht="15">
      <c r="A174" s="18">
        <v>24</v>
      </c>
      <c r="I174" s="5">
        <v>0</v>
      </c>
      <c r="J174" s="5">
        <f t="shared" si="5"/>
      </c>
      <c r="L174" s="81"/>
      <c r="N174" s="81"/>
    </row>
    <row r="175" spans="1:25" ht="15" thickBot="1">
      <c r="A175" s="18">
        <v>25</v>
      </c>
      <c r="D175" s="24" t="s">
        <v>60</v>
      </c>
      <c r="E175" s="24"/>
      <c r="F175" s="25" t="s">
        <v>61</v>
      </c>
      <c r="G175" s="25"/>
      <c r="H175" s="25"/>
      <c r="I175" s="25">
        <v>0</v>
      </c>
      <c r="J175" s="25"/>
      <c r="K175" s="25"/>
      <c r="L175" s="82"/>
      <c r="N175" s="82"/>
      <c r="X175" s="25"/>
      <c r="Y175" s="25"/>
    </row>
    <row r="176" spans="1:25" ht="15">
      <c r="A176" s="18">
        <v>26</v>
      </c>
      <c r="F176" s="5" t="s">
        <v>35</v>
      </c>
      <c r="I176" s="39">
        <v>247.32</v>
      </c>
      <c r="J176" s="39">
        <f>IF(X176="","",X176)</f>
      </c>
      <c r="K176" s="39">
        <f>I176+Y176</f>
        <v>247.32</v>
      </c>
      <c r="L176" s="39">
        <f>(K176-I176)</f>
        <v>0</v>
      </c>
      <c r="N176" s="170">
        <f>L176/I176</f>
        <v>0</v>
      </c>
      <c r="P176">
        <f>IF($Q$7=1,TEXT(I176,"$0.00"),"")</f>
      </c>
      <c r="Q176">
        <f>IF($Q$7=1,TEXT(VALUE(K176),"$0.00"),"")</f>
      </c>
      <c r="R176" s="166" t="str">
        <f>IF($Q$7=2,TEXT(VALUE(K176),"$0.00"),"")</f>
        <v>$247.32</v>
      </c>
      <c r="X176" s="39"/>
      <c r="Y176" s="39">
        <f>SUM(X176:X176)</f>
        <v>0</v>
      </c>
    </row>
    <row r="177" spans="1:25" ht="15">
      <c r="A177" s="18">
        <v>27</v>
      </c>
      <c r="I177" s="39"/>
      <c r="J177" s="39"/>
      <c r="K177" s="39"/>
      <c r="L177" s="39"/>
      <c r="N177" s="39"/>
      <c r="X177" s="39"/>
      <c r="Y177" s="39"/>
    </row>
    <row r="178" spans="1:25" ht="15">
      <c r="A178" s="18">
        <v>28</v>
      </c>
      <c r="F178" s="5" t="s">
        <v>39</v>
      </c>
      <c r="I178" s="39">
        <v>9.8</v>
      </c>
      <c r="J178" s="39">
        <f>IF(X178="","",X178)</f>
        <v>0.48</v>
      </c>
      <c r="K178" s="39">
        <f>I178+Y178</f>
        <v>10.280000000000001</v>
      </c>
      <c r="L178" s="39">
        <f>(K178-I178)</f>
        <v>0.4800000000000004</v>
      </c>
      <c r="N178" s="170">
        <f>L178/I178</f>
        <v>0.04897959183673473</v>
      </c>
      <c r="P178">
        <f>IF($Q$7=1,TEXT(I178,"$0.00"),"")</f>
      </c>
      <c r="Q178">
        <f>IF($Q$7=1,TEXT(VALUE(K178),"$0.00"),"")</f>
      </c>
      <c r="R178" s="166" t="str">
        <f>IF($Q$7=2,TEXT(VALUE(K178),"$0.00"),"")</f>
        <v>$10.28</v>
      </c>
      <c r="X178" s="39">
        <f>WCEC3!$K$14</f>
        <v>0.48</v>
      </c>
      <c r="Y178" s="39">
        <f>SUM(X178:X178)</f>
        <v>0.48</v>
      </c>
    </row>
    <row r="179" spans="1:25" ht="15">
      <c r="A179" s="18">
        <v>29</v>
      </c>
      <c r="I179" s="39"/>
      <c r="J179" s="39"/>
      <c r="K179" s="39"/>
      <c r="L179" s="39"/>
      <c r="N179" s="39"/>
      <c r="X179" s="39"/>
      <c r="Y179" s="39"/>
    </row>
    <row r="180" spans="1:14" ht="15">
      <c r="A180" s="18">
        <v>30</v>
      </c>
      <c r="F180" s="5" t="s">
        <v>18</v>
      </c>
      <c r="L180" s="5"/>
      <c r="N180" s="5"/>
    </row>
    <row r="181" spans="1:25" ht="15">
      <c r="A181" s="18">
        <v>31</v>
      </c>
      <c r="F181" s="5" t="s">
        <v>23</v>
      </c>
      <c r="I181" s="151">
        <v>2.041</v>
      </c>
      <c r="J181" s="38">
        <f aca="true" t="shared" si="6" ref="J181:J189">IF(X181="","",X181)</f>
        <v>0</v>
      </c>
      <c r="K181" s="151">
        <f>I181+Y181</f>
        <v>2.041</v>
      </c>
      <c r="L181" s="5">
        <f>(K181-I181)</f>
        <v>0</v>
      </c>
      <c r="N181" s="170">
        <f>L181/I181</f>
        <v>0</v>
      </c>
      <c r="P181">
        <f>IF($Q$7=1,TEXT(I181,"0.000"),"")</f>
      </c>
      <c r="Q181">
        <f>IF($Q$7=1,TEXT(VALUE(K181),"0.000"),"")</f>
      </c>
      <c r="R181" s="166" t="str">
        <f>IF($Q$7=2,TEXT(VALUE(K181),"0.000"),"")</f>
        <v>2.041</v>
      </c>
      <c r="W181" s="12">
        <v>6</v>
      </c>
      <c r="X181" s="151">
        <f>WCEC3!J$14</f>
        <v>0</v>
      </c>
      <c r="Y181" s="151">
        <f>SUM(X181:X181)</f>
        <v>0</v>
      </c>
    </row>
    <row r="182" spans="1:25" ht="15">
      <c r="A182" s="18">
        <v>32</v>
      </c>
      <c r="F182" s="5" t="s">
        <v>24</v>
      </c>
      <c r="I182" s="151">
        <v>1.003</v>
      </c>
      <c r="J182" s="38">
        <f t="shared" si="6"/>
        <v>0</v>
      </c>
      <c r="K182" s="151">
        <f>I182+Y182</f>
        <v>1.003</v>
      </c>
      <c r="L182" s="5">
        <f>(K182-I182)</f>
        <v>0</v>
      </c>
      <c r="N182" s="170">
        <f>L182/I182</f>
        <v>0</v>
      </c>
      <c r="P182">
        <f>IF($Q$7=1,TEXT(I182,"0.000"),"")</f>
      </c>
      <c r="Q182">
        <f>IF($Q$7=1,TEXT(VALUE(K182),"0.000"),"")</f>
      </c>
      <c r="R182" s="166" t="str">
        <f>IF($Q$7=2,TEXT(VALUE(K182),"0.000"),"")</f>
        <v>1.003</v>
      </c>
      <c r="W182" s="12">
        <v>6</v>
      </c>
      <c r="X182" s="151">
        <f>WCEC3!J$14</f>
        <v>0</v>
      </c>
      <c r="Y182" s="151">
        <f>SUM(X182:X182)</f>
        <v>0</v>
      </c>
    </row>
    <row r="183" spans="1:14" ht="15">
      <c r="A183" s="18">
        <v>33</v>
      </c>
      <c r="J183" s="5">
        <f t="shared" si="6"/>
      </c>
      <c r="L183" s="5"/>
      <c r="N183" s="5"/>
    </row>
    <row r="184" spans="1:25" ht="15">
      <c r="A184" s="18">
        <v>34</v>
      </c>
      <c r="F184" s="5" t="s">
        <v>53</v>
      </c>
      <c r="I184" s="39">
        <v>-1.93</v>
      </c>
      <c r="J184" s="39">
        <f t="shared" si="6"/>
      </c>
      <c r="K184" s="39">
        <f>I184+Y184</f>
        <v>-1.93</v>
      </c>
      <c r="L184" s="39">
        <f>(K184-I184)</f>
        <v>0</v>
      </c>
      <c r="N184" s="170">
        <f>L184/I184</f>
        <v>0</v>
      </c>
      <c r="P184">
        <f>IF($Q$7=1,TEXT(I184,"$0.00"),"")</f>
      </c>
      <c r="Q184">
        <f>IF($Q$7=1,TEXT(VALUE(K184),"$0.00"),"")</f>
      </c>
      <c r="R184" s="166" t="str">
        <f>IF($Q$7=2,TEXT(VALUE(-K184),"$0.00"),"")</f>
        <v>$1.93</v>
      </c>
      <c r="X184" s="39"/>
      <c r="Y184" s="39">
        <f>SUM(X184:X184)</f>
        <v>0</v>
      </c>
    </row>
    <row r="185" spans="1:25" ht="15">
      <c r="A185" s="18">
        <v>35</v>
      </c>
      <c r="I185" s="39"/>
      <c r="J185" s="39">
        <f t="shared" si="6"/>
      </c>
      <c r="K185" s="39"/>
      <c r="L185" s="39"/>
      <c r="N185" s="39"/>
      <c r="X185" s="39"/>
      <c r="Y185" s="39"/>
    </row>
    <row r="186" spans="1:14" ht="15">
      <c r="A186" s="18">
        <v>36</v>
      </c>
      <c r="F186" s="5" t="s">
        <v>47</v>
      </c>
      <c r="J186" s="5">
        <f t="shared" si="6"/>
      </c>
      <c r="L186" s="5"/>
      <c r="N186" s="5"/>
    </row>
    <row r="187" spans="1:25" ht="15">
      <c r="A187" s="18">
        <v>37</v>
      </c>
      <c r="F187" s="51" t="s">
        <v>274</v>
      </c>
      <c r="I187" s="39">
        <v>1.93</v>
      </c>
      <c r="J187" s="39">
        <f t="shared" si="6"/>
      </c>
      <c r="K187" s="39">
        <f>I187+Y187</f>
        <v>1.93</v>
      </c>
      <c r="L187" s="39">
        <f>(K187-I187)</f>
        <v>0</v>
      </c>
      <c r="N187" s="170">
        <f>L187/I187</f>
        <v>0</v>
      </c>
      <c r="P187">
        <f>IF($Q$7=1,TEXT(I187,"$0.00"),"")</f>
      </c>
      <c r="Q187">
        <f>IF($Q$7=1,TEXT(VALUE(K187),"$0.00"),"")</f>
      </c>
      <c r="R187" s="166" t="str">
        <f>IF($Q$7=2,TEXT(VALUE(K187),"$0.00"),"")</f>
        <v>$1.93</v>
      </c>
      <c r="X187" s="39"/>
      <c r="Y187" s="39">
        <f>SUM(X187:X187)</f>
        <v>0</v>
      </c>
    </row>
    <row r="188" spans="1:25" ht="15">
      <c r="A188" s="16">
        <v>38</v>
      </c>
      <c r="F188" s="5" t="s">
        <v>49</v>
      </c>
      <c r="I188" s="39">
        <v>4.16</v>
      </c>
      <c r="J188" s="39">
        <f t="shared" si="6"/>
      </c>
      <c r="K188" s="39">
        <f>I188+Y188</f>
        <v>4.16</v>
      </c>
      <c r="L188" s="39">
        <f>(K188-I188)</f>
        <v>0</v>
      </c>
      <c r="N188" s="170">
        <f>L188/I188</f>
        <v>0</v>
      </c>
      <c r="P188">
        <f>IF($Q$7=1,TEXT(I188,"$0.00"),"")</f>
      </c>
      <c r="Q188">
        <f>IF($Q$7=1,TEXT(VALUE(K188),"$0.00"),"")</f>
      </c>
      <c r="R188" s="166" t="str">
        <f>IF($Q$7=2,TEXT(VALUE(K188),"$0.00"),"")</f>
        <v>$4.16</v>
      </c>
      <c r="X188" s="39"/>
      <c r="Y188" s="39">
        <f>SUM(X188:X188)</f>
        <v>0</v>
      </c>
    </row>
    <row r="189" spans="1:25" ht="15">
      <c r="A189" s="16">
        <v>39</v>
      </c>
      <c r="D189" s="7"/>
      <c r="E189" s="7"/>
      <c r="F189" s="5" t="s">
        <v>50</v>
      </c>
      <c r="G189" s="7"/>
      <c r="H189" s="7"/>
      <c r="I189" s="39">
        <v>1.23</v>
      </c>
      <c r="J189" s="39">
        <f t="shared" si="6"/>
      </c>
      <c r="K189" s="39">
        <f>I189+Y189</f>
        <v>1.23</v>
      </c>
      <c r="L189" s="39">
        <f>(K189-I189)</f>
        <v>0</v>
      </c>
      <c r="N189" s="170">
        <f>L189/I189</f>
        <v>0</v>
      </c>
      <c r="P189">
        <f>I176+(2000*I178)</f>
        <v>19847.32</v>
      </c>
      <c r="Q189">
        <f>K176+(2000*K178)</f>
        <v>20807.320000000003</v>
      </c>
      <c r="R189" s="166" t="str">
        <f>IF($Q$7=2,TEXT(VALUE(Q189),"$0,00.00"),"")</f>
        <v>$20,807.32</v>
      </c>
      <c r="X189" s="39"/>
      <c r="Y189" s="39">
        <f>SUM(X189:X189)</f>
        <v>0</v>
      </c>
    </row>
    <row r="190" spans="1:25" ht="15">
      <c r="A190" s="16">
        <v>40</v>
      </c>
      <c r="D190" s="7"/>
      <c r="E190" s="7"/>
      <c r="F190" s="7"/>
      <c r="G190" s="7"/>
      <c r="H190" s="7"/>
      <c r="I190" s="7"/>
      <c r="J190" s="7"/>
      <c r="K190" s="7"/>
      <c r="L190" s="88"/>
      <c r="N190" s="88"/>
      <c r="X190" s="7"/>
      <c r="Y190" s="7"/>
    </row>
    <row r="191" spans="1:25" ht="15">
      <c r="A191" s="16">
        <v>41</v>
      </c>
      <c r="D191" s="7"/>
      <c r="E191" s="7"/>
      <c r="F191" s="7"/>
      <c r="G191" s="7"/>
      <c r="H191" s="7"/>
      <c r="I191" s="7"/>
      <c r="J191" s="7"/>
      <c r="K191" s="7"/>
      <c r="L191" s="88"/>
      <c r="N191" s="88"/>
      <c r="X191" s="7"/>
      <c r="Y191" s="7"/>
    </row>
    <row r="192" spans="1:25" ht="15">
      <c r="A192" s="16">
        <v>42</v>
      </c>
      <c r="D192" s="7"/>
      <c r="E192" s="7"/>
      <c r="F192" s="7"/>
      <c r="G192" s="7"/>
      <c r="H192" s="7"/>
      <c r="I192" s="7"/>
      <c r="J192" s="7"/>
      <c r="K192" s="7"/>
      <c r="L192" s="88"/>
      <c r="N192" s="88"/>
      <c r="X192" s="7"/>
      <c r="Y192" s="7"/>
    </row>
    <row r="193" spans="1:25" ht="15">
      <c r="A193" s="16"/>
      <c r="C193" s="43"/>
      <c r="D193" s="7"/>
      <c r="E193" s="7"/>
      <c r="F193" s="7"/>
      <c r="G193" s="7"/>
      <c r="H193" s="7"/>
      <c r="I193" s="7"/>
      <c r="J193" s="7"/>
      <c r="K193" s="7"/>
      <c r="L193" s="88"/>
      <c r="N193" s="88"/>
      <c r="X193" s="7"/>
      <c r="Y193" s="7"/>
    </row>
    <row r="194" spans="1:25" ht="15" thickBot="1">
      <c r="A194" s="16"/>
      <c r="B194" s="3"/>
      <c r="C194" s="3"/>
      <c r="D194" s="41"/>
      <c r="E194" s="41"/>
      <c r="F194" s="41"/>
      <c r="G194" s="41"/>
      <c r="H194" s="41"/>
      <c r="I194" s="41"/>
      <c r="J194" s="41"/>
      <c r="K194" s="41"/>
      <c r="L194" s="84"/>
      <c r="M194" s="41"/>
      <c r="N194" s="84"/>
      <c r="O194" s="41"/>
      <c r="X194" s="41"/>
      <c r="Y194" s="41"/>
    </row>
    <row r="195" spans="1:25" ht="15">
      <c r="A195" s="45" t="s">
        <v>31</v>
      </c>
      <c r="B195" s="14"/>
      <c r="C195" s="14"/>
      <c r="D195" s="45"/>
      <c r="E195" s="45"/>
      <c r="F195" s="45"/>
      <c r="G195" s="45"/>
      <c r="H195" s="45"/>
      <c r="I195" s="45"/>
      <c r="J195" s="45"/>
      <c r="K195" s="45" t="s">
        <v>32</v>
      </c>
      <c r="L195" s="85"/>
      <c r="M195" s="45"/>
      <c r="N195" s="85"/>
      <c r="O195" s="1"/>
      <c r="X195" s="45"/>
      <c r="Y195" s="45"/>
    </row>
    <row r="196" spans="1:25" ht="15" thickBot="1">
      <c r="A196" s="18">
        <v>1</v>
      </c>
      <c r="D196" s="24" t="s">
        <v>62</v>
      </c>
      <c r="E196" s="24"/>
      <c r="F196" s="25" t="s">
        <v>55</v>
      </c>
      <c r="G196" s="25"/>
      <c r="H196" s="25"/>
      <c r="I196" s="25"/>
      <c r="J196" s="25"/>
      <c r="K196" s="25"/>
      <c r="L196" s="82"/>
      <c r="N196" s="82"/>
      <c r="X196" s="25"/>
      <c r="Y196" s="25"/>
    </row>
    <row r="197" spans="1:25" ht="15">
      <c r="A197" s="18">
        <v>2</v>
      </c>
      <c r="D197" s="7"/>
      <c r="E197" s="7"/>
      <c r="F197" s="5" t="s">
        <v>35</v>
      </c>
      <c r="I197" s="39">
        <v>1620.94</v>
      </c>
      <c r="J197" s="39">
        <f>IF(X197="","",X197)</f>
      </c>
      <c r="K197" s="39">
        <f>I197+Y197</f>
        <v>1620.94</v>
      </c>
      <c r="L197" s="39">
        <f>(K197-I197)</f>
        <v>0</v>
      </c>
      <c r="N197" s="170">
        <f>L197/I197</f>
        <v>0</v>
      </c>
      <c r="P197">
        <f>IF($Q$7=1,TEXT(I197,"$0.00"),"")</f>
      </c>
      <c r="Q197">
        <f>IF($Q$7=1,TEXT(VALUE(K197),"$0,000.00"),"")</f>
      </c>
      <c r="R197" s="166" t="str">
        <f>IF($Q$7=2,TEXT(VALUE(K197),"$0,000.00"),"")</f>
        <v>$1,620.94</v>
      </c>
      <c r="X197" s="39"/>
      <c r="Y197" s="39">
        <f>SUM(X197:X197)</f>
        <v>0</v>
      </c>
    </row>
    <row r="198" spans="1:25" ht="15">
      <c r="A198" s="18">
        <v>3</v>
      </c>
      <c r="D198" s="7"/>
      <c r="E198" s="7"/>
      <c r="I198" s="39"/>
      <c r="J198" s="39">
        <f>IF(X198="","",X198)</f>
      </c>
      <c r="K198" s="39"/>
      <c r="L198" s="39"/>
      <c r="N198" s="39"/>
      <c r="X198" s="39"/>
      <c r="Y198" s="39"/>
    </row>
    <row r="199" spans="1:25" ht="15">
      <c r="A199" s="18">
        <v>4</v>
      </c>
      <c r="F199" s="5" t="s">
        <v>36</v>
      </c>
      <c r="I199" s="39">
        <v>7.69</v>
      </c>
      <c r="J199" s="39">
        <f>IF(X199="","",X199)</f>
        <v>0.51</v>
      </c>
      <c r="K199" s="39">
        <f>I199+Y199</f>
        <v>8.200000000000001</v>
      </c>
      <c r="L199" s="39">
        <f>(K199-I199)</f>
        <v>0.5100000000000007</v>
      </c>
      <c r="N199" s="170">
        <f>L199/I199</f>
        <v>0.06631989596879072</v>
      </c>
      <c r="P199">
        <f>IF($Q$7=1,TEXT(I199,"$0.00"),"")</f>
      </c>
      <c r="Q199">
        <f>IF($Q$7=1,TEXT(VALUE(K199),"$0.00"),"")</f>
      </c>
      <c r="R199" s="166" t="str">
        <f>IF($Q$7=2,TEXT(VALUE(K199),"$0.00"),"")</f>
        <v>$8.20</v>
      </c>
      <c r="X199" s="39">
        <f>WCEC3!$K$15</f>
        <v>0.51</v>
      </c>
      <c r="Y199" s="39">
        <f>SUM(X199:X199)</f>
        <v>0.51</v>
      </c>
    </row>
    <row r="200" spans="1:14" ht="15">
      <c r="A200" s="18">
        <v>5</v>
      </c>
      <c r="J200" s="5">
        <f>IF(X200="","",X200)</f>
      </c>
      <c r="L200" s="5"/>
      <c r="N200" s="5"/>
    </row>
    <row r="201" spans="1:25" ht="15">
      <c r="A201" s="18">
        <v>6</v>
      </c>
      <c r="F201" s="5" t="s">
        <v>18</v>
      </c>
      <c r="I201" s="38">
        <v>0.932</v>
      </c>
      <c r="J201" s="38">
        <f>IF(X201="","",X201)</f>
        <v>0</v>
      </c>
      <c r="K201" s="38">
        <f>I201+Y201</f>
        <v>0.932</v>
      </c>
      <c r="L201" s="38">
        <f>(K201-I201)</f>
        <v>0</v>
      </c>
      <c r="N201" s="170">
        <f>L201/I201</f>
        <v>0</v>
      </c>
      <c r="P201">
        <f>IF($Q$7=1,TEXT(I201,"0.000"),"")</f>
      </c>
      <c r="Q201">
        <f>IF($Q$7=1,TEXT(VALUE(K201),"0.000"),"")</f>
      </c>
      <c r="R201" s="166" t="str">
        <f>IF($Q$7=2,TEXT(VALUE(K201),"0.000"),"")</f>
        <v>0.932</v>
      </c>
      <c r="W201" s="12">
        <v>7</v>
      </c>
      <c r="X201" s="38">
        <f>WCEC3!J$15</f>
        <v>0</v>
      </c>
      <c r="Y201" s="38">
        <f>SUM(X201:X201)</f>
        <v>0</v>
      </c>
    </row>
    <row r="202" spans="1:25" ht="15">
      <c r="A202" s="18">
        <v>7</v>
      </c>
      <c r="F202" s="7"/>
      <c r="G202" s="7"/>
      <c r="H202" s="7"/>
      <c r="I202" s="7"/>
      <c r="J202" s="7"/>
      <c r="K202" s="7"/>
      <c r="L202" s="7"/>
      <c r="N202" s="7"/>
      <c r="X202" s="7"/>
      <c r="Y202" s="7"/>
    </row>
    <row r="203" spans="1:14" ht="15">
      <c r="A203" s="18">
        <v>8</v>
      </c>
      <c r="L203" s="5"/>
      <c r="N203" s="5"/>
    </row>
    <row r="204" spans="1:25" ht="15" thickBot="1">
      <c r="A204" s="18">
        <v>9</v>
      </c>
      <c r="D204" s="24" t="s">
        <v>63</v>
      </c>
      <c r="E204" s="24"/>
      <c r="F204" s="25" t="s">
        <v>57</v>
      </c>
      <c r="G204" s="25"/>
      <c r="H204" s="25"/>
      <c r="I204" s="25"/>
      <c r="J204" s="25"/>
      <c r="K204" s="25"/>
      <c r="L204" s="25"/>
      <c r="N204" s="25"/>
      <c r="X204" s="25"/>
      <c r="Y204" s="25"/>
    </row>
    <row r="205" spans="1:25" ht="15">
      <c r="A205" s="18">
        <v>10</v>
      </c>
      <c r="F205" s="5" t="s">
        <v>35</v>
      </c>
      <c r="I205" s="39">
        <v>1620.94</v>
      </c>
      <c r="J205" s="39">
        <f aca="true" t="shared" si="7" ref="J205:J211">IF(X205="","",X205)</f>
      </c>
      <c r="K205" s="39">
        <f>I205+Y205</f>
        <v>1620.94</v>
      </c>
      <c r="L205" s="39">
        <f>(K205-I205)</f>
        <v>0</v>
      </c>
      <c r="N205" s="170">
        <f>L205/I205</f>
        <v>0</v>
      </c>
      <c r="P205">
        <f>IF($Q$7=1,TEXT(I205,"$0.00"),"")</f>
      </c>
      <c r="Q205">
        <f>IF($Q$7=1,TEXT(VALUE(K205),"$0,000.00"),"")</f>
      </c>
      <c r="R205" s="166" t="str">
        <f>IF($Q$7=2,TEXT(VALUE(K205),"$0,000.00"),"")</f>
        <v>$1,620.94</v>
      </c>
      <c r="X205" s="39"/>
      <c r="Y205" s="39">
        <f>SUM(X205:X205)</f>
        <v>0</v>
      </c>
    </row>
    <row r="206" spans="1:25" ht="15">
      <c r="A206" s="18">
        <v>11</v>
      </c>
      <c r="I206" s="39"/>
      <c r="J206" s="39">
        <f t="shared" si="7"/>
      </c>
      <c r="K206" s="39"/>
      <c r="L206" s="39"/>
      <c r="N206" s="39"/>
      <c r="X206" s="39"/>
      <c r="Y206" s="39"/>
    </row>
    <row r="207" spans="1:25" ht="15">
      <c r="A207" s="18">
        <v>12</v>
      </c>
      <c r="F207" s="5" t="s">
        <v>39</v>
      </c>
      <c r="I207" s="39">
        <v>7.69</v>
      </c>
      <c r="J207" s="39">
        <f t="shared" si="7"/>
        <v>0.51</v>
      </c>
      <c r="K207" s="39">
        <f>I207+Y207</f>
        <v>8.200000000000001</v>
      </c>
      <c r="L207" s="39">
        <f>(K207-I207)</f>
        <v>0.5100000000000007</v>
      </c>
      <c r="N207" s="170">
        <f>L207/I207</f>
        <v>0.06631989596879072</v>
      </c>
      <c r="P207">
        <f>IF($Q$7=1,TEXT(I207,"$0.00"),"")</f>
      </c>
      <c r="Q207">
        <f>IF($Q$7=1,TEXT(VALUE(K207),"$0.00"),"")</f>
      </c>
      <c r="R207" s="166" t="str">
        <f>IF($Q$7=2,TEXT(VALUE(K207),"$0.00"),"")</f>
        <v>$8.20</v>
      </c>
      <c r="X207" s="39">
        <f>WCEC3!$K$15</f>
        <v>0.51</v>
      </c>
      <c r="Y207" s="39">
        <f>SUM(X207:X207)</f>
        <v>0.51</v>
      </c>
    </row>
    <row r="208" spans="1:25" ht="15">
      <c r="A208" s="18">
        <v>13</v>
      </c>
      <c r="I208" s="39"/>
      <c r="J208" s="39">
        <f t="shared" si="7"/>
      </c>
      <c r="K208" s="39"/>
      <c r="L208" s="39"/>
      <c r="N208" s="39"/>
      <c r="X208" s="39"/>
      <c r="Y208" s="39"/>
    </row>
    <row r="209" spans="1:14" ht="15">
      <c r="A209" s="18">
        <v>14</v>
      </c>
      <c r="F209" s="5" t="s">
        <v>18</v>
      </c>
      <c r="J209" s="5">
        <f t="shared" si="7"/>
      </c>
      <c r="L209" s="5"/>
      <c r="N209" s="5"/>
    </row>
    <row r="210" spans="1:25" ht="15">
      <c r="A210" s="18">
        <v>15</v>
      </c>
      <c r="F210" s="5" t="s">
        <v>23</v>
      </c>
      <c r="I210" s="38">
        <v>1.043</v>
      </c>
      <c r="J210" s="38">
        <f t="shared" si="7"/>
        <v>0</v>
      </c>
      <c r="K210" s="38">
        <f>I210+Y210</f>
        <v>1.043</v>
      </c>
      <c r="L210" s="38">
        <f>(K210-I210)</f>
        <v>0</v>
      </c>
      <c r="N210" s="170">
        <f>L210/I210</f>
        <v>0</v>
      </c>
      <c r="P210">
        <f>IF($Q$7=1,TEXT(I210,"0.000"),"")</f>
      </c>
      <c r="Q210">
        <f>IF($Q$7=1,TEXT(VALUE(K210),"0.000"),"")</f>
      </c>
      <c r="R210" s="166" t="str">
        <f>IF($Q$7=2,TEXT(VALUE(K210),"0.000"),"")</f>
        <v>1.043</v>
      </c>
      <c r="W210" s="12">
        <v>7</v>
      </c>
      <c r="X210" s="38">
        <f>WCEC3!J$15</f>
        <v>0</v>
      </c>
      <c r="Y210" s="38">
        <f>SUM(X210:X210)</f>
        <v>0</v>
      </c>
    </row>
    <row r="211" spans="1:25" ht="15">
      <c r="A211" s="18">
        <v>16</v>
      </c>
      <c r="F211" s="5" t="s">
        <v>24</v>
      </c>
      <c r="I211" s="38">
        <v>0.892</v>
      </c>
      <c r="J211" s="38">
        <f t="shared" si="7"/>
        <v>0</v>
      </c>
      <c r="K211" s="38">
        <f>I211+Y211</f>
        <v>0.892</v>
      </c>
      <c r="L211" s="38">
        <f>(K211-I211)</f>
        <v>0</v>
      </c>
      <c r="N211" s="170">
        <f>L211/I211</f>
        <v>0</v>
      </c>
      <c r="P211">
        <f>IF($Q$7=1,TEXT(I211,"0.000"),"")</f>
      </c>
      <c r="Q211">
        <f>IF($Q$7=1,TEXT(VALUE(K211),"0.000"),"")</f>
      </c>
      <c r="R211" s="166" t="str">
        <f>IF($Q$7=2,TEXT(VALUE(K211),"0.000"),"")</f>
        <v>0.892</v>
      </c>
      <c r="W211" s="12">
        <v>7</v>
      </c>
      <c r="X211" s="38">
        <f>WCEC3!J$15</f>
        <v>0</v>
      </c>
      <c r="Y211" s="38">
        <f>SUM(X211:X211)</f>
        <v>0</v>
      </c>
    </row>
    <row r="212" spans="1:14" ht="15">
      <c r="A212" s="18">
        <v>17</v>
      </c>
      <c r="L212" s="81"/>
      <c r="N212" s="81"/>
    </row>
    <row r="213" spans="1:14" ht="15">
      <c r="A213" s="18">
        <v>18</v>
      </c>
      <c r="L213" s="81"/>
      <c r="N213" s="81"/>
    </row>
    <row r="214" spans="1:25" ht="15" thickBot="1">
      <c r="A214" s="18">
        <v>19</v>
      </c>
      <c r="D214" s="24" t="s">
        <v>64</v>
      </c>
      <c r="E214" s="24"/>
      <c r="F214" s="25" t="s">
        <v>59</v>
      </c>
      <c r="G214" s="25"/>
      <c r="H214" s="25"/>
      <c r="I214" s="25"/>
      <c r="J214" s="25"/>
      <c r="K214" s="25"/>
      <c r="L214" s="82"/>
      <c r="N214" s="82"/>
      <c r="X214" s="25"/>
      <c r="Y214" s="25"/>
    </row>
    <row r="215" spans="1:25" ht="15">
      <c r="A215" s="18">
        <v>20</v>
      </c>
      <c r="F215" s="5" t="s">
        <v>35</v>
      </c>
      <c r="I215" s="39">
        <v>1649.04</v>
      </c>
      <c r="J215" s="39">
        <f aca="true" t="shared" si="8" ref="J215:J226">IF(X215="","",X215)</f>
      </c>
      <c r="K215" s="39">
        <f>I215+Y215</f>
        <v>1649.04</v>
      </c>
      <c r="L215" s="39">
        <f>(K215-I215)</f>
        <v>0</v>
      </c>
      <c r="N215" s="170">
        <f>L215/I215</f>
        <v>0</v>
      </c>
      <c r="P215">
        <f>IF($Q$7=1,TEXT(I215,"$0.00"),"")</f>
      </c>
      <c r="Q215">
        <f>IF($Q$7=1,TEXT(VALUE(K215),"$0,000.00"),"")</f>
      </c>
      <c r="R215" s="166" t="str">
        <f>IF($Q$7=2,TEXT(VALUE(K215),"$0,000.00"),"")</f>
        <v>$1,649.04</v>
      </c>
      <c r="X215" s="39"/>
      <c r="Y215" s="39">
        <f>SUM(X215:X215)</f>
        <v>0</v>
      </c>
    </row>
    <row r="216" spans="1:25" ht="15">
      <c r="A216" s="18">
        <v>21</v>
      </c>
      <c r="I216" s="39"/>
      <c r="J216" s="39">
        <f t="shared" si="8"/>
      </c>
      <c r="K216" s="39"/>
      <c r="L216" s="39"/>
      <c r="N216" s="39"/>
      <c r="X216" s="39"/>
      <c r="Y216" s="39"/>
    </row>
    <row r="217" spans="1:25" ht="15">
      <c r="A217" s="18">
        <v>22</v>
      </c>
      <c r="F217" s="5" t="s">
        <v>36</v>
      </c>
      <c r="I217" s="39">
        <v>7.69</v>
      </c>
      <c r="J217" s="39">
        <f t="shared" si="8"/>
        <v>0.51</v>
      </c>
      <c r="K217" s="39">
        <f>I217+Y217</f>
        <v>8.200000000000001</v>
      </c>
      <c r="L217" s="39">
        <f>(K217-I217)</f>
        <v>0.5100000000000007</v>
      </c>
      <c r="N217" s="170">
        <f>L217/I217</f>
        <v>0.06631989596879072</v>
      </c>
      <c r="P217">
        <f>IF($Q$7=1,TEXT(I217,"$0.00"),"")</f>
      </c>
      <c r="Q217">
        <f>IF($Q$7=1,TEXT(VALUE(K217),"$0.00"),"")</f>
      </c>
      <c r="R217" s="166" t="str">
        <f>IF($Q$7=2,TEXT(VALUE(K217),"$0.00"),"")</f>
        <v>$8.20</v>
      </c>
      <c r="X217" s="39">
        <f>WCEC3!$K$15</f>
        <v>0.51</v>
      </c>
      <c r="Y217" s="39">
        <f>SUM(X217:X217)</f>
        <v>0.51</v>
      </c>
    </row>
    <row r="218" spans="1:25" ht="15">
      <c r="A218" s="18">
        <v>23</v>
      </c>
      <c r="I218" s="39"/>
      <c r="J218" s="39">
        <f t="shared" si="8"/>
      </c>
      <c r="K218" s="39"/>
      <c r="L218" s="39"/>
      <c r="N218" s="39"/>
      <c r="X218" s="39"/>
      <c r="Y218" s="39"/>
    </row>
    <row r="219" spans="1:25" ht="15">
      <c r="A219" s="18">
        <v>24</v>
      </c>
      <c r="F219" s="5" t="s">
        <v>18</v>
      </c>
      <c r="I219" s="38">
        <v>0.932</v>
      </c>
      <c r="J219" s="38">
        <f t="shared" si="8"/>
        <v>0</v>
      </c>
      <c r="K219" s="38">
        <f>I219+Y219</f>
        <v>0.932</v>
      </c>
      <c r="L219" s="38">
        <f>(K219-I219)</f>
        <v>0</v>
      </c>
      <c r="N219" s="170">
        <f>L219/I219</f>
        <v>0</v>
      </c>
      <c r="P219">
        <f>IF($Q$7=1,TEXT(I219,"0.000"),"")</f>
      </c>
      <c r="Q219">
        <f>IF($Q$7=1,TEXT(VALUE(K219),"0.000"),"")</f>
      </c>
      <c r="R219" s="166" t="str">
        <f>IF($Q$7=2,TEXT(VALUE(K219),"0.000"),"")</f>
        <v>0.932</v>
      </c>
      <c r="W219" s="12">
        <v>7</v>
      </c>
      <c r="X219" s="38">
        <f>WCEC3!J$15</f>
        <v>0</v>
      </c>
      <c r="Y219" s="38">
        <f>SUM(X219:X219)</f>
        <v>0</v>
      </c>
    </row>
    <row r="220" spans="1:14" ht="15">
      <c r="A220" s="18">
        <v>25</v>
      </c>
      <c r="J220" s="5">
        <f t="shared" si="8"/>
      </c>
      <c r="L220" s="5"/>
      <c r="N220" s="5"/>
    </row>
    <row r="221" spans="1:25" ht="15">
      <c r="A221" s="18">
        <v>26</v>
      </c>
      <c r="F221" s="5" t="s">
        <v>53</v>
      </c>
      <c r="I221" s="39">
        <v>-1.93</v>
      </c>
      <c r="J221" s="39">
        <f t="shared" si="8"/>
      </c>
      <c r="K221" s="39">
        <f>I221+Y221</f>
        <v>-1.93</v>
      </c>
      <c r="L221" s="39">
        <f>(K221-I221)</f>
        <v>0</v>
      </c>
      <c r="N221" s="170">
        <f>L221/I221</f>
        <v>0</v>
      </c>
      <c r="P221">
        <f>IF($Q$7=1,TEXT(I221,"$0.00"),"")</f>
      </c>
      <c r="Q221">
        <f>IF($Q$7=1,TEXT(VALUE(K221),"$0.00"),"")</f>
      </c>
      <c r="R221" s="166" t="str">
        <f>IF($Q$7=2,TEXT(VALUE(-K221),"$0.00"),"")</f>
        <v>$1.93</v>
      </c>
      <c r="X221" s="39"/>
      <c r="Y221" s="39">
        <f>SUM(X221:X221)</f>
        <v>0</v>
      </c>
    </row>
    <row r="222" spans="1:25" ht="15">
      <c r="A222" s="18">
        <v>27</v>
      </c>
      <c r="I222" s="38"/>
      <c r="J222" s="38">
        <f t="shared" si="8"/>
      </c>
      <c r="K222" s="38"/>
      <c r="L222" s="38"/>
      <c r="N222" s="38"/>
      <c r="X222" s="38"/>
      <c r="Y222" s="38"/>
    </row>
    <row r="223" spans="1:14" ht="15">
      <c r="A223" s="18">
        <v>28</v>
      </c>
      <c r="F223" s="5" t="s">
        <v>47</v>
      </c>
      <c r="J223" s="5">
        <f t="shared" si="8"/>
      </c>
      <c r="L223" s="5"/>
      <c r="N223" s="5"/>
    </row>
    <row r="224" spans="1:25" ht="15">
      <c r="A224" s="18">
        <v>29</v>
      </c>
      <c r="F224" s="51" t="s">
        <v>274</v>
      </c>
      <c r="I224" s="39">
        <v>1.93</v>
      </c>
      <c r="J224" s="39">
        <f t="shared" si="8"/>
      </c>
      <c r="K224" s="39">
        <f>I224+Y224</f>
        <v>1.93</v>
      </c>
      <c r="L224" s="39">
        <f>(K224-I224)</f>
        <v>0</v>
      </c>
      <c r="N224" s="170">
        <f>L224/I224</f>
        <v>0</v>
      </c>
      <c r="P224">
        <f>IF($Q$7=1,TEXT(I224,"$0.00"),"")</f>
      </c>
      <c r="Q224">
        <f>IF($Q$7=1,TEXT(VALUE(K224),"$0.00"),"")</f>
      </c>
      <c r="R224" s="166" t="str">
        <f>IF($Q$7=2,TEXT(VALUE(K224),"$0.00"),"")</f>
        <v>$1.93</v>
      </c>
      <c r="X224" s="39"/>
      <c r="Y224" s="39">
        <f>SUM(X224:X224)</f>
        <v>0</v>
      </c>
    </row>
    <row r="225" spans="1:25" ht="15">
      <c r="A225" s="18">
        <v>30</v>
      </c>
      <c r="D225" s="7"/>
      <c r="E225" s="7"/>
      <c r="F225" s="5" t="s">
        <v>49</v>
      </c>
      <c r="I225" s="39">
        <v>4.16</v>
      </c>
      <c r="J225" s="39">
        <f t="shared" si="8"/>
      </c>
      <c r="K225" s="39">
        <f>I225+Y225</f>
        <v>4.16</v>
      </c>
      <c r="L225" s="39">
        <f>(K225-I225)</f>
        <v>0</v>
      </c>
      <c r="N225" s="170">
        <f>L225/I225</f>
        <v>0</v>
      </c>
      <c r="P225">
        <f>IF($Q$7=1,TEXT(I225,"$0.00"),"")</f>
      </c>
      <c r="Q225">
        <f>IF($Q$7=1,TEXT(VALUE(K225),"$0.00"),"")</f>
      </c>
      <c r="R225" s="166" t="str">
        <f>IF($Q$7=2,TEXT(VALUE(K225),"$0.00"),"")</f>
        <v>$4.16</v>
      </c>
      <c r="X225" s="39"/>
      <c r="Y225" s="39">
        <f>SUM(X225:X225)</f>
        <v>0</v>
      </c>
    </row>
    <row r="226" spans="1:25" ht="15">
      <c r="A226" s="18">
        <v>31</v>
      </c>
      <c r="F226" s="5" t="s">
        <v>50</v>
      </c>
      <c r="I226" s="39">
        <v>1.23</v>
      </c>
      <c r="J226" s="39">
        <f t="shared" si="8"/>
      </c>
      <c r="K226" s="39">
        <f>I226+Y226</f>
        <v>1.23</v>
      </c>
      <c r="L226" s="39">
        <f>(K226-I226)</f>
        <v>0</v>
      </c>
      <c r="N226" s="170">
        <f>L226/I226</f>
        <v>0</v>
      </c>
      <c r="X226" s="39"/>
      <c r="Y226" s="39">
        <f>SUM(X226:X226)</f>
        <v>0</v>
      </c>
    </row>
    <row r="227" spans="1:14" ht="15">
      <c r="A227" s="18">
        <v>32</v>
      </c>
      <c r="L227" s="81"/>
      <c r="N227" s="81"/>
    </row>
    <row r="228" spans="1:25" ht="15">
      <c r="A228" s="18">
        <v>33</v>
      </c>
      <c r="D228" s="7"/>
      <c r="E228" s="7"/>
      <c r="F228" s="7"/>
      <c r="G228" s="7"/>
      <c r="H228" s="7"/>
      <c r="I228" s="7"/>
      <c r="J228" s="7"/>
      <c r="K228" s="7"/>
      <c r="L228" s="83"/>
      <c r="N228" s="83"/>
      <c r="X228" s="7"/>
      <c r="Y228" s="7"/>
    </row>
    <row r="229" spans="1:25" ht="15">
      <c r="A229" s="18">
        <v>34</v>
      </c>
      <c r="D229" s="7"/>
      <c r="E229" s="7"/>
      <c r="F229" s="7"/>
      <c r="G229" s="7"/>
      <c r="H229" s="7"/>
      <c r="I229" s="7"/>
      <c r="J229" s="7"/>
      <c r="K229" s="7"/>
      <c r="L229" s="83"/>
      <c r="N229" s="83"/>
      <c r="X229" s="7"/>
      <c r="Y229" s="7"/>
    </row>
    <row r="230" spans="1:25" ht="15">
      <c r="A230" s="18">
        <v>35</v>
      </c>
      <c r="D230" s="7"/>
      <c r="E230" s="7"/>
      <c r="F230" s="7"/>
      <c r="G230" s="7"/>
      <c r="H230" s="7"/>
      <c r="I230" s="7"/>
      <c r="J230" s="7"/>
      <c r="K230" s="7"/>
      <c r="L230" s="88"/>
      <c r="N230" s="88"/>
      <c r="X230" s="7"/>
      <c r="Y230" s="7"/>
    </row>
    <row r="231" spans="1:23" s="42" customFormat="1" ht="15">
      <c r="A231" s="18">
        <v>36</v>
      </c>
      <c r="B231" s="3"/>
      <c r="C231" s="3"/>
      <c r="L231" s="89"/>
      <c r="M231" s="41"/>
      <c r="N231" s="89"/>
      <c r="O231" s="6"/>
      <c r="P231"/>
      <c r="Q231"/>
      <c r="R231" s="166"/>
      <c r="S231" s="6"/>
      <c r="T231" s="6"/>
      <c r="U231" s="6"/>
      <c r="V231" s="6"/>
      <c r="W231" s="78"/>
    </row>
    <row r="232" spans="1:23" s="42" customFormat="1" ht="15">
      <c r="A232" s="18">
        <v>37</v>
      </c>
      <c r="B232" s="3"/>
      <c r="C232" s="3"/>
      <c r="L232" s="89"/>
      <c r="M232" s="41"/>
      <c r="N232" s="89"/>
      <c r="O232" s="6"/>
      <c r="P232"/>
      <c r="Q232"/>
      <c r="R232" s="166"/>
      <c r="S232" s="6"/>
      <c r="T232" s="6"/>
      <c r="U232" s="6"/>
      <c r="V232" s="6"/>
      <c r="W232" s="78"/>
    </row>
    <row r="233" spans="1:25" ht="15">
      <c r="A233" s="16">
        <v>38</v>
      </c>
      <c r="B233" s="3"/>
      <c r="C233" s="3"/>
      <c r="D233" s="7"/>
      <c r="E233" s="7"/>
      <c r="F233" s="7"/>
      <c r="G233" s="7"/>
      <c r="H233" s="7"/>
      <c r="I233" s="7"/>
      <c r="J233" s="7"/>
      <c r="K233" s="7"/>
      <c r="L233" s="88"/>
      <c r="M233" s="41"/>
      <c r="N233" s="88"/>
      <c r="X233" s="7"/>
      <c r="Y233" s="7"/>
    </row>
    <row r="234" spans="1:25" ht="15">
      <c r="A234" s="16">
        <v>39</v>
      </c>
      <c r="B234" s="3"/>
      <c r="C234" s="3"/>
      <c r="D234" s="7"/>
      <c r="E234" s="7"/>
      <c r="F234" s="7"/>
      <c r="G234" s="7"/>
      <c r="H234" s="7"/>
      <c r="I234" s="7"/>
      <c r="J234" s="7"/>
      <c r="K234" s="7"/>
      <c r="L234" s="88"/>
      <c r="M234" s="41"/>
      <c r="N234" s="88"/>
      <c r="X234" s="7"/>
      <c r="Y234" s="7"/>
    </row>
    <row r="235" spans="1:25" ht="15">
      <c r="A235" s="16">
        <v>40</v>
      </c>
      <c r="B235" s="3"/>
      <c r="C235" s="3"/>
      <c r="D235" s="7"/>
      <c r="E235" s="7"/>
      <c r="F235" s="7"/>
      <c r="G235" s="7"/>
      <c r="H235" s="7"/>
      <c r="I235" s="7"/>
      <c r="J235" s="7"/>
      <c r="K235" s="7"/>
      <c r="L235" s="88"/>
      <c r="M235" s="41"/>
      <c r="N235" s="88"/>
      <c r="X235" s="7"/>
      <c r="Y235" s="7"/>
    </row>
    <row r="236" spans="1:25" ht="15">
      <c r="A236" s="16">
        <v>41</v>
      </c>
      <c r="B236" s="3"/>
      <c r="C236" s="3"/>
      <c r="D236" s="7"/>
      <c r="E236" s="7"/>
      <c r="F236" s="7"/>
      <c r="G236" s="7"/>
      <c r="H236" s="7"/>
      <c r="I236" s="7"/>
      <c r="J236" s="7"/>
      <c r="K236" s="7"/>
      <c r="L236" s="88"/>
      <c r="M236" s="41"/>
      <c r="N236" s="88"/>
      <c r="X236" s="7"/>
      <c r="Y236" s="7"/>
    </row>
    <row r="237" spans="1:25" ht="15">
      <c r="A237" s="16">
        <v>42</v>
      </c>
      <c r="B237" s="3"/>
      <c r="C237" s="3"/>
      <c r="D237" s="7"/>
      <c r="E237" s="7"/>
      <c r="F237" s="7"/>
      <c r="G237" s="7"/>
      <c r="H237" s="7"/>
      <c r="I237" s="7"/>
      <c r="J237" s="7"/>
      <c r="K237" s="7"/>
      <c r="L237" s="88"/>
      <c r="M237" s="41"/>
      <c r="N237" s="88"/>
      <c r="X237" s="7"/>
      <c r="Y237" s="7"/>
    </row>
    <row r="238" spans="1:25" ht="15">
      <c r="A238" s="3"/>
      <c r="B238" s="3"/>
      <c r="C238" s="43"/>
      <c r="D238" s="41"/>
      <c r="E238" s="41"/>
      <c r="F238" s="41"/>
      <c r="G238" s="41"/>
      <c r="H238" s="41"/>
      <c r="I238" s="41"/>
      <c r="J238" s="41"/>
      <c r="K238" s="41"/>
      <c r="L238" s="84"/>
      <c r="M238" s="41"/>
      <c r="N238" s="84"/>
      <c r="X238" s="41"/>
      <c r="Y238" s="41"/>
    </row>
    <row r="239" spans="1:25" ht="15" thickBot="1">
      <c r="A239" s="16"/>
      <c r="B239" s="3"/>
      <c r="C239" s="3"/>
      <c r="D239" s="41"/>
      <c r="E239" s="41"/>
      <c r="F239" s="41"/>
      <c r="G239" s="41"/>
      <c r="H239" s="41"/>
      <c r="I239" s="41"/>
      <c r="J239" s="41"/>
      <c r="K239" s="41"/>
      <c r="L239" s="84"/>
      <c r="M239" s="41"/>
      <c r="N239" s="84"/>
      <c r="O239" s="41"/>
      <c r="X239" s="41"/>
      <c r="Y239" s="41"/>
    </row>
    <row r="240" spans="1:25" ht="15">
      <c r="A240" s="45" t="s">
        <v>31</v>
      </c>
      <c r="B240" s="14"/>
      <c r="C240" s="14"/>
      <c r="D240" s="45"/>
      <c r="E240" s="45"/>
      <c r="F240" s="45"/>
      <c r="G240" s="45"/>
      <c r="H240" s="45"/>
      <c r="I240" s="45"/>
      <c r="J240" s="45"/>
      <c r="K240" s="45" t="s">
        <v>32</v>
      </c>
      <c r="L240" s="85"/>
      <c r="M240" s="45"/>
      <c r="N240" s="85"/>
      <c r="O240" s="1"/>
      <c r="X240" s="45"/>
      <c r="Y240" s="45"/>
    </row>
    <row r="241" spans="1:25" ht="15" thickBot="1">
      <c r="A241" s="18">
        <v>1</v>
      </c>
      <c r="D241" s="24" t="s">
        <v>65</v>
      </c>
      <c r="E241" s="24"/>
      <c r="F241" s="25" t="s">
        <v>61</v>
      </c>
      <c r="G241" s="25"/>
      <c r="H241" s="25"/>
      <c r="I241" s="25"/>
      <c r="J241" s="25"/>
      <c r="K241" s="25"/>
      <c r="L241" s="82"/>
      <c r="N241" s="82"/>
      <c r="X241" s="25"/>
      <c r="Y241" s="25"/>
    </row>
    <row r="242" spans="1:25" ht="15">
      <c r="A242" s="18">
        <v>2</v>
      </c>
      <c r="D242" s="7"/>
      <c r="E242" s="7"/>
      <c r="F242" s="5" t="s">
        <v>35</v>
      </c>
      <c r="I242" s="39">
        <v>1649.04</v>
      </c>
      <c r="J242" s="39">
        <f aca="true" t="shared" si="9" ref="J242:J255">IF(X242="","",X242)</f>
      </c>
      <c r="K242" s="39">
        <f>I242+Y242</f>
        <v>1649.04</v>
      </c>
      <c r="L242" s="39">
        <f>(K242-I242)</f>
        <v>0</v>
      </c>
      <c r="N242" s="170">
        <f>L242/I242</f>
        <v>0</v>
      </c>
      <c r="P242">
        <f>IF($Q$7=1,TEXT(I242,"$0.00"),"")</f>
      </c>
      <c r="Q242">
        <f>IF($Q$7=1,TEXT(VALUE(K242),"$0,000.00"),"")</f>
      </c>
      <c r="R242" s="166" t="str">
        <f>IF($Q$7=2,TEXT(VALUE(K242),"$0,000.00"),"")</f>
        <v>$1,649.04</v>
      </c>
      <c r="X242" s="39"/>
      <c r="Y242" s="39">
        <f>SUM(X242:X242)</f>
        <v>0</v>
      </c>
    </row>
    <row r="243" spans="1:25" ht="15">
      <c r="A243" s="18">
        <v>3</v>
      </c>
      <c r="I243" s="39"/>
      <c r="J243" s="39">
        <f t="shared" si="9"/>
      </c>
      <c r="K243" s="39"/>
      <c r="L243" s="39"/>
      <c r="N243" s="39"/>
      <c r="X243" s="39"/>
      <c r="Y243" s="39"/>
    </row>
    <row r="244" spans="1:25" ht="15">
      <c r="A244" s="18">
        <v>4</v>
      </c>
      <c r="F244" s="5" t="s">
        <v>39</v>
      </c>
      <c r="I244" s="39">
        <v>7.69</v>
      </c>
      <c r="J244" s="39">
        <f t="shared" si="9"/>
        <v>0.51</v>
      </c>
      <c r="K244" s="39">
        <f>I244+Y244</f>
        <v>8.200000000000001</v>
      </c>
      <c r="L244" s="39">
        <f>(K244-I244)</f>
        <v>0.5100000000000007</v>
      </c>
      <c r="N244" s="170">
        <f>L244/I244</f>
        <v>0.06631989596879072</v>
      </c>
      <c r="P244">
        <f>IF($Q$7=1,TEXT(I244,"$0.00"),"")</f>
      </c>
      <c r="Q244">
        <f>IF($Q$7=1,TEXT(VALUE(K244),"$0.00"),"")</f>
      </c>
      <c r="R244" s="166" t="str">
        <f>IF($Q$7=2,TEXT(VALUE(K244),"$0.00"),"")</f>
        <v>$8.20</v>
      </c>
      <c r="X244" s="39">
        <f>WCEC3!$K$15</f>
        <v>0.51</v>
      </c>
      <c r="Y244" s="39">
        <f>SUM(X244:X244)</f>
        <v>0.51</v>
      </c>
    </row>
    <row r="245" spans="1:25" ht="15">
      <c r="A245" s="18">
        <v>5</v>
      </c>
      <c r="I245" s="39"/>
      <c r="J245" s="39">
        <f t="shared" si="9"/>
      </c>
      <c r="K245" s="39"/>
      <c r="L245" s="39"/>
      <c r="N245" s="39"/>
      <c r="X245" s="39"/>
      <c r="Y245" s="39"/>
    </row>
    <row r="246" spans="1:25" ht="15">
      <c r="A246" s="18">
        <v>6</v>
      </c>
      <c r="F246" s="5" t="s">
        <v>18</v>
      </c>
      <c r="I246" s="38"/>
      <c r="J246" s="38">
        <f t="shared" si="9"/>
      </c>
      <c r="K246" s="38"/>
      <c r="L246" s="38"/>
      <c r="N246" s="38"/>
      <c r="X246" s="38"/>
      <c r="Y246" s="38"/>
    </row>
    <row r="247" spans="1:25" ht="15">
      <c r="A247" s="18">
        <v>7</v>
      </c>
      <c r="F247" s="5" t="s">
        <v>23</v>
      </c>
      <c r="I247" s="38">
        <v>1.043</v>
      </c>
      <c r="J247" s="38">
        <f t="shared" si="9"/>
        <v>0</v>
      </c>
      <c r="K247" s="38">
        <f>I247+Y247</f>
        <v>1.043</v>
      </c>
      <c r="L247" s="38">
        <f>(K247-I247)</f>
        <v>0</v>
      </c>
      <c r="N247" s="170">
        <f>L247/I247</f>
        <v>0</v>
      </c>
      <c r="P247">
        <f>IF($Q$7=1,TEXT(I247,"0.000"),"")</f>
      </c>
      <c r="Q247">
        <f>IF($Q$7=1,TEXT(VALUE(K247),"0.000"),"")</f>
      </c>
      <c r="R247" s="166" t="str">
        <f>IF($Q$7=2,TEXT(VALUE(K247),"0.000"),"")</f>
        <v>1.043</v>
      </c>
      <c r="W247" s="12">
        <v>7</v>
      </c>
      <c r="X247" s="38">
        <f>WCEC3!J$15</f>
        <v>0</v>
      </c>
      <c r="Y247" s="38">
        <f>SUM(X247:X247)</f>
        <v>0</v>
      </c>
    </row>
    <row r="248" spans="1:25" ht="15">
      <c r="A248" s="18">
        <v>8</v>
      </c>
      <c r="F248" s="5" t="s">
        <v>24</v>
      </c>
      <c r="I248" s="38">
        <v>0.892</v>
      </c>
      <c r="J248" s="38">
        <f t="shared" si="9"/>
        <v>0</v>
      </c>
      <c r="K248" s="38">
        <f>I248+Y248</f>
        <v>0.892</v>
      </c>
      <c r="L248" s="38">
        <f>(K248-I248)</f>
        <v>0</v>
      </c>
      <c r="N248" s="170">
        <f>L248/I248</f>
        <v>0</v>
      </c>
      <c r="P248">
        <f>IF($Q$7=1,TEXT(I248,"0.000"),"")</f>
      </c>
      <c r="Q248">
        <f>IF($Q$7=1,TEXT(VALUE(K248),"0.000"),"")</f>
      </c>
      <c r="R248" s="166" t="str">
        <f>IF($Q$7=2,TEXT(VALUE(K248),"0.000"),"")</f>
        <v>0.892</v>
      </c>
      <c r="W248" s="12">
        <v>7</v>
      </c>
      <c r="X248" s="38">
        <f>WCEC3!J$15</f>
        <v>0</v>
      </c>
      <c r="Y248" s="38">
        <f>SUM(X248:X248)</f>
        <v>0</v>
      </c>
    </row>
    <row r="249" spans="1:25" ht="15">
      <c r="A249" s="18">
        <v>9</v>
      </c>
      <c r="I249" s="38"/>
      <c r="J249" s="38">
        <f t="shared" si="9"/>
      </c>
      <c r="K249" s="38"/>
      <c r="L249" s="38"/>
      <c r="N249" s="38"/>
      <c r="X249" s="38"/>
      <c r="Y249" s="38"/>
    </row>
    <row r="250" spans="1:25" ht="15">
      <c r="A250" s="18">
        <v>10</v>
      </c>
      <c r="F250" s="5" t="s">
        <v>53</v>
      </c>
      <c r="I250" s="39">
        <v>-1.93</v>
      </c>
      <c r="J250" s="39">
        <f t="shared" si="9"/>
      </c>
      <c r="K250" s="39">
        <f>I250+Y250</f>
        <v>-1.93</v>
      </c>
      <c r="L250" s="39">
        <f>(K250-I250)</f>
        <v>0</v>
      </c>
      <c r="N250" s="170">
        <f>L250/I250</f>
        <v>0</v>
      </c>
      <c r="P250">
        <f>IF($Q$7=1,TEXT(I250,"$0.00"),"")</f>
      </c>
      <c r="Q250">
        <f>IF($Q$7=1,TEXT(VALUE(K250),"$0.00"),"")</f>
      </c>
      <c r="R250" s="166" t="str">
        <f>IF($Q$7=2,TEXT(VALUE(-K250),"$0.00"),"")</f>
        <v>$1.93</v>
      </c>
      <c r="X250" s="39"/>
      <c r="Y250" s="39">
        <f>SUM(X250:X250)</f>
        <v>0</v>
      </c>
    </row>
    <row r="251" spans="1:14" ht="15">
      <c r="A251" s="18">
        <v>11</v>
      </c>
      <c r="F251" s="18"/>
      <c r="J251" s="5">
        <f t="shared" si="9"/>
      </c>
      <c r="L251" s="5"/>
      <c r="N251" s="5"/>
    </row>
    <row r="252" spans="1:14" ht="15">
      <c r="A252" s="18">
        <v>12</v>
      </c>
      <c r="F252" s="52" t="s">
        <v>47</v>
      </c>
      <c r="J252" s="5">
        <f t="shared" si="9"/>
      </c>
      <c r="L252" s="5"/>
      <c r="N252" s="5"/>
    </row>
    <row r="253" spans="1:25" ht="15">
      <c r="A253" s="18">
        <v>13</v>
      </c>
      <c r="F253" s="5" t="s">
        <v>48</v>
      </c>
      <c r="I253" s="39">
        <v>1.93</v>
      </c>
      <c r="J253" s="39">
        <f t="shared" si="9"/>
      </c>
      <c r="K253" s="39">
        <f>I253+Y253</f>
        <v>1.93</v>
      </c>
      <c r="L253" s="39">
        <f>(K253-I253)</f>
        <v>0</v>
      </c>
      <c r="N253" s="170">
        <f>L253/I253</f>
        <v>0</v>
      </c>
      <c r="P253">
        <f>IF($Q$7=1,TEXT(I253,"$0.00"),"")</f>
      </c>
      <c r="Q253">
        <f>IF($Q$7=1,TEXT(VALUE(K253),"$0.00"),"")</f>
      </c>
      <c r="R253" s="166" t="str">
        <f>IF($Q$7=2,TEXT(VALUE(K253),"$0.00"),"")</f>
        <v>$1.93</v>
      </c>
      <c r="X253" s="39"/>
      <c r="Y253" s="39">
        <f>SUM(X253:X253)</f>
        <v>0</v>
      </c>
    </row>
    <row r="254" spans="1:25" ht="15">
      <c r="A254" s="18">
        <v>14</v>
      </c>
      <c r="F254" s="5" t="s">
        <v>49</v>
      </c>
      <c r="I254" s="39">
        <v>4.16</v>
      </c>
      <c r="J254" s="39">
        <f t="shared" si="9"/>
      </c>
      <c r="K254" s="39">
        <f>I254+Y254</f>
        <v>4.16</v>
      </c>
      <c r="L254" s="39">
        <f>(K254-I254)</f>
        <v>0</v>
      </c>
      <c r="N254" s="170">
        <f>L254/I254</f>
        <v>0</v>
      </c>
      <c r="P254">
        <f>IF($Q$7=1,TEXT(I254,"$0.00"),"")</f>
      </c>
      <c r="Q254">
        <f>IF($Q$7=1,TEXT(VALUE(K254),"$0.00"),"")</f>
      </c>
      <c r="R254" s="166" t="str">
        <f>IF($Q$7=2,TEXT(VALUE(K254),"$0.00"),"")</f>
        <v>$4.16</v>
      </c>
      <c r="X254" s="39"/>
      <c r="Y254" s="39">
        <f>SUM(X254:X254)</f>
        <v>0</v>
      </c>
    </row>
    <row r="255" spans="1:25" ht="15">
      <c r="A255" s="18">
        <v>15</v>
      </c>
      <c r="D255" s="7"/>
      <c r="E255" s="7"/>
      <c r="F255" s="5" t="s">
        <v>50</v>
      </c>
      <c r="I255" s="39">
        <v>1.23</v>
      </c>
      <c r="J255" s="39">
        <f t="shared" si="9"/>
      </c>
      <c r="K255" s="39">
        <f>I255+Y255</f>
        <v>1.23</v>
      </c>
      <c r="L255" s="39">
        <f>(K255-I255)</f>
        <v>0</v>
      </c>
      <c r="N255" s="170">
        <f>L255/I255</f>
        <v>0</v>
      </c>
      <c r="X255" s="39"/>
      <c r="Y255" s="39">
        <f>SUM(X255:X255)</f>
        <v>0</v>
      </c>
    </row>
    <row r="256" spans="1:25" ht="15">
      <c r="A256" s="18">
        <v>16</v>
      </c>
      <c r="I256" s="39"/>
      <c r="J256" s="39"/>
      <c r="K256" s="39"/>
      <c r="L256" s="81"/>
      <c r="N256" s="81"/>
      <c r="X256" s="39"/>
      <c r="Y256" s="39"/>
    </row>
    <row r="257" spans="1:25" ht="15" thickBot="1">
      <c r="A257" s="18">
        <v>17</v>
      </c>
      <c r="D257" s="24" t="s">
        <v>66</v>
      </c>
      <c r="E257" s="24"/>
      <c r="F257" s="25" t="s">
        <v>67</v>
      </c>
      <c r="G257" s="25"/>
      <c r="H257" s="25"/>
      <c r="I257" s="25"/>
      <c r="J257" s="25"/>
      <c r="K257" s="25"/>
      <c r="L257" s="82"/>
      <c r="N257" s="82"/>
      <c r="X257" s="25"/>
      <c r="Y257" s="25"/>
    </row>
    <row r="258" spans="1:25" ht="15">
      <c r="A258" s="18">
        <v>18</v>
      </c>
      <c r="F258" s="5" t="s">
        <v>35</v>
      </c>
      <c r="I258" s="39">
        <v>115.8</v>
      </c>
      <c r="J258" s="39">
        <f>IF(X258="","",X258)</f>
      </c>
      <c r="K258" s="39">
        <f>I258+Y258</f>
        <v>115.8</v>
      </c>
      <c r="L258" s="39">
        <f>(K258-I258)</f>
        <v>0</v>
      </c>
      <c r="N258" s="170">
        <f>L258/I258</f>
        <v>0</v>
      </c>
      <c r="P258">
        <f>IF($Q$7=1,TEXT(I258,"$0.00"),"")</f>
      </c>
      <c r="Q258">
        <f>IF($Q$7=1,TEXT(VALUE(K258),"$0.00"),"")</f>
      </c>
      <c r="R258" s="166" t="str">
        <f>IF($Q$7=2,TEXT(VALUE(K258),"$0.00"),"")</f>
        <v>$115.80</v>
      </c>
      <c r="X258" s="39"/>
      <c r="Y258" s="39">
        <f>SUM(X258:X258)</f>
        <v>0</v>
      </c>
    </row>
    <row r="259" spans="1:25" ht="15">
      <c r="A259" s="18">
        <v>19</v>
      </c>
      <c r="F259" s="7"/>
      <c r="G259" s="7"/>
      <c r="H259" s="7"/>
      <c r="I259" s="7"/>
      <c r="J259" s="7">
        <f>IF(X259="","",X259)</f>
      </c>
      <c r="K259" s="7"/>
      <c r="L259" s="7"/>
      <c r="N259" s="7"/>
      <c r="X259" s="7"/>
      <c r="Y259" s="7"/>
    </row>
    <row r="260" spans="1:25" ht="15">
      <c r="A260" s="18">
        <v>20</v>
      </c>
      <c r="F260" s="5" t="s">
        <v>18</v>
      </c>
      <c r="I260" s="38">
        <v>6.784</v>
      </c>
      <c r="J260" s="38">
        <f>IF(X260="","",X260)</f>
        <v>0.063</v>
      </c>
      <c r="K260" s="38">
        <f>I260+Y260</f>
        <v>6.8469999999999995</v>
      </c>
      <c r="L260" s="38">
        <f>(K260-I260)</f>
        <v>0.06299999999999972</v>
      </c>
      <c r="N260" s="170">
        <f>L260/I260</f>
        <v>0.009286556603773545</v>
      </c>
      <c r="P260">
        <f>IF($Q$7=1,TEXT(I260,"0.000"),"")</f>
      </c>
      <c r="Q260">
        <f>IF($Q$7=1,TEXT(VALUE(K260),"0.000"),"")</f>
      </c>
      <c r="R260" s="166" t="str">
        <f>IF($Q$7=2,TEXT(VALUE(K260),"0.000"),"")</f>
        <v>6.847</v>
      </c>
      <c r="W260" s="12">
        <v>4</v>
      </c>
      <c r="X260" s="38">
        <f>WCEC3!J18</f>
        <v>0.063</v>
      </c>
      <c r="Y260" s="38">
        <f>SUM(X260:X260)</f>
        <v>0.063</v>
      </c>
    </row>
    <row r="261" spans="1:14" ht="15">
      <c r="A261" s="18">
        <v>21</v>
      </c>
      <c r="L261" s="81"/>
      <c r="N261" s="81"/>
    </row>
    <row r="262" spans="1:25" ht="15">
      <c r="A262" s="18">
        <v>22</v>
      </c>
      <c r="D262" s="7"/>
      <c r="E262" s="7"/>
      <c r="F262" s="7"/>
      <c r="G262" s="7"/>
      <c r="H262" s="7"/>
      <c r="I262" s="7"/>
      <c r="J262" s="7"/>
      <c r="K262" s="7"/>
      <c r="L262" s="83"/>
      <c r="N262" s="83"/>
      <c r="X262" s="7"/>
      <c r="Y262" s="7"/>
    </row>
    <row r="263" spans="1:25" ht="15" thickBot="1">
      <c r="A263" s="18">
        <v>23</v>
      </c>
      <c r="D263" s="24" t="s">
        <v>68</v>
      </c>
      <c r="E263" s="24"/>
      <c r="F263" s="25" t="s">
        <v>69</v>
      </c>
      <c r="G263" s="25"/>
      <c r="H263" s="25"/>
      <c r="I263" s="25"/>
      <c r="J263" s="25"/>
      <c r="K263" s="25"/>
      <c r="L263" s="82"/>
      <c r="N263" s="82"/>
      <c r="X263" s="25"/>
      <c r="Y263" s="25"/>
    </row>
    <row r="264" spans="1:25" ht="15">
      <c r="A264" s="18">
        <v>24</v>
      </c>
      <c r="F264" s="5" t="s">
        <v>35</v>
      </c>
      <c r="I264" s="39">
        <v>449.67</v>
      </c>
      <c r="J264" s="39">
        <f aca="true" t="shared" si="10" ref="J264:J269">IF(X264="","",X264)</f>
      </c>
      <c r="K264" s="39">
        <f>I264+Y264</f>
        <v>449.67</v>
      </c>
      <c r="L264" s="39">
        <f>(K264-I264)</f>
        <v>0</v>
      </c>
      <c r="N264" s="170">
        <f>L264/I264</f>
        <v>0</v>
      </c>
      <c r="P264">
        <f>IF($Q$7=1,TEXT(I264,"$0.00"),"")</f>
      </c>
      <c r="Q264">
        <f>IF($Q$7=1,TEXT(VALUE(K264),"$0.00"),"")</f>
      </c>
      <c r="R264" s="166" t="str">
        <f>IF($Q$7=2,TEXT(VALUE(K264),"$0.00"),"")</f>
        <v>$449.67</v>
      </c>
      <c r="X264" s="39"/>
      <c r="Y264" s="39">
        <f>SUM(X264:X264)</f>
        <v>0</v>
      </c>
    </row>
    <row r="265" spans="1:25" ht="15">
      <c r="A265" s="18">
        <v>25</v>
      </c>
      <c r="F265" s="7"/>
      <c r="G265" s="7"/>
      <c r="H265" s="7"/>
      <c r="I265" s="7"/>
      <c r="J265" s="7">
        <f t="shared" si="10"/>
      </c>
      <c r="K265" s="7"/>
      <c r="L265" s="7"/>
      <c r="N265" s="7"/>
      <c r="X265" s="7"/>
      <c r="Y265" s="7"/>
    </row>
    <row r="266" spans="1:25" ht="15">
      <c r="A266" s="18">
        <v>26</v>
      </c>
      <c r="F266" s="5" t="s">
        <v>70</v>
      </c>
      <c r="I266" s="39">
        <v>11.85</v>
      </c>
      <c r="J266" s="39">
        <f t="shared" si="10"/>
        <v>0.55</v>
      </c>
      <c r="K266" s="39">
        <f>I266+Y266</f>
        <v>12.4</v>
      </c>
      <c r="L266" s="39">
        <f>(K266-I266)</f>
        <v>0.5500000000000007</v>
      </c>
      <c r="N266" s="170">
        <f>L266/I266</f>
        <v>0.046413502109704706</v>
      </c>
      <c r="P266">
        <f>IF($Q$7=1,TEXT(I266,"$0.00"),"")</f>
      </c>
      <c r="Q266">
        <f>IF($Q$7=1,TEXT(VALUE(K266),"$0.00"),"")</f>
      </c>
      <c r="R266" s="166" t="str">
        <f>IF($Q$7=2,TEXT(VALUE(K266),"$0.00"),"")</f>
        <v>$12.40</v>
      </c>
      <c r="X266" s="39">
        <f>WCEC3!K16</f>
        <v>0.55</v>
      </c>
      <c r="Y266" s="39">
        <f>SUM(X266:X266)</f>
        <v>0.55</v>
      </c>
    </row>
    <row r="267" spans="1:25" ht="15">
      <c r="A267" s="18">
        <v>27</v>
      </c>
      <c r="I267" s="38"/>
      <c r="J267" s="38">
        <f t="shared" si="10"/>
      </c>
      <c r="K267" s="38"/>
      <c r="L267" s="38"/>
      <c r="N267" s="38"/>
      <c r="X267" s="38"/>
      <c r="Y267" s="38"/>
    </row>
    <row r="268" spans="1:25" ht="15">
      <c r="A268" s="18">
        <v>28</v>
      </c>
      <c r="D268" s="7"/>
      <c r="E268" s="7"/>
      <c r="F268" s="5" t="s">
        <v>18</v>
      </c>
      <c r="I268" s="38">
        <v>1.661</v>
      </c>
      <c r="J268" s="38">
        <f t="shared" si="10"/>
        <v>0</v>
      </c>
      <c r="K268" s="38">
        <f>I268+Y268</f>
        <v>1.661</v>
      </c>
      <c r="L268" s="38">
        <f>(K268-I268)</f>
        <v>0</v>
      </c>
      <c r="N268" s="170">
        <f>L268/I268</f>
        <v>0</v>
      </c>
      <c r="P268">
        <f>IF($Q$7=1,TEXT(I268,"0.000"),"")</f>
      </c>
      <c r="Q268">
        <f>IF($Q$7=1,TEXT(VALUE(K268),"0.000"),"")</f>
      </c>
      <c r="R268" s="166" t="str">
        <f>IF($Q$7=2,TEXT(VALUE(K268),"0.000"),"")</f>
        <v>1.661</v>
      </c>
      <c r="W268" s="12">
        <v>14</v>
      </c>
      <c r="X268" s="38">
        <f>WCEC3!J16</f>
        <v>0</v>
      </c>
      <c r="Y268" s="38">
        <f>SUM(X268:X268)</f>
        <v>0</v>
      </c>
    </row>
    <row r="269" spans="1:14" ht="15">
      <c r="A269" s="18">
        <v>29</v>
      </c>
      <c r="J269" s="5">
        <f t="shared" si="10"/>
      </c>
      <c r="L269" s="81"/>
      <c r="N269" s="81"/>
    </row>
    <row r="270" spans="1:14" ht="15">
      <c r="A270" s="18">
        <v>30</v>
      </c>
      <c r="L270" s="81"/>
      <c r="N270" s="81"/>
    </row>
    <row r="271" spans="1:14" ht="15">
      <c r="A271" s="18">
        <v>31</v>
      </c>
      <c r="L271" s="81"/>
      <c r="N271" s="81"/>
    </row>
    <row r="272" spans="1:14" ht="15">
      <c r="A272" s="18">
        <v>32</v>
      </c>
      <c r="L272" s="81"/>
      <c r="N272" s="81"/>
    </row>
    <row r="273" spans="1:14" ht="15">
      <c r="A273" s="18">
        <v>33</v>
      </c>
      <c r="L273" s="81"/>
      <c r="N273" s="81"/>
    </row>
    <row r="274" spans="1:14" ht="15">
      <c r="A274" s="18">
        <v>34</v>
      </c>
      <c r="L274" s="81"/>
      <c r="N274" s="81"/>
    </row>
    <row r="275" spans="1:14" ht="15">
      <c r="A275" s="18">
        <v>35</v>
      </c>
      <c r="L275" s="81"/>
      <c r="N275" s="81"/>
    </row>
    <row r="276" spans="1:23" s="42" customFormat="1" ht="15">
      <c r="A276" s="18">
        <v>36</v>
      </c>
      <c r="B276" s="3"/>
      <c r="C276" s="3"/>
      <c r="L276" s="89"/>
      <c r="M276" s="41"/>
      <c r="N276" s="89"/>
      <c r="O276" s="6"/>
      <c r="P276"/>
      <c r="Q276"/>
      <c r="R276" s="166"/>
      <c r="S276" s="6"/>
      <c r="T276" s="6"/>
      <c r="U276" s="6"/>
      <c r="V276" s="6"/>
      <c r="W276" s="78"/>
    </row>
    <row r="277" spans="1:23" s="42" customFormat="1" ht="15">
      <c r="A277" s="18">
        <v>37</v>
      </c>
      <c r="B277" s="3"/>
      <c r="C277" s="3"/>
      <c r="L277" s="89"/>
      <c r="M277" s="41"/>
      <c r="N277" s="89"/>
      <c r="O277" s="6"/>
      <c r="P277"/>
      <c r="Q277"/>
      <c r="R277" s="166"/>
      <c r="S277" s="6"/>
      <c r="T277" s="6"/>
      <c r="U277" s="6"/>
      <c r="V277" s="6"/>
      <c r="W277" s="78"/>
    </row>
    <row r="278" spans="1:14" ht="15">
      <c r="A278" s="16">
        <v>38</v>
      </c>
      <c r="B278" s="3"/>
      <c r="C278" s="3"/>
      <c r="L278" s="81"/>
      <c r="M278" s="41"/>
      <c r="N278" s="81"/>
    </row>
    <row r="279" spans="1:14" ht="15">
      <c r="A279" s="16">
        <v>39</v>
      </c>
      <c r="B279" s="3"/>
      <c r="C279" s="3"/>
      <c r="L279" s="81"/>
      <c r="M279" s="41"/>
      <c r="N279" s="81"/>
    </row>
    <row r="280" spans="1:14" ht="15">
      <c r="A280" s="16">
        <v>40</v>
      </c>
      <c r="B280" s="3"/>
      <c r="C280" s="3"/>
      <c r="L280" s="81"/>
      <c r="M280" s="41"/>
      <c r="N280" s="81"/>
    </row>
    <row r="281" spans="1:14" ht="15">
      <c r="A281" s="16">
        <v>41</v>
      </c>
      <c r="B281" s="3"/>
      <c r="C281" s="3"/>
      <c r="L281" s="81"/>
      <c r="M281" s="41"/>
      <c r="N281" s="81"/>
    </row>
    <row r="282" spans="1:14" ht="15">
      <c r="A282" s="16">
        <v>42</v>
      </c>
      <c r="B282" s="3"/>
      <c r="C282" s="3"/>
      <c r="L282" s="81"/>
      <c r="M282" s="41"/>
      <c r="N282" s="81"/>
    </row>
    <row r="283" spans="1:25" ht="15">
      <c r="A283" s="3"/>
      <c r="B283" s="3"/>
      <c r="C283" s="43"/>
      <c r="D283" s="41"/>
      <c r="E283" s="41"/>
      <c r="F283" s="41"/>
      <c r="G283" s="41"/>
      <c r="H283" s="41"/>
      <c r="I283" s="41"/>
      <c r="J283" s="41"/>
      <c r="K283" s="41"/>
      <c r="L283" s="84"/>
      <c r="M283" s="41"/>
      <c r="N283" s="84"/>
      <c r="X283" s="41"/>
      <c r="Y283" s="41"/>
    </row>
    <row r="284" spans="1:25" ht="15" thickBot="1">
      <c r="A284" s="16"/>
      <c r="B284" s="3"/>
      <c r="C284" s="3"/>
      <c r="D284" s="41"/>
      <c r="E284" s="41"/>
      <c r="F284" s="41"/>
      <c r="G284" s="41"/>
      <c r="H284" s="41"/>
      <c r="I284" s="41"/>
      <c r="J284" s="41"/>
      <c r="K284" s="41"/>
      <c r="L284" s="84"/>
      <c r="M284" s="41"/>
      <c r="N284" s="84"/>
      <c r="O284" s="41"/>
      <c r="X284" s="41"/>
      <c r="Y284" s="41"/>
    </row>
    <row r="285" spans="1:25" ht="15">
      <c r="A285" s="45" t="s">
        <v>31</v>
      </c>
      <c r="B285" s="14"/>
      <c r="C285" s="14"/>
      <c r="D285" s="45"/>
      <c r="E285" s="45"/>
      <c r="F285" s="45"/>
      <c r="G285" s="45"/>
      <c r="H285" s="45"/>
      <c r="I285" s="45"/>
      <c r="J285" s="45"/>
      <c r="K285" s="45" t="s">
        <v>32</v>
      </c>
      <c r="L285" s="85"/>
      <c r="M285" s="45"/>
      <c r="N285" s="85"/>
      <c r="O285" s="1"/>
      <c r="X285" s="45"/>
      <c r="Y285" s="45"/>
    </row>
    <row r="286" spans="1:25" ht="15" thickBot="1">
      <c r="A286" s="18">
        <v>1</v>
      </c>
      <c r="D286" s="24" t="s">
        <v>71</v>
      </c>
      <c r="E286" s="24"/>
      <c r="F286" s="25" t="s">
        <v>72</v>
      </c>
      <c r="G286" s="25"/>
      <c r="H286" s="25"/>
      <c r="I286" s="25"/>
      <c r="J286" s="25"/>
      <c r="K286" s="25"/>
      <c r="L286" s="82"/>
      <c r="N286" s="82"/>
      <c r="X286" s="25"/>
      <c r="Y286" s="25"/>
    </row>
    <row r="287" spans="1:14" ht="15">
      <c r="A287" s="18">
        <v>2</v>
      </c>
      <c r="F287" s="5" t="s">
        <v>35</v>
      </c>
      <c r="L287" s="81"/>
      <c r="N287" s="81"/>
    </row>
    <row r="288" spans="1:25" ht="15">
      <c r="A288" s="18">
        <v>3</v>
      </c>
      <c r="F288" s="5" t="s">
        <v>73</v>
      </c>
      <c r="I288" s="27">
        <v>112.42</v>
      </c>
      <c r="J288" s="27">
        <f aca="true" t="shared" si="11" ref="J288:J320">IF(X288="","",X288)</f>
      </c>
      <c r="K288" s="27">
        <f>I288+Y288</f>
        <v>112.42</v>
      </c>
      <c r="L288" s="27">
        <f>(K288-I288)</f>
        <v>0</v>
      </c>
      <c r="N288" s="170">
        <f>L288/I288</f>
        <v>0</v>
      </c>
      <c r="P288">
        <f>IF($Q$7=1,TEXT(I288,"$0.00"),"")</f>
      </c>
      <c r="Q288">
        <f>IF($Q$7=1,TEXT(VALUE(K288),"$0.00"),"")</f>
      </c>
      <c r="R288" s="166" t="str">
        <f>IF($Q$7=2,TEXT(VALUE(K288),"$0.00"),"")</f>
        <v>$112.42</v>
      </c>
      <c r="X288" s="27"/>
      <c r="Y288" s="27">
        <f>SUM(X288:X288)</f>
        <v>0</v>
      </c>
    </row>
    <row r="289" spans="1:25" ht="15">
      <c r="A289" s="18">
        <v>4</v>
      </c>
      <c r="F289" s="5" t="s">
        <v>74</v>
      </c>
      <c r="I289" s="27">
        <v>168.63</v>
      </c>
      <c r="J289" s="27">
        <f t="shared" si="11"/>
      </c>
      <c r="K289" s="27">
        <f>I289+Y289</f>
        <v>168.63</v>
      </c>
      <c r="L289" s="27">
        <f>(K289-I289)</f>
        <v>0</v>
      </c>
      <c r="N289" s="170">
        <f>L289/I289</f>
        <v>0</v>
      </c>
      <c r="P289">
        <f>IF($Q$7=1,TEXT(I289,"$0.00"),"")</f>
      </c>
      <c r="Q289">
        <f>IF($Q$7=1,TEXT(VALUE(K289),"$0.00"),"")</f>
      </c>
      <c r="R289" s="166" t="str">
        <f>IF($Q$7=2,TEXT(VALUE(K289),"$0.00"),"")</f>
        <v>$168.63</v>
      </c>
      <c r="X289" s="27"/>
      <c r="Y289" s="27">
        <f>SUM(X289:X289)</f>
        <v>0</v>
      </c>
    </row>
    <row r="290" spans="1:25" ht="15">
      <c r="A290" s="18">
        <v>5</v>
      </c>
      <c r="F290" s="5" t="s">
        <v>75</v>
      </c>
      <c r="I290" s="27">
        <v>2220.26</v>
      </c>
      <c r="J290" s="27">
        <f t="shared" si="11"/>
      </c>
      <c r="K290" s="27">
        <f>I290+Y290</f>
        <v>2220.26</v>
      </c>
      <c r="L290" s="27">
        <f>(K290-I290)</f>
        <v>0</v>
      </c>
      <c r="N290" s="170">
        <f>L290/I290</f>
        <v>0</v>
      </c>
      <c r="P290">
        <f>IF($Q$7=1,TEXT(I290,"$0,000.00"),"")</f>
      </c>
      <c r="Q290">
        <f>IF($Q$7=1,TEXT(VALUE(K290),"$0,000.00"),"")</f>
      </c>
      <c r="R290" s="166" t="str">
        <f>IF($Q$7=2,TEXT(VALUE(K290),"$0,000.00"),"")</f>
        <v>$2,220.26</v>
      </c>
      <c r="X290" s="27"/>
      <c r="Y290" s="27">
        <f>SUM(X290:X290)</f>
        <v>0</v>
      </c>
    </row>
    <row r="291" spans="1:25" ht="15">
      <c r="A291" s="18">
        <v>6</v>
      </c>
      <c r="I291" s="27"/>
      <c r="J291" s="27">
        <f t="shared" si="11"/>
      </c>
      <c r="K291" s="27"/>
      <c r="L291" s="27"/>
      <c r="N291" s="27"/>
      <c r="X291" s="27"/>
      <c r="Y291" s="27"/>
    </row>
    <row r="292" spans="1:25" ht="15">
      <c r="A292" s="18">
        <v>7</v>
      </c>
      <c r="F292" s="5" t="s">
        <v>70</v>
      </c>
      <c r="I292" s="27"/>
      <c r="J292" s="27">
        <f t="shared" si="11"/>
      </c>
      <c r="K292" s="27"/>
      <c r="L292" s="27"/>
      <c r="N292" s="27"/>
      <c r="X292" s="27"/>
      <c r="Y292" s="27"/>
    </row>
    <row r="293" spans="1:25" ht="15">
      <c r="A293" s="18">
        <v>8</v>
      </c>
      <c r="F293" s="5" t="s">
        <v>76</v>
      </c>
      <c r="G293" s="35"/>
      <c r="H293" s="35"/>
      <c r="I293" s="53"/>
      <c r="J293" s="53">
        <f t="shared" si="11"/>
      </c>
      <c r="K293" s="53"/>
      <c r="L293" s="53"/>
      <c r="N293" s="53"/>
      <c r="X293" s="53"/>
      <c r="Y293" s="53"/>
    </row>
    <row r="294" spans="1:25" ht="15">
      <c r="A294" s="18">
        <v>9</v>
      </c>
      <c r="F294" s="5" t="s">
        <v>73</v>
      </c>
      <c r="G294" s="35"/>
      <c r="H294" s="35"/>
      <c r="I294" s="27">
        <v>3.82</v>
      </c>
      <c r="J294" s="147">
        <f t="shared" si="11"/>
      </c>
      <c r="K294" s="27">
        <f>I294+Y294</f>
        <v>3.82</v>
      </c>
      <c r="L294" s="27">
        <f>(K294-I294)</f>
        <v>0</v>
      </c>
      <c r="N294" s="170">
        <f>L294/I294</f>
        <v>0</v>
      </c>
      <c r="P294">
        <f>IF($Q$7=1,TEXT(I294,"$0.00"),"")</f>
      </c>
      <c r="Q294">
        <f>IF($Q$7=1,TEXT(VALUE(K294),"$0.00"),"")</f>
      </c>
      <c r="R294" s="166" t="str">
        <f>IF($Q$7=2,TEXT(VALUE(K294),"$0.00"),"")</f>
        <v>$3.82</v>
      </c>
      <c r="X294" s="27"/>
      <c r="Y294" s="27">
        <f>SUM(X294:X294)</f>
        <v>0</v>
      </c>
    </row>
    <row r="295" spans="1:25" ht="15">
      <c r="A295" s="18">
        <v>10</v>
      </c>
      <c r="F295" s="5" t="s">
        <v>74</v>
      </c>
      <c r="I295" s="27">
        <v>3.49</v>
      </c>
      <c r="J295" s="147">
        <f t="shared" si="11"/>
      </c>
      <c r="K295" s="27">
        <f>I295+Y295</f>
        <v>3.49</v>
      </c>
      <c r="L295" s="27">
        <f>(K295-I295)</f>
        <v>0</v>
      </c>
      <c r="N295" s="170">
        <f>L295/I295</f>
        <v>0</v>
      </c>
      <c r="P295">
        <f>IF($Q$7=1,TEXT(I295,"$0.00"),"")</f>
      </c>
      <c r="Q295">
        <f>IF($Q$7=1,TEXT(VALUE(K295),"$0.00"),"")</f>
      </c>
      <c r="R295" s="166" t="str">
        <f>IF($Q$7=2,TEXT(VALUE(K295),"$0.00"),"")</f>
        <v>$3.49</v>
      </c>
      <c r="X295" s="27"/>
      <c r="Y295" s="27">
        <f>SUM(X295:X295)</f>
        <v>0</v>
      </c>
    </row>
    <row r="296" spans="1:25" ht="15">
      <c r="A296" s="18">
        <v>11</v>
      </c>
      <c r="F296" s="5" t="s">
        <v>75</v>
      </c>
      <c r="I296" s="55" t="s">
        <v>77</v>
      </c>
      <c r="J296" s="176"/>
      <c r="K296" s="55" t="s">
        <v>77</v>
      </c>
      <c r="L296" s="55" t="s">
        <v>78</v>
      </c>
      <c r="N296" s="55"/>
      <c r="X296" s="55"/>
      <c r="Y296" s="55">
        <f>SUM(X296:X296)</f>
        <v>0</v>
      </c>
    </row>
    <row r="297" spans="1:14" ht="15">
      <c r="A297" s="18">
        <v>12</v>
      </c>
      <c r="J297" s="5">
        <f t="shared" si="11"/>
      </c>
      <c r="L297" s="5"/>
      <c r="N297" s="5"/>
    </row>
    <row r="298" spans="1:25" ht="15">
      <c r="A298" s="18">
        <v>13</v>
      </c>
      <c r="F298" s="7"/>
      <c r="G298" s="7"/>
      <c r="H298" s="7"/>
      <c r="I298" s="7"/>
      <c r="J298" s="7">
        <f t="shared" si="11"/>
      </c>
      <c r="K298" s="7"/>
      <c r="L298" s="7"/>
      <c r="N298" s="7"/>
      <c r="X298" s="7"/>
      <c r="Y298" s="7"/>
    </row>
    <row r="299" spans="1:25" ht="15">
      <c r="A299" s="18">
        <v>14</v>
      </c>
      <c r="D299" s="7"/>
      <c r="E299" s="7"/>
      <c r="F299" s="5" t="s">
        <v>79</v>
      </c>
      <c r="I299" s="27"/>
      <c r="J299" s="27">
        <f t="shared" si="11"/>
      </c>
      <c r="K299" s="27"/>
      <c r="L299" s="27"/>
      <c r="N299" s="27"/>
      <c r="X299" s="27"/>
      <c r="Y299" s="27"/>
    </row>
    <row r="300" spans="1:25" ht="15">
      <c r="A300" s="18">
        <v>15</v>
      </c>
      <c r="D300" s="7"/>
      <c r="E300" s="7"/>
      <c r="F300" s="5" t="s">
        <v>73</v>
      </c>
      <c r="I300" s="27">
        <v>1.97</v>
      </c>
      <c r="J300" s="27">
        <f t="shared" si="11"/>
        <v>0.57</v>
      </c>
      <c r="K300" s="27">
        <f>I300+Y300</f>
        <v>2.54</v>
      </c>
      <c r="L300" s="27">
        <f>(K300-I300)</f>
        <v>0.5700000000000001</v>
      </c>
      <c r="N300" s="170">
        <f>L300/I300</f>
        <v>0.2893401015228427</v>
      </c>
      <c r="P300">
        <f>IF($Q$7=1,TEXT(I300,"$0.00"),"")</f>
      </c>
      <c r="Q300">
        <f>IF($Q$7=1,TEXT(VALUE(K300),"$0.00"),"")</f>
      </c>
      <c r="R300" s="166" t="str">
        <f>IF($Q$7=2,TEXT(VALUE(K300),"$0.00"),"")</f>
        <v>$2.54</v>
      </c>
      <c r="X300" s="27">
        <f>WCEC3!$K$8</f>
        <v>0.57</v>
      </c>
      <c r="Y300" s="27">
        <f>SUM(X300:X300)</f>
        <v>0.57</v>
      </c>
    </row>
    <row r="301" spans="1:25" ht="15">
      <c r="A301" s="18">
        <v>16</v>
      </c>
      <c r="D301" s="7"/>
      <c r="E301" s="7"/>
      <c r="F301" s="5" t="s">
        <v>79</v>
      </c>
      <c r="I301" s="27"/>
      <c r="J301" s="27">
        <f t="shared" si="11"/>
      </c>
      <c r="K301" s="27"/>
      <c r="L301" s="27"/>
      <c r="N301" s="27"/>
      <c r="X301" s="27"/>
      <c r="Y301" s="27"/>
    </row>
    <row r="302" spans="1:25" ht="15">
      <c r="A302" s="18">
        <v>17</v>
      </c>
      <c r="D302" s="7"/>
      <c r="E302" s="7"/>
      <c r="F302" s="5" t="s">
        <v>74</v>
      </c>
      <c r="I302" s="27">
        <v>1.97</v>
      </c>
      <c r="J302" s="27">
        <f t="shared" si="11"/>
        <v>0.57</v>
      </c>
      <c r="K302" s="27">
        <f>I302+Y302</f>
        <v>2.54</v>
      </c>
      <c r="L302" s="27">
        <f>(K302-I302)</f>
        <v>0.5700000000000001</v>
      </c>
      <c r="N302" s="170">
        <f>L302/I302</f>
        <v>0.2893401015228427</v>
      </c>
      <c r="P302">
        <f>IF($Q$7=1,TEXT(I302,"$0.00"),"")</f>
      </c>
      <c r="Q302">
        <f>IF($Q$7=1,TEXT(VALUE(K302),"$0.00"),"")</f>
      </c>
      <c r="R302" s="166" t="str">
        <f>IF($Q$7=2,TEXT(VALUE(K302),"$0.00"),"")</f>
        <v>$2.54</v>
      </c>
      <c r="X302" s="27">
        <f>WCEC3!$K$8</f>
        <v>0.57</v>
      </c>
      <c r="Y302" s="27">
        <f>SUM(X302:X302)</f>
        <v>0.57</v>
      </c>
    </row>
    <row r="303" spans="1:25" ht="15">
      <c r="A303" s="18">
        <v>18</v>
      </c>
      <c r="D303" s="7"/>
      <c r="E303" s="7"/>
      <c r="F303" s="5" t="s">
        <v>75</v>
      </c>
      <c r="I303" s="27">
        <v>1.97</v>
      </c>
      <c r="J303" s="27">
        <f t="shared" si="11"/>
        <v>0.52</v>
      </c>
      <c r="K303" s="27">
        <f>I303+Y303</f>
        <v>2.49</v>
      </c>
      <c r="L303" s="27">
        <f>(K303-I303)</f>
        <v>0.5200000000000002</v>
      </c>
      <c r="N303" s="170">
        <f>L303/I303</f>
        <v>0.2639593908629443</v>
      </c>
      <c r="P303">
        <f>IF($Q$7=1,TEXT(I303,"$0.00"),"")</f>
      </c>
      <c r="Q303">
        <f>IF($Q$7=1,TEXT(VALUE(K303),"$0.00"),"")</f>
      </c>
      <c r="R303" s="166" t="str">
        <f>IF($Q$7=2,TEXT(VALUE(K303),"$0.00"),"")</f>
        <v>$2.49</v>
      </c>
      <c r="X303" s="55">
        <f>WCEC3!$K$9</f>
        <v>0.52</v>
      </c>
      <c r="Y303" s="27">
        <f>SUM(X303:X303)</f>
        <v>0.52</v>
      </c>
    </row>
    <row r="304" spans="1:25" ht="15">
      <c r="A304" s="18">
        <v>19</v>
      </c>
      <c r="D304" s="7"/>
      <c r="E304" s="7"/>
      <c r="I304" s="27"/>
      <c r="J304" s="27">
        <f t="shared" si="11"/>
      </c>
      <c r="K304" s="27"/>
      <c r="L304" s="81"/>
      <c r="N304" s="81"/>
      <c r="X304" s="27"/>
      <c r="Y304" s="27"/>
    </row>
    <row r="305" spans="1:14" ht="15">
      <c r="A305" s="18">
        <v>20</v>
      </c>
      <c r="D305" s="7"/>
      <c r="E305" s="7"/>
      <c r="J305" s="5">
        <f t="shared" si="11"/>
      </c>
      <c r="L305" s="81"/>
      <c r="N305" s="81"/>
    </row>
    <row r="306" spans="1:25" ht="15">
      <c r="A306" s="18">
        <v>21</v>
      </c>
      <c r="D306" s="7"/>
      <c r="E306" s="7"/>
      <c r="G306" s="35"/>
      <c r="H306" s="35"/>
      <c r="I306" s="53"/>
      <c r="J306" s="53">
        <f t="shared" si="11"/>
      </c>
      <c r="K306" s="53"/>
      <c r="L306" s="90"/>
      <c r="N306" s="90"/>
      <c r="X306" s="53"/>
      <c r="Y306" s="53"/>
    </row>
    <row r="307" spans="1:25" ht="15">
      <c r="A307" s="18">
        <v>22</v>
      </c>
      <c r="D307" s="7"/>
      <c r="E307" s="7"/>
      <c r="F307" s="5" t="s">
        <v>80</v>
      </c>
      <c r="G307" s="35"/>
      <c r="H307" s="35"/>
      <c r="I307" s="54"/>
      <c r="J307" s="54">
        <f t="shared" si="11"/>
      </c>
      <c r="K307" s="54"/>
      <c r="L307" s="92"/>
      <c r="N307" s="92"/>
      <c r="X307" s="54"/>
      <c r="Y307" s="54"/>
    </row>
    <row r="308" spans="1:25" ht="15">
      <c r="A308" s="18">
        <v>23</v>
      </c>
      <c r="D308" s="7"/>
      <c r="E308" s="7"/>
      <c r="F308" s="5" t="s">
        <v>73</v>
      </c>
      <c r="I308" s="27">
        <v>8.73</v>
      </c>
      <c r="J308" s="27">
        <f t="shared" si="11"/>
        <v>0.57</v>
      </c>
      <c r="K308" s="27">
        <f>I308+Y308</f>
        <v>9.3</v>
      </c>
      <c r="L308" s="27">
        <f>(K308-I308)</f>
        <v>0.5700000000000003</v>
      </c>
      <c r="N308" s="170">
        <f>L308/I308</f>
        <v>0.0652920962199313</v>
      </c>
      <c r="P308">
        <f>IF($Q$7=1,TEXT(I308,"$0.00"),"")</f>
      </c>
      <c r="Q308">
        <f>IF($Q$7=1,TEXT(VALUE(K308),"$0.00"),"")</f>
      </c>
      <c r="R308" s="166" t="str">
        <f>IF($Q$7=2,TEXT(VALUE(K308),"$0.00"),"")</f>
        <v>$9.30</v>
      </c>
      <c r="X308" s="27">
        <f>WCEC3!$K$8</f>
        <v>0.57</v>
      </c>
      <c r="Y308" s="27">
        <f>SUM(X308:X308)</f>
        <v>0.57</v>
      </c>
    </row>
    <row r="309" spans="1:25" ht="15">
      <c r="A309" s="18">
        <v>24</v>
      </c>
      <c r="D309" s="7"/>
      <c r="E309" s="7"/>
      <c r="F309" s="5" t="s">
        <v>74</v>
      </c>
      <c r="I309" s="27">
        <v>8.51</v>
      </c>
      <c r="J309" s="27">
        <f t="shared" si="11"/>
        <v>0.57</v>
      </c>
      <c r="K309" s="27">
        <f>I309+Y309</f>
        <v>9.08</v>
      </c>
      <c r="L309" s="27">
        <f>(K309-I309)</f>
        <v>0.5700000000000003</v>
      </c>
      <c r="N309" s="170">
        <f>L309/I309</f>
        <v>0.06698002350176267</v>
      </c>
      <c r="P309">
        <f>IF($Q$7=1,TEXT(I309,"$0.00"),"")</f>
      </c>
      <c r="Q309">
        <f>IF($Q$7=1,TEXT(VALUE(K309),"$0.00"),"")</f>
      </c>
      <c r="R309" s="166" t="str">
        <f>IF($Q$7=2,TEXT(VALUE(K309),"$0.00"),"")</f>
        <v>$9.08</v>
      </c>
      <c r="X309" s="27">
        <f>WCEC3!$K$8</f>
        <v>0.57</v>
      </c>
      <c r="Y309" s="27">
        <f>SUM(X309:X309)</f>
        <v>0.57</v>
      </c>
    </row>
    <row r="310" spans="1:25" ht="15">
      <c r="A310" s="18">
        <v>25</v>
      </c>
      <c r="D310" s="7"/>
      <c r="E310" s="7"/>
      <c r="F310" s="5" t="s">
        <v>75</v>
      </c>
      <c r="I310" s="27">
        <v>8.65</v>
      </c>
      <c r="J310" s="27">
        <f t="shared" si="11"/>
        <v>0.52</v>
      </c>
      <c r="K310" s="27">
        <f>I310+Y310</f>
        <v>9.17</v>
      </c>
      <c r="L310" s="27">
        <f>(K310-I310)</f>
        <v>0.5199999999999996</v>
      </c>
      <c r="N310" s="170">
        <f>L310/I310</f>
        <v>0.060115606936416134</v>
      </c>
      <c r="P310">
        <f>IF($Q$7=1,TEXT(I310,"$0.00"),"")</f>
      </c>
      <c r="Q310">
        <f>IF($Q$7=1,TEXT(VALUE(K310),"$0.00"),"")</f>
      </c>
      <c r="R310" s="166" t="str">
        <f>IF($Q$7=2,TEXT(VALUE(K310),"$0.00"),"")</f>
        <v>$9.17</v>
      </c>
      <c r="X310" s="55">
        <f>WCEC3!$K$9</f>
        <v>0.52</v>
      </c>
      <c r="Y310" s="27">
        <f>SUM(X310:X310)</f>
        <v>0.52</v>
      </c>
    </row>
    <row r="311" spans="1:14" ht="15">
      <c r="A311" s="18">
        <v>26</v>
      </c>
      <c r="D311" s="7"/>
      <c r="E311" s="7"/>
      <c r="J311" s="5">
        <f t="shared" si="11"/>
      </c>
      <c r="L311" s="5"/>
      <c r="N311" s="5"/>
    </row>
    <row r="312" spans="1:14" ht="15">
      <c r="A312" s="18">
        <v>27</v>
      </c>
      <c r="D312" s="7"/>
      <c r="E312" s="7"/>
      <c r="F312" s="5" t="s">
        <v>18</v>
      </c>
      <c r="J312" s="5">
        <f t="shared" si="11"/>
      </c>
      <c r="L312" s="5"/>
      <c r="N312" s="5"/>
    </row>
    <row r="313" spans="1:14" ht="15">
      <c r="A313" s="18">
        <v>28</v>
      </c>
      <c r="D313" s="7"/>
      <c r="E313" s="7"/>
      <c r="F313" s="5" t="s">
        <v>23</v>
      </c>
      <c r="J313" s="5">
        <f t="shared" si="11"/>
      </c>
      <c r="L313" s="5"/>
      <c r="N313" s="5"/>
    </row>
    <row r="314" spans="1:25" ht="15">
      <c r="A314" s="18">
        <v>29</v>
      </c>
      <c r="D314" s="7"/>
      <c r="E314" s="7"/>
      <c r="F314" s="5" t="s">
        <v>73</v>
      </c>
      <c r="I314" s="38">
        <v>1.425</v>
      </c>
      <c r="J314" s="38">
        <f t="shared" si="11"/>
        <v>0</v>
      </c>
      <c r="K314" s="38">
        <f>I314+Y314</f>
        <v>1.425</v>
      </c>
      <c r="L314" s="38">
        <f>(K314-I314)</f>
        <v>0</v>
      </c>
      <c r="N314" s="170">
        <f>L314/I314</f>
        <v>0</v>
      </c>
      <c r="P314">
        <f>IF($Q$7=1,TEXT(I314,"0.000"),"")</f>
      </c>
      <c r="Q314">
        <f>IF($Q$7=1,TEXT(VALUE(K314),"0.000"),"")</f>
      </c>
      <c r="R314" s="166" t="str">
        <f>IF($Q$7=2,TEXT(VALUE(K314),"0.000"),"")</f>
        <v>1.425</v>
      </c>
      <c r="W314" s="12">
        <v>12</v>
      </c>
      <c r="X314" s="38">
        <f>WCEC3!J$8</f>
        <v>0</v>
      </c>
      <c r="Y314" s="38">
        <f>SUM(X314:X314)</f>
        <v>0</v>
      </c>
    </row>
    <row r="315" spans="1:25" ht="15">
      <c r="A315" s="18">
        <v>30</v>
      </c>
      <c r="D315" s="7"/>
      <c r="E315" s="7"/>
      <c r="F315" s="5" t="s">
        <v>74</v>
      </c>
      <c r="I315" s="38">
        <v>0.822</v>
      </c>
      <c r="J315" s="38">
        <f t="shared" si="11"/>
        <v>0</v>
      </c>
      <c r="K315" s="38">
        <f>I315+Y315</f>
        <v>0.822</v>
      </c>
      <c r="L315" s="38">
        <f>(K315-I315)</f>
        <v>0</v>
      </c>
      <c r="N315" s="170">
        <f>L315/I315</f>
        <v>0</v>
      </c>
      <c r="P315">
        <f>IF($Q$7=1,TEXT(I315,"0.000"),"")</f>
      </c>
      <c r="Q315">
        <f>IF($Q$7=1,TEXT(VALUE(K315),"0.000"),"")</f>
      </c>
      <c r="R315" s="166" t="str">
        <f>IF($Q$7=2,TEXT(VALUE(K315),"0.000"),"")</f>
        <v>0.822</v>
      </c>
      <c r="W315" s="12">
        <v>12</v>
      </c>
      <c r="X315" s="38">
        <f>WCEC3!J$7</f>
        <v>0</v>
      </c>
      <c r="Y315" s="38">
        <f>SUM(X315:X315)</f>
        <v>0</v>
      </c>
    </row>
    <row r="316" spans="1:25" ht="15">
      <c r="A316" s="18">
        <v>31</v>
      </c>
      <c r="D316" s="7"/>
      <c r="E316" s="7"/>
      <c r="F316" s="5" t="s">
        <v>75</v>
      </c>
      <c r="I316" s="38">
        <v>0.731</v>
      </c>
      <c r="J316" s="38">
        <f t="shared" si="11"/>
        <v>0</v>
      </c>
      <c r="K316" s="38">
        <f>I316+Y316</f>
        <v>0.731</v>
      </c>
      <c r="L316" s="38">
        <f>(K316-I316)</f>
        <v>0</v>
      </c>
      <c r="N316" s="170">
        <f>L316/I316</f>
        <v>0</v>
      </c>
      <c r="P316">
        <f>IF($Q$7=1,TEXT(I316,"0.000"),"")</f>
      </c>
      <c r="Q316">
        <f>IF($Q$7=1,TEXT(VALUE(K316),"0.000"),"")</f>
      </c>
      <c r="R316" s="166" t="str">
        <f>IF($Q$7=2,TEXT(VALUE(K316),"0.000"),"")</f>
        <v>0.731</v>
      </c>
      <c r="W316" s="12">
        <v>13</v>
      </c>
      <c r="X316" s="38">
        <f>WCEC3!J$9</f>
        <v>0</v>
      </c>
      <c r="Y316" s="38">
        <f>SUM(X316:X316)</f>
        <v>0</v>
      </c>
    </row>
    <row r="317" spans="1:25" ht="15">
      <c r="A317" s="18">
        <v>32</v>
      </c>
      <c r="D317" s="7"/>
      <c r="E317" s="7"/>
      <c r="F317" s="5" t="s">
        <v>24</v>
      </c>
      <c r="I317" s="38"/>
      <c r="J317" s="38">
        <f t="shared" si="11"/>
      </c>
      <c r="K317" s="38"/>
      <c r="L317" s="38"/>
      <c r="N317" s="38"/>
      <c r="X317" s="38"/>
      <c r="Y317" s="38"/>
    </row>
    <row r="318" spans="1:25" ht="15">
      <c r="A318" s="18">
        <v>33</v>
      </c>
      <c r="D318" s="7"/>
      <c r="E318" s="7"/>
      <c r="F318" s="5" t="s">
        <v>73</v>
      </c>
      <c r="I318" s="38">
        <v>1.425</v>
      </c>
      <c r="J318" s="38">
        <f t="shared" si="11"/>
        <v>0</v>
      </c>
      <c r="K318" s="38">
        <f>I318+Y318</f>
        <v>1.425</v>
      </c>
      <c r="L318" s="38">
        <f>(K318-I318)</f>
        <v>0</v>
      </c>
      <c r="N318" s="170">
        <f>L318/I318</f>
        <v>0</v>
      </c>
      <c r="P318">
        <f>IF($Q$7=1,TEXT(I318,"0.000"),"")</f>
      </c>
      <c r="Q318">
        <f>IF($Q$7=1,TEXT(VALUE(K318),"0.000"),"")</f>
      </c>
      <c r="R318" s="166" t="str">
        <f>IF($Q$7=2,TEXT(VALUE(K318),"0.000"),"")</f>
        <v>1.425</v>
      </c>
      <c r="W318" s="12">
        <v>12</v>
      </c>
      <c r="X318" s="38">
        <f>WCEC3!J$8</f>
        <v>0</v>
      </c>
      <c r="Y318" s="38">
        <f>SUM(X318:X318)</f>
        <v>0</v>
      </c>
    </row>
    <row r="319" spans="1:25" ht="15">
      <c r="A319" s="18">
        <v>34</v>
      </c>
      <c r="D319" s="7"/>
      <c r="E319" s="7"/>
      <c r="F319" s="5" t="s">
        <v>74</v>
      </c>
      <c r="I319" s="38">
        <v>0.822</v>
      </c>
      <c r="J319" s="38">
        <f t="shared" si="11"/>
        <v>0</v>
      </c>
      <c r="K319" s="38">
        <f>I319+Y319</f>
        <v>0.822</v>
      </c>
      <c r="L319" s="38">
        <f>(K319-I319)</f>
        <v>0</v>
      </c>
      <c r="N319" s="170">
        <f>L319/I319</f>
        <v>0</v>
      </c>
      <c r="P319">
        <f>IF($Q$7=1,TEXT(I319,"0.000"),"")</f>
      </c>
      <c r="Q319">
        <f>IF($Q$7=1,TEXT(VALUE(K319),"0.000"),"")</f>
      </c>
      <c r="R319" s="166" t="str">
        <f>IF($Q$7=2,TEXT(VALUE(K319),"0.000"),"")</f>
        <v>0.822</v>
      </c>
      <c r="W319" s="12">
        <v>12</v>
      </c>
      <c r="X319" s="38">
        <f>WCEC3!J$7</f>
        <v>0</v>
      </c>
      <c r="Y319" s="38">
        <f>SUM(X319:X319)</f>
        <v>0</v>
      </c>
    </row>
    <row r="320" spans="1:25" ht="15">
      <c r="A320" s="18">
        <v>35</v>
      </c>
      <c r="D320" s="7"/>
      <c r="E320" s="7"/>
      <c r="F320" s="5" t="s">
        <v>75</v>
      </c>
      <c r="I320" s="38">
        <v>0.731</v>
      </c>
      <c r="J320" s="38">
        <f t="shared" si="11"/>
        <v>0</v>
      </c>
      <c r="K320" s="38">
        <f>I320+Y320</f>
        <v>0.731</v>
      </c>
      <c r="L320" s="38">
        <f>(K320-I320)</f>
        <v>0</v>
      </c>
      <c r="N320" s="170">
        <f>L320/I320</f>
        <v>0</v>
      </c>
      <c r="P320">
        <f>IF($Q$7=1,TEXT(I320,"0.000"),"")</f>
      </c>
      <c r="Q320">
        <f>IF($Q$7=1,TEXT(VALUE(K320),"0.000"),"")</f>
      </c>
      <c r="R320" s="166" t="str">
        <f>IF($Q$7=2,TEXT(VALUE(K320),"0.000"),"")</f>
        <v>0.731</v>
      </c>
      <c r="W320" s="12">
        <v>13</v>
      </c>
      <c r="X320" s="38">
        <f>WCEC3!J$9</f>
        <v>0</v>
      </c>
      <c r="Y320" s="38">
        <f>SUM(X320:X320)</f>
        <v>0</v>
      </c>
    </row>
    <row r="321" spans="1:14" ht="15">
      <c r="A321" s="18">
        <v>36</v>
      </c>
      <c r="D321" s="7"/>
      <c r="E321" s="7"/>
      <c r="L321" s="81"/>
      <c r="N321" s="81"/>
    </row>
    <row r="322" spans="1:14" ht="15">
      <c r="A322" s="18">
        <v>37</v>
      </c>
      <c r="D322" s="7"/>
      <c r="E322" s="7"/>
      <c r="F322" s="5" t="s">
        <v>81</v>
      </c>
      <c r="L322" s="81"/>
      <c r="N322" s="81"/>
    </row>
    <row r="323" spans="1:14" ht="15">
      <c r="A323" s="16">
        <v>38</v>
      </c>
      <c r="D323" s="7"/>
      <c r="E323" s="7"/>
      <c r="F323" s="5" t="s">
        <v>82</v>
      </c>
      <c r="K323" s="5" t="s">
        <v>83</v>
      </c>
      <c r="L323" s="81"/>
      <c r="N323" s="81"/>
    </row>
    <row r="324" spans="1:14" ht="15">
      <c r="A324" s="16">
        <v>39</v>
      </c>
      <c r="D324" s="7"/>
      <c r="E324" s="7"/>
      <c r="K324" s="5" t="s">
        <v>84</v>
      </c>
      <c r="L324" s="81"/>
      <c r="N324" s="81"/>
    </row>
    <row r="325" spans="1:14" ht="15">
      <c r="A325" s="16">
        <v>40</v>
      </c>
      <c r="D325" s="7"/>
      <c r="E325" s="7"/>
      <c r="L325" s="81"/>
      <c r="N325" s="81"/>
    </row>
    <row r="326" spans="1:25" ht="15">
      <c r="A326" s="16">
        <v>41</v>
      </c>
      <c r="D326" s="7"/>
      <c r="E326" s="7"/>
      <c r="F326" s="5" t="s">
        <v>85</v>
      </c>
      <c r="I326" s="27">
        <v>1.08</v>
      </c>
      <c r="J326" s="27">
        <f>IF(X326="","",X326)</f>
      </c>
      <c r="K326" s="27">
        <f>I326+Y326</f>
        <v>1.08</v>
      </c>
      <c r="L326" s="27">
        <f>(K326-I326)</f>
        <v>0</v>
      </c>
      <c r="N326" s="170">
        <f>L326/I326</f>
        <v>0</v>
      </c>
      <c r="P326">
        <f>IF($Q$7=1,TEXT(I326,"$0.00"),"")</f>
      </c>
      <c r="Q326">
        <f>IF($Q$7=1,TEXT(VALUE(K326),"$0.00"),"")</f>
      </c>
      <c r="R326" s="166" t="str">
        <f>IF($Q$7=2,TEXT(VALUE(K326),"$0.00"),"")</f>
        <v>$1.08</v>
      </c>
      <c r="X326" s="27"/>
      <c r="Y326" s="27">
        <f>SUM(X326:X326)</f>
        <v>0</v>
      </c>
    </row>
    <row r="327" spans="1:25" ht="15">
      <c r="A327" s="16">
        <v>42</v>
      </c>
      <c r="D327" s="7"/>
      <c r="E327" s="7"/>
      <c r="F327" s="5" t="s">
        <v>86</v>
      </c>
      <c r="G327" s="7"/>
      <c r="H327" s="7"/>
      <c r="I327" s="7"/>
      <c r="J327" s="7"/>
      <c r="K327" s="7"/>
      <c r="L327" s="88"/>
      <c r="M327" s="7"/>
      <c r="N327" s="88"/>
      <c r="X327" s="7"/>
      <c r="Y327" s="7"/>
    </row>
    <row r="328" spans="1:25" ht="15">
      <c r="A328" s="16"/>
      <c r="C328" s="43"/>
      <c r="D328" s="7"/>
      <c r="E328" s="7"/>
      <c r="F328" s="7"/>
      <c r="G328" s="7"/>
      <c r="H328" s="7"/>
      <c r="I328" s="7"/>
      <c r="J328" s="7"/>
      <c r="K328" s="7"/>
      <c r="L328" s="88"/>
      <c r="M328" s="7"/>
      <c r="N328" s="88"/>
      <c r="X328" s="7"/>
      <c r="Y328" s="7"/>
    </row>
    <row r="329" spans="1:25" ht="15" thickBot="1">
      <c r="A329" s="16"/>
      <c r="B329" s="3"/>
      <c r="C329" s="3"/>
      <c r="D329" s="41"/>
      <c r="E329" s="41"/>
      <c r="F329" s="41"/>
      <c r="G329" s="41"/>
      <c r="H329" s="41"/>
      <c r="I329" s="41"/>
      <c r="J329" s="41"/>
      <c r="K329" s="41"/>
      <c r="L329" s="84"/>
      <c r="M329" s="41"/>
      <c r="N329" s="84"/>
      <c r="O329" s="41"/>
      <c r="X329" s="41"/>
      <c r="Y329" s="41"/>
    </row>
    <row r="330" spans="1:25" ht="15">
      <c r="A330" s="45" t="s">
        <v>31</v>
      </c>
      <c r="B330" s="14"/>
      <c r="C330" s="14"/>
      <c r="D330" s="45"/>
      <c r="E330" s="45"/>
      <c r="F330" s="45"/>
      <c r="G330" s="45"/>
      <c r="H330" s="45"/>
      <c r="I330" s="45"/>
      <c r="J330" s="45"/>
      <c r="K330" s="45" t="s">
        <v>32</v>
      </c>
      <c r="L330" s="85"/>
      <c r="M330" s="45"/>
      <c r="N330" s="85"/>
      <c r="O330" s="1"/>
      <c r="X330" s="45"/>
      <c r="Y330" s="45"/>
    </row>
    <row r="331" spans="1:25" ht="15" thickBot="1">
      <c r="A331" s="18">
        <v>1</v>
      </c>
      <c r="D331" s="24" t="s">
        <v>87</v>
      </c>
      <c r="E331" s="24"/>
      <c r="F331" s="25" t="s">
        <v>88</v>
      </c>
      <c r="G331" s="25"/>
      <c r="H331" s="25"/>
      <c r="I331" s="25"/>
      <c r="J331" s="25"/>
      <c r="K331" s="25"/>
      <c r="L331" s="82"/>
      <c r="N331" s="82"/>
      <c r="X331" s="25"/>
      <c r="Y331" s="25"/>
    </row>
    <row r="332" spans="1:14" ht="15">
      <c r="A332" s="18">
        <v>2</v>
      </c>
      <c r="F332" s="34" t="s">
        <v>89</v>
      </c>
      <c r="L332" s="81"/>
      <c r="N332" s="81"/>
    </row>
    <row r="333" spans="1:25" ht="15">
      <c r="A333" s="18">
        <v>3</v>
      </c>
      <c r="F333" s="5" t="s">
        <v>35</v>
      </c>
      <c r="I333" s="39"/>
      <c r="J333" s="39"/>
      <c r="K333" s="39" t="s">
        <v>90</v>
      </c>
      <c r="L333" s="81"/>
      <c r="N333" s="81"/>
      <c r="X333" s="39"/>
      <c r="Y333" s="39"/>
    </row>
    <row r="334" spans="1:25" ht="15">
      <c r="A334" s="18">
        <v>4</v>
      </c>
      <c r="F334" s="5" t="s">
        <v>91</v>
      </c>
      <c r="I334" s="39"/>
      <c r="J334" s="39"/>
      <c r="K334" s="39" t="s">
        <v>90</v>
      </c>
      <c r="L334" s="81"/>
      <c r="N334" s="81"/>
      <c r="X334" s="39"/>
      <c r="Y334" s="39"/>
    </row>
    <row r="335" spans="1:25" ht="15">
      <c r="A335" s="18">
        <v>5</v>
      </c>
      <c r="F335" s="5" t="s">
        <v>92</v>
      </c>
      <c r="I335" s="39"/>
      <c r="J335" s="39"/>
      <c r="K335" s="39" t="s">
        <v>90</v>
      </c>
      <c r="L335" s="81"/>
      <c r="N335" s="81"/>
      <c r="X335" s="39"/>
      <c r="Y335" s="39"/>
    </row>
    <row r="336" spans="1:14" ht="15">
      <c r="A336" s="18">
        <v>6</v>
      </c>
      <c r="L336" s="81"/>
      <c r="N336" s="81"/>
    </row>
    <row r="337" spans="1:14" ht="15">
      <c r="A337" s="18">
        <v>7</v>
      </c>
      <c r="F337" s="5" t="s">
        <v>93</v>
      </c>
      <c r="L337" s="81"/>
      <c r="N337" s="81"/>
    </row>
    <row r="338" spans="1:25" ht="15">
      <c r="A338" s="18">
        <v>8</v>
      </c>
      <c r="F338" s="5" t="s">
        <v>94</v>
      </c>
      <c r="I338" s="27">
        <v>84.31</v>
      </c>
      <c r="J338" s="27">
        <f>IF(X338="","",X338)</f>
      </c>
      <c r="K338" s="27">
        <f>I338+Y338</f>
        <v>84.31</v>
      </c>
      <c r="L338" s="27">
        <f>(K338-I338)</f>
        <v>0</v>
      </c>
      <c r="N338" s="170">
        <f>L338/I338</f>
        <v>0</v>
      </c>
      <c r="P338">
        <f>IF($Q$7=1,TEXT(I338,"$0.00"),"")</f>
      </c>
      <c r="Q338">
        <f>IF($Q$7=1,TEXT(VALUE(K338),"$0.00"),"")</f>
      </c>
      <c r="R338" s="166" t="str">
        <f>IF($Q$7=2,TEXT(VALUE(K338),"$0.00"),"")</f>
        <v>$84.31</v>
      </c>
      <c r="X338" s="27"/>
      <c r="Y338" s="27">
        <f>SUM(X338:X338)</f>
        <v>0</v>
      </c>
    </row>
    <row r="339" spans="1:25" ht="15">
      <c r="A339" s="18">
        <v>9</v>
      </c>
      <c r="F339" s="5" t="s">
        <v>275</v>
      </c>
      <c r="I339" s="27">
        <v>84.31</v>
      </c>
      <c r="J339" s="27">
        <f>IF(X339="","",X339)</f>
      </c>
      <c r="K339" s="27">
        <f>I339+Y339</f>
        <v>84.31</v>
      </c>
      <c r="L339" s="27">
        <f>(K339-I339)</f>
        <v>0</v>
      </c>
      <c r="N339" s="170">
        <f>L339/I339</f>
        <v>0</v>
      </c>
      <c r="P339">
        <f>IF($Q$7=1,TEXT(I339,"$0.00"),"")</f>
      </c>
      <c r="Q339">
        <f>IF($Q$7=1,TEXT(VALUE(K339),"$0.00"),"")</f>
      </c>
      <c r="R339" s="166" t="str">
        <f>IF($Q$7=2,TEXT(VALUE(K339),"$0.00"),"")</f>
        <v>$84.31</v>
      </c>
      <c r="X339" s="27"/>
      <c r="Y339" s="27">
        <f>SUM(X339:X339)</f>
        <v>0</v>
      </c>
    </row>
    <row r="340" spans="1:25" ht="15">
      <c r="A340" s="18">
        <v>10</v>
      </c>
      <c r="F340" s="5" t="s">
        <v>276</v>
      </c>
      <c r="I340" s="27">
        <v>140.52</v>
      </c>
      <c r="J340" s="27">
        <f>IF(X340="","",X340)</f>
      </c>
      <c r="K340" s="27">
        <f>I340+Y340</f>
        <v>140.52</v>
      </c>
      <c r="L340" s="27">
        <f>(K340-I340)</f>
        <v>0</v>
      </c>
      <c r="N340" s="170">
        <f>L340/I340</f>
        <v>0</v>
      </c>
      <c r="P340">
        <f>IF($Q$7=1,TEXT(I340,"$0.00"),"")</f>
      </c>
      <c r="Q340">
        <f>IF($Q$7=1,TEXT(VALUE(K340),"$0.00"),"")</f>
      </c>
      <c r="R340" s="166" t="str">
        <f>IF($Q$7=2,TEXT(VALUE(K340),"$0.00"),"")</f>
        <v>$140.52</v>
      </c>
      <c r="X340" s="27"/>
      <c r="Y340" s="27">
        <f>SUM(X340:X340)</f>
        <v>0</v>
      </c>
    </row>
    <row r="341" spans="1:25" ht="15">
      <c r="A341" s="18">
        <v>11</v>
      </c>
      <c r="F341" s="5" t="s">
        <v>277</v>
      </c>
      <c r="I341" s="27">
        <v>56.21</v>
      </c>
      <c r="J341" s="27">
        <f>IF(X341="","",X341)</f>
      </c>
      <c r="K341" s="27">
        <f>I341+Y341</f>
        <v>56.21</v>
      </c>
      <c r="L341" s="27">
        <f>(K341-I341)</f>
        <v>0</v>
      </c>
      <c r="N341" s="170">
        <f>L341/I341</f>
        <v>0</v>
      </c>
      <c r="P341">
        <f>IF($Q$7=1,TEXT(I341,"$0.00"),"")</f>
      </c>
      <c r="Q341">
        <f>IF($Q$7=1,TEXT(VALUE(K341),"$0.00"),"")</f>
      </c>
      <c r="R341" s="166" t="str">
        <f>IF($Q$7=2,TEXT(VALUE(K341),"$0.00"),"")</f>
        <v>$56.21</v>
      </c>
      <c r="X341" s="27"/>
      <c r="Y341" s="27">
        <f>SUM(X341:X341)</f>
        <v>0</v>
      </c>
    </row>
    <row r="342" spans="1:25" ht="15">
      <c r="A342" s="18">
        <v>12</v>
      </c>
      <c r="F342" s="5" t="s">
        <v>95</v>
      </c>
      <c r="I342" s="27">
        <v>533.99</v>
      </c>
      <c r="J342" s="27">
        <f>IF(X342="","",X342)</f>
      </c>
      <c r="K342" s="27">
        <f>I342+Y342</f>
        <v>533.99</v>
      </c>
      <c r="L342" s="27">
        <f>(K342-I342)</f>
        <v>0</v>
      </c>
      <c r="N342" s="170">
        <f>L342/I342</f>
        <v>0</v>
      </c>
      <c r="P342">
        <f>IF($Q$7=1,TEXT(I342,"$0.00"),"")</f>
      </c>
      <c r="Q342">
        <f>IF($Q$7=1,TEXT(VALUE(K342),"$0.00"),"")</f>
      </c>
      <c r="R342" s="166" t="str">
        <f>IF($Q$7=2,TEXT(VALUE(K342),"$0.00"),"")</f>
        <v>$533.99</v>
      </c>
      <c r="X342" s="27"/>
      <c r="Y342" s="27">
        <f>SUM(X342:X342)</f>
        <v>0</v>
      </c>
    </row>
    <row r="343" spans="1:14" ht="15">
      <c r="A343" s="18">
        <v>13</v>
      </c>
      <c r="L343" s="5"/>
      <c r="N343" s="5"/>
    </row>
    <row r="344" spans="1:14" ht="15">
      <c r="A344" s="18">
        <v>14</v>
      </c>
      <c r="L344" s="5"/>
      <c r="N344" s="5"/>
    </row>
    <row r="345" spans="1:14" ht="15">
      <c r="A345" s="18">
        <v>15</v>
      </c>
      <c r="L345" s="5"/>
      <c r="N345" s="5"/>
    </row>
    <row r="346" spans="1:25" ht="15">
      <c r="A346" s="18">
        <v>16</v>
      </c>
      <c r="F346" s="5" t="s">
        <v>98</v>
      </c>
      <c r="I346" s="27">
        <v>-8.2</v>
      </c>
      <c r="J346" s="27">
        <f aca="true" t="shared" si="12" ref="J346:J351">IF(X346="","",X346)</f>
      </c>
      <c r="K346" s="27">
        <f>I346+Y346</f>
        <v>-8.2</v>
      </c>
      <c r="L346" s="27">
        <f>(K346-I346)</f>
        <v>0</v>
      </c>
      <c r="N346" s="170">
        <f>L346/I346</f>
        <v>0</v>
      </c>
      <c r="P346">
        <f>IF($Q$7=1,TEXT(I346,"$0.00"),"")</f>
      </c>
      <c r="Q346">
        <f>IF($Q$7=1,TEXT(VALUE(K346),"$0.00"),"")</f>
      </c>
      <c r="R346" s="166" t="str">
        <f>IF($Q$7=2,TEXT(VALUE(K346),"$0.00"),"")</f>
        <v>-$8.20</v>
      </c>
      <c r="X346" s="27"/>
      <c r="Y346" s="27">
        <f>SUM(X346:X346)</f>
        <v>0</v>
      </c>
    </row>
    <row r="347" spans="1:25" ht="15">
      <c r="A347" s="18">
        <v>17</v>
      </c>
      <c r="I347" s="27"/>
      <c r="J347" s="27">
        <f t="shared" si="12"/>
      </c>
      <c r="K347" s="27"/>
      <c r="L347" s="27"/>
      <c r="M347" s="9"/>
      <c r="N347" s="27"/>
      <c r="X347" s="27"/>
      <c r="Y347" s="27"/>
    </row>
    <row r="348" spans="1:25" ht="15">
      <c r="A348" s="18">
        <v>18</v>
      </c>
      <c r="F348" s="5" t="s">
        <v>81</v>
      </c>
      <c r="I348" s="27">
        <v>8.2</v>
      </c>
      <c r="J348" s="27">
        <f t="shared" si="12"/>
      </c>
      <c r="K348" s="27">
        <f>I348+Y348</f>
        <v>8.2</v>
      </c>
      <c r="L348" s="27">
        <f>(K348-I348)</f>
        <v>0</v>
      </c>
      <c r="N348" s="170">
        <f>L348/I348</f>
        <v>0</v>
      </c>
      <c r="P348">
        <f>IF($Q$7=1,TEXT(I348,"$0.00"),"")</f>
      </c>
      <c r="Q348">
        <f>IF($Q$7=1,TEXT(VALUE(K348),"$0.00"),"")</f>
      </c>
      <c r="R348" s="166" t="str">
        <f>IF($Q$7=2,TEXT(VALUE(K348),"$0.00"),"")</f>
        <v>$8.20</v>
      </c>
      <c r="X348" s="27"/>
      <c r="Y348" s="27">
        <f>SUM(X348:X348)</f>
        <v>0</v>
      </c>
    </row>
    <row r="349" spans="1:14" ht="15">
      <c r="A349" s="18">
        <v>19</v>
      </c>
      <c r="F349" s="5" t="s">
        <v>82</v>
      </c>
      <c r="J349" s="5">
        <f t="shared" si="12"/>
      </c>
      <c r="L349" s="5"/>
      <c r="N349" s="5"/>
    </row>
    <row r="350" spans="1:14" ht="15">
      <c r="A350" s="18">
        <v>20</v>
      </c>
      <c r="J350" s="5">
        <f t="shared" si="12"/>
      </c>
      <c r="L350" s="5"/>
      <c r="N350" s="5"/>
    </row>
    <row r="351" spans="1:25" ht="15">
      <c r="A351" s="18">
        <v>21</v>
      </c>
      <c r="F351" s="5" t="s">
        <v>85</v>
      </c>
      <c r="I351" s="27">
        <v>1.08</v>
      </c>
      <c r="J351" s="27">
        <f t="shared" si="12"/>
      </c>
      <c r="K351" s="27">
        <f>I351+Y351</f>
        <v>1.08</v>
      </c>
      <c r="L351" s="27">
        <f>(K351-I351)</f>
        <v>0</v>
      </c>
      <c r="N351" s="170">
        <f>L351/I351</f>
        <v>0</v>
      </c>
      <c r="P351">
        <f>IF($Q$7=1,TEXT(I351,"$0.00"),"")</f>
      </c>
      <c r="Q351">
        <f>IF($Q$7=1,TEXT(VALUE(K351),"$0.00"),"")</f>
      </c>
      <c r="R351" s="166" t="str">
        <f>IF($Q$7=2,TEXT(VALUE(K351),"$0.00"),"")</f>
        <v>$1.08</v>
      </c>
      <c r="X351" s="27"/>
      <c r="Y351" s="27">
        <f>SUM(X351:X351)</f>
        <v>0</v>
      </c>
    </row>
    <row r="352" spans="1:25" ht="15">
      <c r="A352" s="18">
        <v>22</v>
      </c>
      <c r="F352" s="5" t="s">
        <v>292</v>
      </c>
      <c r="G352" s="7"/>
      <c r="H352" s="7"/>
      <c r="I352" s="7"/>
      <c r="J352" s="7"/>
      <c r="K352" s="7"/>
      <c r="L352" s="81"/>
      <c r="N352" s="81"/>
      <c r="X352" s="7"/>
      <c r="Y352" s="7"/>
    </row>
    <row r="353" spans="1:25" ht="15">
      <c r="A353" s="18">
        <v>23</v>
      </c>
      <c r="D353" s="7"/>
      <c r="E353" s="7"/>
      <c r="F353" s="5" t="s">
        <v>293</v>
      </c>
      <c r="G353" s="7"/>
      <c r="H353" s="7"/>
      <c r="I353" s="7"/>
      <c r="J353" s="7"/>
      <c r="K353" s="7"/>
      <c r="L353" s="88"/>
      <c r="N353" s="88"/>
      <c r="X353" s="7"/>
      <c r="Y353" s="7"/>
    </row>
    <row r="354" spans="1:25" ht="15" thickBot="1">
      <c r="A354" s="18">
        <v>24</v>
      </c>
      <c r="D354" s="24" t="s">
        <v>99</v>
      </c>
      <c r="E354" s="24"/>
      <c r="F354" s="25" t="s">
        <v>100</v>
      </c>
      <c r="G354" s="25"/>
      <c r="H354" s="25"/>
      <c r="I354" s="25"/>
      <c r="J354" s="25"/>
      <c r="K354" s="25"/>
      <c r="L354" s="82"/>
      <c r="N354" s="82"/>
      <c r="X354" s="25"/>
      <c r="Y354" s="25"/>
    </row>
    <row r="355" spans="1:14" ht="15">
      <c r="A355" s="18">
        <v>25</v>
      </c>
      <c r="F355" s="34" t="s">
        <v>101</v>
      </c>
      <c r="L355" s="81"/>
      <c r="N355" s="81"/>
    </row>
    <row r="356" spans="1:25" ht="15">
      <c r="A356" s="18">
        <v>26</v>
      </c>
      <c r="F356" s="5" t="s">
        <v>102</v>
      </c>
      <c r="I356" s="39"/>
      <c r="J356" s="39"/>
      <c r="K356" s="39"/>
      <c r="L356" s="81"/>
      <c r="N356" s="81"/>
      <c r="X356" s="39"/>
      <c r="Y356" s="39"/>
    </row>
    <row r="357" spans="1:25" ht="15">
      <c r="A357" s="18">
        <v>27</v>
      </c>
      <c r="F357" s="5" t="s">
        <v>268</v>
      </c>
      <c r="I357" s="39">
        <v>3.89</v>
      </c>
      <c r="J357" s="39"/>
      <c r="K357" s="39">
        <f aca="true" t="shared" si="13" ref="K357:K370">SUM(I357:J357)</f>
        <v>3.89</v>
      </c>
      <c r="L357" s="39">
        <f aca="true" t="shared" si="14" ref="L357:L370">(K357-I357)</f>
        <v>0</v>
      </c>
      <c r="N357" s="170">
        <f aca="true" t="shared" si="15" ref="N357:N370">L357/I357</f>
        <v>0</v>
      </c>
      <c r="P357">
        <f aca="true" t="shared" si="16" ref="P357:P370">IF($Q$7=1,TEXT(I357,"0.00"),"")</f>
      </c>
      <c r="Q357">
        <f aca="true" t="shared" si="17" ref="Q357:Q370">IF($Q$7=1,TEXT(VALUE(K357),"0.00"),"")</f>
      </c>
      <c r="R357" s="166" t="str">
        <f aca="true" t="shared" si="18" ref="R357:R370">IF($Q$7=2,TEXT(VALUE(K357),"$0.00"),"")</f>
        <v>$3.89</v>
      </c>
      <c r="X357" s="39"/>
      <c r="Y357" s="39">
        <f aca="true" t="shared" si="19" ref="Y357:Y370">SUM(X357:X357)</f>
        <v>0</v>
      </c>
    </row>
    <row r="358" spans="1:25" ht="15">
      <c r="A358" s="18">
        <v>28</v>
      </c>
      <c r="F358" s="5" t="s">
        <v>103</v>
      </c>
      <c r="I358" s="39">
        <v>3.96</v>
      </c>
      <c r="J358" s="39"/>
      <c r="K358" s="39">
        <f t="shared" si="13"/>
        <v>3.96</v>
      </c>
      <c r="L358" s="39">
        <f t="shared" si="14"/>
        <v>0</v>
      </c>
      <c r="N358" s="170">
        <f t="shared" si="15"/>
        <v>0</v>
      </c>
      <c r="P358">
        <f t="shared" si="16"/>
      </c>
      <c r="Q358">
        <f t="shared" si="17"/>
      </c>
      <c r="R358" s="166" t="str">
        <f t="shared" si="18"/>
        <v>$3.96</v>
      </c>
      <c r="X358" s="39"/>
      <c r="Y358" s="39">
        <f t="shared" si="19"/>
        <v>0</v>
      </c>
    </row>
    <row r="359" spans="1:25" ht="15">
      <c r="A359" s="18">
        <v>29</v>
      </c>
      <c r="F359" s="5" t="s">
        <v>104</v>
      </c>
      <c r="I359" s="39">
        <v>4.08</v>
      </c>
      <c r="J359" s="39"/>
      <c r="K359" s="39">
        <f t="shared" si="13"/>
        <v>4.08</v>
      </c>
      <c r="L359" s="39">
        <f t="shared" si="14"/>
        <v>0</v>
      </c>
      <c r="N359" s="170">
        <f t="shared" si="15"/>
        <v>0</v>
      </c>
      <c r="P359">
        <f t="shared" si="16"/>
      </c>
      <c r="Q359">
        <f t="shared" si="17"/>
      </c>
      <c r="R359" s="166" t="str">
        <f t="shared" si="18"/>
        <v>$4.08</v>
      </c>
      <c r="X359" s="39"/>
      <c r="Y359" s="39">
        <f t="shared" si="19"/>
        <v>0</v>
      </c>
    </row>
    <row r="360" spans="1:25" ht="15">
      <c r="A360" s="18">
        <v>30</v>
      </c>
      <c r="F360" s="5" t="s">
        <v>105</v>
      </c>
      <c r="I360" s="39">
        <v>6.18</v>
      </c>
      <c r="J360" s="39"/>
      <c r="K360" s="39">
        <f t="shared" si="13"/>
        <v>6.18</v>
      </c>
      <c r="L360" s="39">
        <f t="shared" si="14"/>
        <v>0</v>
      </c>
      <c r="N360" s="170">
        <f t="shared" si="15"/>
        <v>0</v>
      </c>
      <c r="P360">
        <f t="shared" si="16"/>
      </c>
      <c r="Q360">
        <f t="shared" si="17"/>
      </c>
      <c r="R360" s="166" t="str">
        <f t="shared" si="18"/>
        <v>$6.18</v>
      </c>
      <c r="X360" s="39"/>
      <c r="Y360" s="39">
        <f t="shared" si="19"/>
        <v>0</v>
      </c>
    </row>
    <row r="361" spans="1:25" ht="15">
      <c r="A361" s="18">
        <v>31</v>
      </c>
      <c r="F361" s="5" t="s">
        <v>106</v>
      </c>
      <c r="I361" s="39">
        <v>6.24</v>
      </c>
      <c r="J361" s="39"/>
      <c r="K361" s="39">
        <f t="shared" si="13"/>
        <v>6.24</v>
      </c>
      <c r="L361" s="39">
        <f t="shared" si="14"/>
        <v>0</v>
      </c>
      <c r="N361" s="170">
        <f t="shared" si="15"/>
        <v>0</v>
      </c>
      <c r="P361">
        <f t="shared" si="16"/>
      </c>
      <c r="Q361">
        <f t="shared" si="17"/>
      </c>
      <c r="R361" s="166" t="str">
        <f t="shared" si="18"/>
        <v>$6.24</v>
      </c>
      <c r="X361" s="39"/>
      <c r="Y361" s="39">
        <f t="shared" si="19"/>
        <v>0</v>
      </c>
    </row>
    <row r="362" spans="1:25" ht="15">
      <c r="A362" s="18">
        <v>32</v>
      </c>
      <c r="E362" s="18" t="s">
        <v>107</v>
      </c>
      <c r="F362" s="5" t="s">
        <v>108</v>
      </c>
      <c r="I362" s="39">
        <v>4.25</v>
      </c>
      <c r="J362" s="39"/>
      <c r="K362" s="39">
        <f t="shared" si="13"/>
        <v>4.25</v>
      </c>
      <c r="L362" s="39">
        <f t="shared" si="14"/>
        <v>0</v>
      </c>
      <c r="N362" s="170">
        <f t="shared" si="15"/>
        <v>0</v>
      </c>
      <c r="P362">
        <f t="shared" si="16"/>
      </c>
      <c r="Q362">
        <f t="shared" si="17"/>
      </c>
      <c r="R362" s="166" t="str">
        <f t="shared" si="18"/>
        <v>$4.25</v>
      </c>
      <c r="X362" s="39"/>
      <c r="Y362" s="39">
        <f t="shared" si="19"/>
        <v>0</v>
      </c>
    </row>
    <row r="363" spans="1:25" ht="15">
      <c r="A363" s="18">
        <v>33</v>
      </c>
      <c r="E363" s="18" t="s">
        <v>107</v>
      </c>
      <c r="F363" s="5" t="s">
        <v>109</v>
      </c>
      <c r="I363" s="39">
        <v>6.58</v>
      </c>
      <c r="J363" s="39"/>
      <c r="K363" s="39">
        <f t="shared" si="13"/>
        <v>6.58</v>
      </c>
      <c r="L363" s="39">
        <f t="shared" si="14"/>
        <v>0</v>
      </c>
      <c r="N363" s="170">
        <f t="shared" si="15"/>
        <v>0</v>
      </c>
      <c r="P363">
        <f t="shared" si="16"/>
      </c>
      <c r="Q363">
        <f t="shared" si="17"/>
      </c>
      <c r="R363" s="166" t="str">
        <f t="shared" si="18"/>
        <v>$6.58</v>
      </c>
      <c r="X363" s="39"/>
      <c r="Y363" s="39">
        <f t="shared" si="19"/>
        <v>0</v>
      </c>
    </row>
    <row r="364" spans="1:25" ht="15">
      <c r="A364" s="18">
        <v>34</v>
      </c>
      <c r="E364" s="18" t="s">
        <v>107</v>
      </c>
      <c r="F364" s="5" t="s">
        <v>110</v>
      </c>
      <c r="I364" s="39">
        <v>9.9</v>
      </c>
      <c r="J364" s="39"/>
      <c r="K364" s="39">
        <f t="shared" si="13"/>
        <v>9.9</v>
      </c>
      <c r="L364" s="39">
        <f t="shared" si="14"/>
        <v>0</v>
      </c>
      <c r="N364" s="170">
        <f t="shared" si="15"/>
        <v>0</v>
      </c>
      <c r="P364">
        <f t="shared" si="16"/>
      </c>
      <c r="Q364">
        <f t="shared" si="17"/>
      </c>
      <c r="R364" s="166" t="str">
        <f t="shared" si="18"/>
        <v>$9.90</v>
      </c>
      <c r="X364" s="39"/>
      <c r="Y364" s="39">
        <f t="shared" si="19"/>
        <v>0</v>
      </c>
    </row>
    <row r="365" spans="1:25" ht="15">
      <c r="A365" s="18">
        <v>35</v>
      </c>
      <c r="E365" s="18" t="s">
        <v>107</v>
      </c>
      <c r="F365" s="5" t="s">
        <v>111</v>
      </c>
      <c r="I365" s="39">
        <v>3.07</v>
      </c>
      <c r="J365" s="39"/>
      <c r="K365" s="39">
        <f t="shared" si="13"/>
        <v>3.07</v>
      </c>
      <c r="L365" s="39">
        <f t="shared" si="14"/>
        <v>0</v>
      </c>
      <c r="N365" s="170">
        <f t="shared" si="15"/>
        <v>0</v>
      </c>
      <c r="P365">
        <f t="shared" si="16"/>
      </c>
      <c r="Q365">
        <f t="shared" si="17"/>
      </c>
      <c r="R365" s="166" t="str">
        <f t="shared" si="18"/>
        <v>$3.07</v>
      </c>
      <c r="X365" s="39"/>
      <c r="Y365" s="39">
        <f t="shared" si="19"/>
        <v>0</v>
      </c>
    </row>
    <row r="366" spans="1:25" ht="15">
      <c r="A366" s="18">
        <v>36</v>
      </c>
      <c r="E366" s="18" t="s">
        <v>107</v>
      </c>
      <c r="F366" s="5" t="s">
        <v>112</v>
      </c>
      <c r="I366" s="39">
        <v>3.12</v>
      </c>
      <c r="J366" s="39"/>
      <c r="K366" s="39">
        <f t="shared" si="13"/>
        <v>3.12</v>
      </c>
      <c r="L366" s="39">
        <f t="shared" si="14"/>
        <v>0</v>
      </c>
      <c r="N366" s="170">
        <f t="shared" si="15"/>
        <v>0</v>
      </c>
      <c r="P366">
        <f t="shared" si="16"/>
      </c>
      <c r="Q366">
        <f t="shared" si="17"/>
      </c>
      <c r="R366" s="166" t="str">
        <f t="shared" si="18"/>
        <v>$3.12</v>
      </c>
      <c r="X366" s="39"/>
      <c r="Y366" s="39">
        <f t="shared" si="19"/>
        <v>0</v>
      </c>
    </row>
    <row r="367" spans="1:25" ht="15">
      <c r="A367" s="18">
        <v>37</v>
      </c>
      <c r="E367" s="18" t="s">
        <v>107</v>
      </c>
      <c r="F367" s="5" t="s">
        <v>113</v>
      </c>
      <c r="I367" s="39">
        <v>5.21</v>
      </c>
      <c r="J367" s="39"/>
      <c r="K367" s="39">
        <f t="shared" si="13"/>
        <v>5.21</v>
      </c>
      <c r="L367" s="39">
        <f t="shared" si="14"/>
        <v>0</v>
      </c>
      <c r="N367" s="170">
        <f t="shared" si="15"/>
        <v>0</v>
      </c>
      <c r="P367">
        <f t="shared" si="16"/>
      </c>
      <c r="Q367">
        <f t="shared" si="17"/>
      </c>
      <c r="R367" s="166" t="str">
        <f t="shared" si="18"/>
        <v>$5.21</v>
      </c>
      <c r="X367" s="39"/>
      <c r="Y367" s="39">
        <f t="shared" si="19"/>
        <v>0</v>
      </c>
    </row>
    <row r="368" spans="1:25" ht="15">
      <c r="A368" s="18">
        <v>38</v>
      </c>
      <c r="E368" s="18" t="s">
        <v>107</v>
      </c>
      <c r="F368" s="5" t="s">
        <v>114</v>
      </c>
      <c r="I368" s="39">
        <v>5.18</v>
      </c>
      <c r="J368" s="39"/>
      <c r="K368" s="39">
        <f t="shared" si="13"/>
        <v>5.18</v>
      </c>
      <c r="L368" s="39">
        <f t="shared" si="14"/>
        <v>0</v>
      </c>
      <c r="N368" s="170">
        <f t="shared" si="15"/>
        <v>0</v>
      </c>
      <c r="P368">
        <f t="shared" si="16"/>
      </c>
      <c r="Q368">
        <f t="shared" si="17"/>
      </c>
      <c r="R368" s="166" t="str">
        <f t="shared" si="18"/>
        <v>$5.18</v>
      </c>
      <c r="X368" s="39"/>
      <c r="Y368" s="39">
        <f t="shared" si="19"/>
        <v>0</v>
      </c>
    </row>
    <row r="369" spans="1:25" ht="15">
      <c r="A369" s="18">
        <v>39</v>
      </c>
      <c r="E369" s="18" t="s">
        <v>107</v>
      </c>
      <c r="F369" s="5" t="s">
        <v>115</v>
      </c>
      <c r="I369" s="39">
        <v>7.34</v>
      </c>
      <c r="J369" s="39"/>
      <c r="K369" s="39">
        <f t="shared" si="13"/>
        <v>7.34</v>
      </c>
      <c r="L369" s="39">
        <f t="shared" si="14"/>
        <v>0</v>
      </c>
      <c r="N369" s="170">
        <f t="shared" si="15"/>
        <v>0</v>
      </c>
      <c r="P369">
        <f t="shared" si="16"/>
      </c>
      <c r="Q369">
        <f t="shared" si="17"/>
      </c>
      <c r="R369" s="166" t="str">
        <f t="shared" si="18"/>
        <v>$7.34</v>
      </c>
      <c r="X369" s="39"/>
      <c r="Y369" s="39">
        <f t="shared" si="19"/>
        <v>0</v>
      </c>
    </row>
    <row r="370" spans="1:25" ht="15">
      <c r="A370" s="18">
        <v>40</v>
      </c>
      <c r="E370" s="18" t="s">
        <v>107</v>
      </c>
      <c r="F370" s="5" t="s">
        <v>116</v>
      </c>
      <c r="I370" s="39">
        <v>7.5</v>
      </c>
      <c r="J370" s="39"/>
      <c r="K370" s="39">
        <f t="shared" si="13"/>
        <v>7.5</v>
      </c>
      <c r="L370" s="39">
        <f t="shared" si="14"/>
        <v>0</v>
      </c>
      <c r="N370" s="170">
        <f t="shared" si="15"/>
        <v>0</v>
      </c>
      <c r="P370">
        <f t="shared" si="16"/>
      </c>
      <c r="Q370">
        <f t="shared" si="17"/>
      </c>
      <c r="R370" s="166" t="str">
        <f t="shared" si="18"/>
        <v>$7.50</v>
      </c>
      <c r="X370" s="39"/>
      <c r="Y370" s="39">
        <f t="shared" si="19"/>
        <v>0</v>
      </c>
    </row>
    <row r="371" spans="1:25" ht="15">
      <c r="A371" s="18">
        <v>41</v>
      </c>
      <c r="I371" s="39"/>
      <c r="J371" s="39"/>
      <c r="K371" s="39"/>
      <c r="L371" s="118"/>
      <c r="N371" s="118"/>
      <c r="X371" s="39"/>
      <c r="Y371" s="39"/>
    </row>
    <row r="372" spans="1:25" ht="15">
      <c r="A372" s="18">
        <v>42</v>
      </c>
      <c r="I372" s="39"/>
      <c r="J372" s="39"/>
      <c r="K372" s="39"/>
      <c r="L372" s="118"/>
      <c r="N372" s="118"/>
      <c r="X372" s="39"/>
      <c r="Y372" s="39"/>
    </row>
    <row r="373" spans="3:25" ht="15">
      <c r="C373" s="43"/>
      <c r="I373" s="39"/>
      <c r="J373" s="39"/>
      <c r="K373" s="39"/>
      <c r="L373" s="118"/>
      <c r="N373" s="118"/>
      <c r="X373" s="39"/>
      <c r="Y373" s="39"/>
    </row>
    <row r="374" spans="1:25" ht="15" thickBot="1">
      <c r="A374" s="16"/>
      <c r="B374" s="3"/>
      <c r="C374" s="3"/>
      <c r="D374" s="41"/>
      <c r="E374" s="41"/>
      <c r="F374" s="41"/>
      <c r="G374" s="41"/>
      <c r="H374" s="41"/>
      <c r="I374" s="119"/>
      <c r="J374" s="119"/>
      <c r="K374" s="119"/>
      <c r="L374" s="120"/>
      <c r="M374" s="41"/>
      <c r="N374" s="120"/>
      <c r="O374" s="41"/>
      <c r="X374" s="119"/>
      <c r="Y374" s="119"/>
    </row>
    <row r="375" spans="1:25" ht="15">
      <c r="A375" s="45" t="s">
        <v>31</v>
      </c>
      <c r="B375" s="14"/>
      <c r="C375" s="14"/>
      <c r="D375" s="45"/>
      <c r="E375" s="45"/>
      <c r="F375" s="45"/>
      <c r="G375" s="45"/>
      <c r="H375" s="45"/>
      <c r="I375" s="121"/>
      <c r="J375" s="121"/>
      <c r="K375" s="121" t="s">
        <v>32</v>
      </c>
      <c r="L375" s="122"/>
      <c r="M375" s="45"/>
      <c r="N375" s="122"/>
      <c r="O375" s="1"/>
      <c r="X375" s="121"/>
      <c r="Y375" s="121"/>
    </row>
    <row r="376" spans="1:25" ht="15" thickBot="1">
      <c r="A376" s="18">
        <v>1</v>
      </c>
      <c r="D376" s="24" t="s">
        <v>99</v>
      </c>
      <c r="E376" s="24"/>
      <c r="F376" s="25" t="s">
        <v>117</v>
      </c>
      <c r="G376" s="25"/>
      <c r="H376" s="25"/>
      <c r="I376" s="123"/>
      <c r="J376" s="123"/>
      <c r="K376" s="123"/>
      <c r="L376" s="124"/>
      <c r="N376" s="124"/>
      <c r="X376" s="123"/>
      <c r="Y376" s="123"/>
    </row>
    <row r="377" spans="1:25" ht="15">
      <c r="A377" s="18">
        <v>2</v>
      </c>
      <c r="F377" s="34" t="s">
        <v>118</v>
      </c>
      <c r="I377" s="39"/>
      <c r="J377" s="39"/>
      <c r="K377" s="39"/>
      <c r="L377" s="118"/>
      <c r="N377" s="118"/>
      <c r="X377" s="39"/>
      <c r="Y377" s="39"/>
    </row>
    <row r="378" spans="1:25" ht="15">
      <c r="A378" s="18">
        <v>3</v>
      </c>
      <c r="F378" s="76" t="s">
        <v>268</v>
      </c>
      <c r="I378" s="39">
        <v>1.83</v>
      </c>
      <c r="J378" s="39"/>
      <c r="K378" s="39">
        <f aca="true" t="shared" si="20" ref="K378:K391">SUM(I378:J378)</f>
        <v>1.83</v>
      </c>
      <c r="L378" s="39">
        <f aca="true" t="shared" si="21" ref="L378:L391">(K378-I378)</f>
        <v>0</v>
      </c>
      <c r="N378" s="170">
        <f aca="true" t="shared" si="22" ref="N378:N391">L378/I378</f>
        <v>0</v>
      </c>
      <c r="P378">
        <f aca="true" t="shared" si="23" ref="P378:P391">IF($Q$7=1,TEXT(I378,"0.00"),"")</f>
      </c>
      <c r="Q378">
        <f aca="true" t="shared" si="24" ref="Q378:Q391">IF($Q$7=1,TEXT(VALUE(K378),"0.00"),"")</f>
      </c>
      <c r="R378" s="166" t="str">
        <f aca="true" t="shared" si="25" ref="R378:R391">IF($Q$7=2,TEXT(VALUE(K378),"0.00"),"")</f>
        <v>1.83</v>
      </c>
      <c r="X378" s="39"/>
      <c r="Y378" s="39">
        <f aca="true" t="shared" si="26" ref="Y378:Y391">SUM(X378:X378)</f>
        <v>0</v>
      </c>
    </row>
    <row r="379" spans="1:25" ht="15">
      <c r="A379" s="18">
        <v>4</v>
      </c>
      <c r="F379" s="5" t="s">
        <v>103</v>
      </c>
      <c r="I379" s="39">
        <v>1.84</v>
      </c>
      <c r="J379" s="39"/>
      <c r="K379" s="39">
        <f t="shared" si="20"/>
        <v>1.84</v>
      </c>
      <c r="L379" s="39">
        <f t="shared" si="21"/>
        <v>0</v>
      </c>
      <c r="N379" s="170">
        <f t="shared" si="22"/>
        <v>0</v>
      </c>
      <c r="P379">
        <f t="shared" si="23"/>
      </c>
      <c r="Q379">
        <f t="shared" si="24"/>
      </c>
      <c r="R379" s="166" t="str">
        <f t="shared" si="25"/>
        <v>1.84</v>
      </c>
      <c r="X379" s="39"/>
      <c r="Y379" s="39">
        <f t="shared" si="26"/>
        <v>0</v>
      </c>
    </row>
    <row r="380" spans="1:25" ht="15">
      <c r="A380" s="18">
        <v>5</v>
      </c>
      <c r="F380" s="5" t="s">
        <v>104</v>
      </c>
      <c r="I380" s="39">
        <v>1.87</v>
      </c>
      <c r="J380" s="39"/>
      <c r="K380" s="39">
        <f t="shared" si="20"/>
        <v>1.87</v>
      </c>
      <c r="L380" s="39">
        <f t="shared" si="21"/>
        <v>0</v>
      </c>
      <c r="N380" s="170">
        <f t="shared" si="22"/>
        <v>0</v>
      </c>
      <c r="P380">
        <f t="shared" si="23"/>
      </c>
      <c r="Q380">
        <f t="shared" si="24"/>
      </c>
      <c r="R380" s="166" t="str">
        <f t="shared" si="25"/>
        <v>1.87</v>
      </c>
      <c r="X380" s="39"/>
      <c r="Y380" s="39">
        <f t="shared" si="26"/>
        <v>0</v>
      </c>
    </row>
    <row r="381" spans="1:25" ht="15">
      <c r="A381" s="18">
        <v>6</v>
      </c>
      <c r="F381" s="5" t="s">
        <v>105</v>
      </c>
      <c r="I381" s="39">
        <v>2.38</v>
      </c>
      <c r="J381" s="39"/>
      <c r="K381" s="39">
        <f t="shared" si="20"/>
        <v>2.38</v>
      </c>
      <c r="L381" s="39">
        <f t="shared" si="21"/>
        <v>0</v>
      </c>
      <c r="N381" s="170">
        <f t="shared" si="22"/>
        <v>0</v>
      </c>
      <c r="P381">
        <f t="shared" si="23"/>
      </c>
      <c r="Q381">
        <f t="shared" si="24"/>
      </c>
      <c r="R381" s="166" t="str">
        <f t="shared" si="25"/>
        <v>2.38</v>
      </c>
      <c r="X381" s="39"/>
      <c r="Y381" s="39">
        <f t="shared" si="26"/>
        <v>0</v>
      </c>
    </row>
    <row r="382" spans="1:25" ht="15">
      <c r="A382" s="18">
        <v>7</v>
      </c>
      <c r="F382" s="5" t="s">
        <v>106</v>
      </c>
      <c r="I382" s="39">
        <v>2.39</v>
      </c>
      <c r="J382" s="39"/>
      <c r="K382" s="39">
        <f t="shared" si="20"/>
        <v>2.39</v>
      </c>
      <c r="L382" s="39">
        <f t="shared" si="21"/>
        <v>0</v>
      </c>
      <c r="N382" s="170">
        <f t="shared" si="22"/>
        <v>0</v>
      </c>
      <c r="P382">
        <f t="shared" si="23"/>
      </c>
      <c r="Q382">
        <f t="shared" si="24"/>
      </c>
      <c r="R382" s="166" t="str">
        <f t="shared" si="25"/>
        <v>2.39</v>
      </c>
      <c r="X382" s="39"/>
      <c r="Y382" s="39">
        <f t="shared" si="26"/>
        <v>0</v>
      </c>
    </row>
    <row r="383" spans="1:25" ht="15">
      <c r="A383" s="18">
        <v>8</v>
      </c>
      <c r="E383" s="18" t="s">
        <v>107</v>
      </c>
      <c r="F383" s="5" t="s">
        <v>108</v>
      </c>
      <c r="I383" s="39">
        <v>2.09</v>
      </c>
      <c r="J383" s="39"/>
      <c r="K383" s="39">
        <f t="shared" si="20"/>
        <v>2.09</v>
      </c>
      <c r="L383" s="39">
        <f t="shared" si="21"/>
        <v>0</v>
      </c>
      <c r="N383" s="170">
        <f t="shared" si="22"/>
        <v>0</v>
      </c>
      <c r="P383">
        <f t="shared" si="23"/>
      </c>
      <c r="Q383">
        <f t="shared" si="24"/>
      </c>
      <c r="R383" s="166" t="str">
        <f t="shared" si="25"/>
        <v>2.09</v>
      </c>
      <c r="X383" s="39"/>
      <c r="Y383" s="39">
        <f t="shared" si="26"/>
        <v>0</v>
      </c>
    </row>
    <row r="384" spans="1:25" ht="15">
      <c r="A384" s="18">
        <v>9</v>
      </c>
      <c r="E384" s="18" t="s">
        <v>107</v>
      </c>
      <c r="F384" s="5" t="s">
        <v>109</v>
      </c>
      <c r="I384" s="39">
        <v>2.6</v>
      </c>
      <c r="J384" s="39"/>
      <c r="K384" s="39">
        <f t="shared" si="20"/>
        <v>2.6</v>
      </c>
      <c r="L384" s="39">
        <f t="shared" si="21"/>
        <v>0</v>
      </c>
      <c r="N384" s="170">
        <f t="shared" si="22"/>
        <v>0</v>
      </c>
      <c r="P384">
        <f t="shared" si="23"/>
      </c>
      <c r="Q384">
        <f t="shared" si="24"/>
      </c>
      <c r="R384" s="166" t="str">
        <f t="shared" si="25"/>
        <v>2.60</v>
      </c>
      <c r="X384" s="39"/>
      <c r="Y384" s="39">
        <f t="shared" si="26"/>
        <v>0</v>
      </c>
    </row>
    <row r="385" spans="1:25" ht="15">
      <c r="A385" s="18">
        <v>10</v>
      </c>
      <c r="E385" s="18" t="s">
        <v>107</v>
      </c>
      <c r="F385" s="5" t="s">
        <v>110</v>
      </c>
      <c r="I385" s="39">
        <v>4.65</v>
      </c>
      <c r="J385" s="39"/>
      <c r="K385" s="39">
        <f t="shared" si="20"/>
        <v>4.65</v>
      </c>
      <c r="L385" s="39">
        <f t="shared" si="21"/>
        <v>0</v>
      </c>
      <c r="N385" s="170">
        <f t="shared" si="22"/>
        <v>0</v>
      </c>
      <c r="P385">
        <f t="shared" si="23"/>
      </c>
      <c r="Q385">
        <f t="shared" si="24"/>
      </c>
      <c r="R385" s="166" t="str">
        <f t="shared" si="25"/>
        <v>4.65</v>
      </c>
      <c r="X385" s="39"/>
      <c r="Y385" s="39">
        <f t="shared" si="26"/>
        <v>0</v>
      </c>
    </row>
    <row r="386" spans="1:25" ht="15">
      <c r="A386" s="18">
        <v>11</v>
      </c>
      <c r="E386" s="18" t="s">
        <v>107</v>
      </c>
      <c r="F386" s="5" t="s">
        <v>111</v>
      </c>
      <c r="I386" s="39">
        <v>1.64</v>
      </c>
      <c r="J386" s="39"/>
      <c r="K386" s="39">
        <f t="shared" si="20"/>
        <v>1.64</v>
      </c>
      <c r="L386" s="39">
        <f t="shared" si="21"/>
        <v>0</v>
      </c>
      <c r="N386" s="170">
        <f t="shared" si="22"/>
        <v>0</v>
      </c>
      <c r="P386">
        <f t="shared" si="23"/>
      </c>
      <c r="Q386">
        <f t="shared" si="24"/>
      </c>
      <c r="R386" s="166" t="str">
        <f t="shared" si="25"/>
        <v>1.64</v>
      </c>
      <c r="X386" s="39"/>
      <c r="Y386" s="39">
        <f t="shared" si="26"/>
        <v>0</v>
      </c>
    </row>
    <row r="387" spans="1:25" ht="15">
      <c r="A387" s="18">
        <v>12</v>
      </c>
      <c r="E387" s="18" t="s">
        <v>107</v>
      </c>
      <c r="F387" s="5" t="s">
        <v>112</v>
      </c>
      <c r="I387" s="39">
        <v>1.64</v>
      </c>
      <c r="J387" s="39"/>
      <c r="K387" s="39">
        <f t="shared" si="20"/>
        <v>1.64</v>
      </c>
      <c r="L387" s="39">
        <f t="shared" si="21"/>
        <v>0</v>
      </c>
      <c r="N387" s="170">
        <f t="shared" si="22"/>
        <v>0</v>
      </c>
      <c r="P387">
        <f t="shared" si="23"/>
      </c>
      <c r="Q387">
        <f t="shared" si="24"/>
      </c>
      <c r="R387" s="166" t="str">
        <f t="shared" si="25"/>
        <v>1.64</v>
      </c>
      <c r="X387" s="39"/>
      <c r="Y387" s="39">
        <f t="shared" si="26"/>
        <v>0</v>
      </c>
    </row>
    <row r="388" spans="1:25" ht="15">
      <c r="A388" s="18">
        <v>13</v>
      </c>
      <c r="E388" s="18" t="s">
        <v>107</v>
      </c>
      <c r="F388" s="5" t="s">
        <v>113</v>
      </c>
      <c r="I388" s="39">
        <v>2.37</v>
      </c>
      <c r="J388" s="39"/>
      <c r="K388" s="39">
        <f t="shared" si="20"/>
        <v>2.37</v>
      </c>
      <c r="L388" s="39">
        <f t="shared" si="21"/>
        <v>0</v>
      </c>
      <c r="N388" s="170">
        <f t="shared" si="22"/>
        <v>0</v>
      </c>
      <c r="P388">
        <f t="shared" si="23"/>
      </c>
      <c r="Q388">
        <f t="shared" si="24"/>
      </c>
      <c r="R388" s="166" t="str">
        <f t="shared" si="25"/>
        <v>2.37</v>
      </c>
      <c r="X388" s="39"/>
      <c r="Y388" s="39">
        <f t="shared" si="26"/>
        <v>0</v>
      </c>
    </row>
    <row r="389" spans="1:25" ht="15">
      <c r="A389" s="18">
        <v>14</v>
      </c>
      <c r="E389" s="18" t="s">
        <v>107</v>
      </c>
      <c r="F389" s="5" t="s">
        <v>114</v>
      </c>
      <c r="I389" s="39">
        <v>2.33</v>
      </c>
      <c r="J389" s="39"/>
      <c r="K389" s="39">
        <f t="shared" si="20"/>
        <v>2.33</v>
      </c>
      <c r="L389" s="39">
        <f t="shared" si="21"/>
        <v>0</v>
      </c>
      <c r="N389" s="170">
        <f t="shared" si="22"/>
        <v>0</v>
      </c>
      <c r="P389">
        <f t="shared" si="23"/>
      </c>
      <c r="Q389">
        <f t="shared" si="24"/>
      </c>
      <c r="R389" s="166" t="str">
        <f t="shared" si="25"/>
        <v>2.33</v>
      </c>
      <c r="X389" s="39"/>
      <c r="Y389" s="39">
        <f t="shared" si="26"/>
        <v>0</v>
      </c>
    </row>
    <row r="390" spans="1:25" ht="15">
      <c r="A390" s="18">
        <v>15</v>
      </c>
      <c r="E390" s="18" t="s">
        <v>107</v>
      </c>
      <c r="F390" s="5" t="s">
        <v>115</v>
      </c>
      <c r="I390" s="39">
        <v>3.96</v>
      </c>
      <c r="J390" s="39"/>
      <c r="K390" s="39">
        <f t="shared" si="20"/>
        <v>3.96</v>
      </c>
      <c r="L390" s="39">
        <f t="shared" si="21"/>
        <v>0</v>
      </c>
      <c r="N390" s="170">
        <f t="shared" si="22"/>
        <v>0</v>
      </c>
      <c r="P390">
        <f t="shared" si="23"/>
      </c>
      <c r="Q390">
        <f t="shared" si="24"/>
      </c>
      <c r="R390" s="166" t="str">
        <f t="shared" si="25"/>
        <v>3.96</v>
      </c>
      <c r="X390" s="39"/>
      <c r="Y390" s="39">
        <f t="shared" si="26"/>
        <v>0</v>
      </c>
    </row>
    <row r="391" spans="1:25" ht="15">
      <c r="A391" s="18">
        <v>16</v>
      </c>
      <c r="E391" s="18" t="s">
        <v>107</v>
      </c>
      <c r="F391" s="5" t="s">
        <v>116</v>
      </c>
      <c r="I391" s="39">
        <v>3.87</v>
      </c>
      <c r="J391" s="39"/>
      <c r="K391" s="39">
        <f t="shared" si="20"/>
        <v>3.87</v>
      </c>
      <c r="L391" s="39">
        <f t="shared" si="21"/>
        <v>0</v>
      </c>
      <c r="N391" s="170">
        <f t="shared" si="22"/>
        <v>0</v>
      </c>
      <c r="P391">
        <f t="shared" si="23"/>
      </c>
      <c r="Q391">
        <f t="shared" si="24"/>
      </c>
      <c r="R391" s="166" t="str">
        <f t="shared" si="25"/>
        <v>3.87</v>
      </c>
      <c r="X391" s="39"/>
      <c r="Y391" s="39">
        <f t="shared" si="26"/>
        <v>0</v>
      </c>
    </row>
    <row r="392" spans="1:34" ht="15">
      <c r="A392" s="18">
        <v>17</v>
      </c>
      <c r="I392" s="125"/>
      <c r="J392" s="125"/>
      <c r="K392" s="125"/>
      <c r="L392" s="126"/>
      <c r="N392" s="126"/>
      <c r="X392" s="125"/>
      <c r="Y392" s="125"/>
      <c r="Z392" s="153" t="s">
        <v>298</v>
      </c>
      <c r="AA392" s="153"/>
      <c r="AB392" s="153"/>
      <c r="AC392" s="153"/>
      <c r="AE392" s="153" t="s">
        <v>272</v>
      </c>
      <c r="AF392" s="153"/>
      <c r="AG392" s="153"/>
      <c r="AH392" s="153"/>
    </row>
    <row r="393" spans="1:35" ht="15">
      <c r="A393" s="18">
        <v>18</v>
      </c>
      <c r="F393" s="5" t="s">
        <v>119</v>
      </c>
      <c r="H393" s="5" t="s">
        <v>243</v>
      </c>
      <c r="I393" s="125"/>
      <c r="J393" s="125"/>
      <c r="K393" s="125"/>
      <c r="L393" s="126"/>
      <c r="N393" s="126"/>
      <c r="S393" s="109" t="s">
        <v>120</v>
      </c>
      <c r="T393" s="109"/>
      <c r="U393" s="109"/>
      <c r="X393" s="125"/>
      <c r="Y393" s="125"/>
      <c r="Z393" s="80" t="s">
        <v>243</v>
      </c>
      <c r="AA393" s="80" t="s">
        <v>244</v>
      </c>
      <c r="AB393" s="80" t="s">
        <v>245</v>
      </c>
      <c r="AC393" s="80" t="s">
        <v>246</v>
      </c>
      <c r="AE393" s="80" t="s">
        <v>243</v>
      </c>
      <c r="AF393" s="80" t="s">
        <v>244</v>
      </c>
      <c r="AG393" s="80" t="s">
        <v>245</v>
      </c>
      <c r="AH393" s="80" t="s">
        <v>278</v>
      </c>
      <c r="AI393" s="7" t="s">
        <v>273</v>
      </c>
    </row>
    <row r="394" spans="1:36" ht="15">
      <c r="A394" s="18">
        <v>19</v>
      </c>
      <c r="F394" s="76" t="s">
        <v>268</v>
      </c>
      <c r="H394" s="7">
        <v>29</v>
      </c>
      <c r="I394" s="39">
        <v>0.8</v>
      </c>
      <c r="J394" s="182" t="str">
        <f>+"**Note:  The monthly Energy Non-Fuel charge is calculated by multiplying the kWh rating for each fixture by the Non-Fuel Energy Rate of "&amp;TEXT(K$473,"0.000")&amp;" ¢/kWh.  This avoids rounding issues caused by seperating the increases into the various components"</f>
        <v>**Note:  The monthly Energy Non-Fuel charge is calculated by multiplying the kWh rating for each fixture by the Non-Fuel Energy Rate of 2.792 ¢/kWh.  This avoids rounding issues caused by seperating the increases into the various components</v>
      </c>
      <c r="K394" s="39">
        <f aca="true" t="shared" si="27" ref="K394:K407">ROUND(H394*K$473/100,2)</f>
        <v>0.81</v>
      </c>
      <c r="L394" s="75">
        <f aca="true" t="shared" si="28" ref="L394:L407">(K394-I394)</f>
        <v>0.010000000000000009</v>
      </c>
      <c r="N394" s="170">
        <f aca="true" t="shared" si="29" ref="N394:N407">L394/I394</f>
        <v>0.012500000000000011</v>
      </c>
      <c r="P394">
        <f aca="true" t="shared" si="30" ref="P394:P407">IF($Q$7=1,TEXT(I394,"0.00"),"")</f>
      </c>
      <c r="Q394">
        <f aca="true" t="shared" si="31" ref="Q394:Q407">IF($Q$7=1,TEXT(VALUE(K394),"0.00"),"")</f>
      </c>
      <c r="R394" s="166" t="str">
        <f>IF($Q$7=2,TEXT(VALUE($K394),"0.00"),"")</f>
        <v>0.81</v>
      </c>
      <c r="S394" s="29">
        <f aca="true" t="shared" si="32" ref="S394:S407">IF($Q$7=1,TEXT(($I357+$I378+$I394),"0.00"),"")</f>
      </c>
      <c r="T394" s="30">
        <f aca="true" t="shared" si="33" ref="T394:T407">IF($Q$7=1,TEXT(VALUE(($K357+$K378+$K394)),"0.00"),"")</f>
      </c>
      <c r="U394" s="31" t="str">
        <f aca="true" t="shared" si="34" ref="U394:U407">IF($Q$7=2,TEXT(VALUE(K357+$K378+$K394),"0.00"),"")</f>
        <v>6.53</v>
      </c>
      <c r="X394" s="75">
        <f>+AC394</f>
        <v>0.01</v>
      </c>
      <c r="Y394" s="75">
        <f aca="true" t="shared" si="35" ref="Y394:Y407">SUM(X394:X394)</f>
        <v>0.01</v>
      </c>
      <c r="Z394" s="64">
        <v>29</v>
      </c>
      <c r="AA394" s="12">
        <v>15</v>
      </c>
      <c r="AB394" s="180">
        <f aca="true" t="shared" si="36" ref="AB394:AB407">$J$473</f>
        <v>0.037</v>
      </c>
      <c r="AC394" s="64">
        <f>ROUND(AB394/100*Z394,2)</f>
        <v>0.01</v>
      </c>
      <c r="AE394" s="64">
        <v>29</v>
      </c>
      <c r="AF394" s="12">
        <v>15</v>
      </c>
      <c r="AG394" s="38">
        <f aca="true" t="shared" si="37" ref="AG394:AG407">+K$473</f>
        <v>2.792</v>
      </c>
      <c r="AH394" s="160">
        <f aca="true" t="shared" si="38" ref="AH394:AH407">ROUND(AG394/100*AE394,2)</f>
        <v>0.81</v>
      </c>
      <c r="AI394" s="49">
        <f aca="true" t="shared" si="39" ref="AI394:AI407">I394+Y394-AH394</f>
        <v>0</v>
      </c>
      <c r="AJ394" s="7" t="b">
        <f aca="true" t="shared" si="40" ref="AJ394:AJ407">K394=AH394</f>
        <v>1</v>
      </c>
    </row>
    <row r="395" spans="1:36" ht="15">
      <c r="A395" s="18">
        <v>20</v>
      </c>
      <c r="F395" s="5" t="s">
        <v>103</v>
      </c>
      <c r="H395" s="7">
        <v>41</v>
      </c>
      <c r="I395" s="39">
        <v>1.13</v>
      </c>
      <c r="J395" s="182"/>
      <c r="K395" s="39">
        <f t="shared" si="27"/>
        <v>1.14</v>
      </c>
      <c r="L395" s="75">
        <f t="shared" si="28"/>
        <v>0.010000000000000009</v>
      </c>
      <c r="N395" s="170">
        <f t="shared" si="29"/>
        <v>0.008849557522123902</v>
      </c>
      <c r="P395">
        <f t="shared" si="30"/>
      </c>
      <c r="Q395">
        <f t="shared" si="31"/>
      </c>
      <c r="R395" s="166" t="str">
        <f aca="true" t="shared" si="41" ref="R395:R407">IF($Q$7=2,TEXT(VALUE(K395),"0.00"),"")</f>
        <v>1.14</v>
      </c>
      <c r="S395" s="29">
        <f t="shared" si="32"/>
      </c>
      <c r="T395" s="30">
        <f t="shared" si="33"/>
      </c>
      <c r="U395" s="31" t="str">
        <f t="shared" si="34"/>
        <v>6.94</v>
      </c>
      <c r="X395" s="75">
        <f aca="true" t="shared" si="42" ref="X395:X412">+AC395</f>
        <v>0.02</v>
      </c>
      <c r="Y395" s="75">
        <f t="shared" si="35"/>
        <v>0.02</v>
      </c>
      <c r="Z395" s="64">
        <v>41</v>
      </c>
      <c r="AA395" s="12">
        <v>15</v>
      </c>
      <c r="AB395" s="180">
        <f t="shared" si="36"/>
        <v>0.037</v>
      </c>
      <c r="AC395" s="64">
        <f aca="true" t="shared" si="43" ref="AC395:AC407">ROUND(AB395/100*Z395,2)</f>
        <v>0.02</v>
      </c>
      <c r="AE395" s="64">
        <v>41</v>
      </c>
      <c r="AF395" s="12">
        <v>15</v>
      </c>
      <c r="AG395" s="38">
        <f t="shared" si="37"/>
        <v>2.792</v>
      </c>
      <c r="AH395" s="160">
        <f t="shared" si="38"/>
        <v>1.14</v>
      </c>
      <c r="AI395" s="49">
        <f t="shared" si="39"/>
        <v>0.010000000000000009</v>
      </c>
      <c r="AJ395" s="7" t="b">
        <f t="shared" si="40"/>
        <v>1</v>
      </c>
    </row>
    <row r="396" spans="1:36" ht="15">
      <c r="A396" s="18">
        <v>21</v>
      </c>
      <c r="F396" s="5" t="s">
        <v>104</v>
      </c>
      <c r="H396" s="7">
        <v>60</v>
      </c>
      <c r="I396" s="39">
        <v>1.65</v>
      </c>
      <c r="J396" s="182"/>
      <c r="K396" s="39">
        <f t="shared" si="27"/>
        <v>1.68</v>
      </c>
      <c r="L396" s="75">
        <f t="shared" si="28"/>
        <v>0.030000000000000027</v>
      </c>
      <c r="N396" s="170">
        <f t="shared" si="29"/>
        <v>0.0181818181818182</v>
      </c>
      <c r="P396">
        <f t="shared" si="30"/>
      </c>
      <c r="Q396">
        <f t="shared" si="31"/>
      </c>
      <c r="R396" s="166" t="str">
        <f t="shared" si="41"/>
        <v>1.68</v>
      </c>
      <c r="S396" s="29">
        <f t="shared" si="32"/>
      </c>
      <c r="T396" s="30">
        <f t="shared" si="33"/>
      </c>
      <c r="U396" s="31" t="str">
        <f t="shared" si="34"/>
        <v>7.63</v>
      </c>
      <c r="X396" s="75">
        <f t="shared" si="42"/>
        <v>0.02</v>
      </c>
      <c r="Y396" s="75">
        <f t="shared" si="35"/>
        <v>0.02</v>
      </c>
      <c r="Z396" s="64">
        <v>60</v>
      </c>
      <c r="AA396" s="12">
        <v>15</v>
      </c>
      <c r="AB396" s="180">
        <f t="shared" si="36"/>
        <v>0.037</v>
      </c>
      <c r="AC396" s="64">
        <f t="shared" si="43"/>
        <v>0.02</v>
      </c>
      <c r="AE396" s="64">
        <v>60</v>
      </c>
      <c r="AF396" s="12">
        <v>15</v>
      </c>
      <c r="AG396" s="38">
        <f t="shared" si="37"/>
        <v>2.792</v>
      </c>
      <c r="AH396" s="160">
        <f t="shared" si="38"/>
        <v>1.68</v>
      </c>
      <c r="AI396" s="49">
        <f t="shared" si="39"/>
        <v>-0.010000000000000009</v>
      </c>
      <c r="AJ396" s="7" t="b">
        <f t="shared" si="40"/>
        <v>1</v>
      </c>
    </row>
    <row r="397" spans="1:36" ht="15">
      <c r="A397" s="18">
        <v>22</v>
      </c>
      <c r="F397" s="5" t="s">
        <v>105</v>
      </c>
      <c r="H397" s="7">
        <v>88</v>
      </c>
      <c r="I397" s="39">
        <v>2.42</v>
      </c>
      <c r="J397" s="182"/>
      <c r="K397" s="39">
        <f t="shared" si="27"/>
        <v>2.46</v>
      </c>
      <c r="L397" s="75">
        <f t="shared" si="28"/>
        <v>0.040000000000000036</v>
      </c>
      <c r="N397" s="170">
        <f t="shared" si="29"/>
        <v>0.016528925619834725</v>
      </c>
      <c r="P397">
        <f t="shared" si="30"/>
      </c>
      <c r="Q397">
        <f t="shared" si="31"/>
      </c>
      <c r="R397" s="166" t="str">
        <f t="shared" si="41"/>
        <v>2.46</v>
      </c>
      <c r="S397" s="29">
        <f t="shared" si="32"/>
      </c>
      <c r="T397" s="30">
        <f t="shared" si="33"/>
      </c>
      <c r="U397" s="31" t="str">
        <f t="shared" si="34"/>
        <v>11.02</v>
      </c>
      <c r="X397" s="75">
        <f t="shared" si="42"/>
        <v>0.03</v>
      </c>
      <c r="Y397" s="75">
        <f t="shared" si="35"/>
        <v>0.03</v>
      </c>
      <c r="Z397" s="64">
        <v>88</v>
      </c>
      <c r="AA397" s="12">
        <v>15</v>
      </c>
      <c r="AB397" s="180">
        <f t="shared" si="36"/>
        <v>0.037</v>
      </c>
      <c r="AC397" s="64">
        <f t="shared" si="43"/>
        <v>0.03</v>
      </c>
      <c r="AE397" s="64">
        <v>88</v>
      </c>
      <c r="AF397" s="12">
        <v>15</v>
      </c>
      <c r="AG397" s="38">
        <f t="shared" si="37"/>
        <v>2.792</v>
      </c>
      <c r="AH397" s="160">
        <f t="shared" si="38"/>
        <v>2.46</v>
      </c>
      <c r="AI397" s="49">
        <f t="shared" si="39"/>
        <v>-0.010000000000000231</v>
      </c>
      <c r="AJ397" s="7" t="b">
        <f t="shared" si="40"/>
        <v>1</v>
      </c>
    </row>
    <row r="398" spans="1:36" ht="15">
      <c r="A398" s="18">
        <v>23</v>
      </c>
      <c r="F398" s="5" t="s">
        <v>106</v>
      </c>
      <c r="H398" s="7">
        <v>168</v>
      </c>
      <c r="I398" s="39">
        <v>4.63</v>
      </c>
      <c r="J398" s="182"/>
      <c r="K398" s="39">
        <f t="shared" si="27"/>
        <v>4.69</v>
      </c>
      <c r="L398" s="75">
        <f t="shared" si="28"/>
        <v>0.0600000000000005</v>
      </c>
      <c r="N398" s="170">
        <f t="shared" si="29"/>
        <v>0.012958963282937472</v>
      </c>
      <c r="P398">
        <f t="shared" si="30"/>
      </c>
      <c r="Q398">
        <f t="shared" si="31"/>
      </c>
      <c r="R398" s="166" t="str">
        <f t="shared" si="41"/>
        <v>4.69</v>
      </c>
      <c r="S398" s="29">
        <f t="shared" si="32"/>
      </c>
      <c r="T398" s="30">
        <f t="shared" si="33"/>
      </c>
      <c r="U398" s="31" t="str">
        <f t="shared" si="34"/>
        <v>13.32</v>
      </c>
      <c r="X398" s="75">
        <f t="shared" si="42"/>
        <v>0.06</v>
      </c>
      <c r="Y398" s="75">
        <f t="shared" si="35"/>
        <v>0.06</v>
      </c>
      <c r="Z398" s="64">
        <v>168</v>
      </c>
      <c r="AA398" s="12">
        <v>15</v>
      </c>
      <c r="AB398" s="180">
        <f t="shared" si="36"/>
        <v>0.037</v>
      </c>
      <c r="AC398" s="64">
        <f t="shared" si="43"/>
        <v>0.06</v>
      </c>
      <c r="AE398" s="64">
        <v>168</v>
      </c>
      <c r="AF398" s="12">
        <v>15</v>
      </c>
      <c r="AG398" s="38">
        <f t="shared" si="37"/>
        <v>2.792</v>
      </c>
      <c r="AH398" s="160">
        <f t="shared" si="38"/>
        <v>4.69</v>
      </c>
      <c r="AI398" s="49">
        <f t="shared" si="39"/>
        <v>0</v>
      </c>
      <c r="AJ398" s="7" t="b">
        <f t="shared" si="40"/>
        <v>1</v>
      </c>
    </row>
    <row r="399" spans="1:36" ht="15">
      <c r="A399" s="18">
        <v>24</v>
      </c>
      <c r="E399" s="18" t="s">
        <v>107</v>
      </c>
      <c r="F399" s="5" t="s">
        <v>108</v>
      </c>
      <c r="H399" s="7">
        <v>60</v>
      </c>
      <c r="I399" s="39">
        <v>1.65</v>
      </c>
      <c r="J399" s="182"/>
      <c r="K399" s="39">
        <f t="shared" si="27"/>
        <v>1.68</v>
      </c>
      <c r="L399" s="75">
        <f t="shared" si="28"/>
        <v>0.030000000000000027</v>
      </c>
      <c r="N399" s="170">
        <f t="shared" si="29"/>
        <v>0.0181818181818182</v>
      </c>
      <c r="P399">
        <f t="shared" si="30"/>
      </c>
      <c r="Q399">
        <f t="shared" si="31"/>
      </c>
      <c r="R399" s="166" t="str">
        <f t="shared" si="41"/>
        <v>1.68</v>
      </c>
      <c r="S399" s="29">
        <f t="shared" si="32"/>
      </c>
      <c r="T399" s="30">
        <f t="shared" si="33"/>
      </c>
      <c r="U399" s="31" t="str">
        <f t="shared" si="34"/>
        <v>8.02</v>
      </c>
      <c r="X399" s="75">
        <f t="shared" si="42"/>
        <v>0.02</v>
      </c>
      <c r="Y399" s="75">
        <f t="shared" si="35"/>
        <v>0.02</v>
      </c>
      <c r="Z399" s="64">
        <v>60</v>
      </c>
      <c r="AA399" s="12">
        <v>15</v>
      </c>
      <c r="AB399" s="180">
        <f t="shared" si="36"/>
        <v>0.037</v>
      </c>
      <c r="AC399" s="64">
        <f t="shared" si="43"/>
        <v>0.02</v>
      </c>
      <c r="AE399" s="64">
        <v>60</v>
      </c>
      <c r="AF399" s="12">
        <v>15</v>
      </c>
      <c r="AG399" s="38">
        <f t="shared" si="37"/>
        <v>2.792</v>
      </c>
      <c r="AH399" s="160">
        <f t="shared" si="38"/>
        <v>1.68</v>
      </c>
      <c r="AI399" s="49">
        <f t="shared" si="39"/>
        <v>-0.010000000000000009</v>
      </c>
      <c r="AJ399" s="7" t="b">
        <f t="shared" si="40"/>
        <v>1</v>
      </c>
    </row>
    <row r="400" spans="1:36" ht="15">
      <c r="A400" s="18">
        <v>25</v>
      </c>
      <c r="E400" s="18" t="s">
        <v>107</v>
      </c>
      <c r="F400" s="5" t="s">
        <v>109</v>
      </c>
      <c r="H400" s="7">
        <v>116</v>
      </c>
      <c r="I400" s="39">
        <v>3.2</v>
      </c>
      <c r="J400" s="182"/>
      <c r="K400" s="39">
        <f t="shared" si="27"/>
        <v>3.24</v>
      </c>
      <c r="L400" s="75">
        <f t="shared" si="28"/>
        <v>0.040000000000000036</v>
      </c>
      <c r="N400" s="170">
        <f t="shared" si="29"/>
        <v>0.012500000000000011</v>
      </c>
      <c r="P400">
        <f t="shared" si="30"/>
      </c>
      <c r="Q400">
        <f t="shared" si="31"/>
      </c>
      <c r="R400" s="166" t="str">
        <f t="shared" si="41"/>
        <v>3.24</v>
      </c>
      <c r="S400" s="29">
        <f t="shared" si="32"/>
      </c>
      <c r="T400" s="30">
        <f t="shared" si="33"/>
      </c>
      <c r="U400" s="31" t="str">
        <f t="shared" si="34"/>
        <v>12.42</v>
      </c>
      <c r="X400" s="75">
        <f t="shared" si="42"/>
        <v>0.04</v>
      </c>
      <c r="Y400" s="75">
        <f t="shared" si="35"/>
        <v>0.04</v>
      </c>
      <c r="Z400" s="64">
        <v>116</v>
      </c>
      <c r="AA400" s="12">
        <v>15</v>
      </c>
      <c r="AB400" s="180">
        <f t="shared" si="36"/>
        <v>0.037</v>
      </c>
      <c r="AC400" s="64">
        <f t="shared" si="43"/>
        <v>0.04</v>
      </c>
      <c r="AE400" s="64">
        <v>116</v>
      </c>
      <c r="AF400" s="12">
        <v>15</v>
      </c>
      <c r="AG400" s="38">
        <f t="shared" si="37"/>
        <v>2.792</v>
      </c>
      <c r="AH400" s="160">
        <f t="shared" si="38"/>
        <v>3.24</v>
      </c>
      <c r="AI400" s="49">
        <f t="shared" si="39"/>
        <v>0</v>
      </c>
      <c r="AJ400" s="7" t="b">
        <f t="shared" si="40"/>
        <v>1</v>
      </c>
    </row>
    <row r="401" spans="1:36" ht="15">
      <c r="A401" s="18">
        <v>26</v>
      </c>
      <c r="E401" s="18" t="s">
        <v>107</v>
      </c>
      <c r="F401" s="5" t="s">
        <v>110</v>
      </c>
      <c r="H401" s="7">
        <v>411</v>
      </c>
      <c r="I401" s="39">
        <v>11.32</v>
      </c>
      <c r="J401" s="182"/>
      <c r="K401" s="39">
        <f t="shared" si="27"/>
        <v>11.48</v>
      </c>
      <c r="L401" s="75">
        <f t="shared" si="28"/>
        <v>0.16000000000000014</v>
      </c>
      <c r="N401" s="170">
        <f t="shared" si="29"/>
        <v>0.01413427561837457</v>
      </c>
      <c r="P401">
        <f t="shared" si="30"/>
      </c>
      <c r="Q401">
        <f t="shared" si="31"/>
      </c>
      <c r="R401" s="166" t="str">
        <f t="shared" si="41"/>
        <v>11.48</v>
      </c>
      <c r="S401" s="29">
        <f t="shared" si="32"/>
      </c>
      <c r="T401" s="30">
        <f t="shared" si="33"/>
      </c>
      <c r="U401" s="31" t="str">
        <f t="shared" si="34"/>
        <v>26.03</v>
      </c>
      <c r="X401" s="75">
        <f t="shared" si="42"/>
        <v>0.15</v>
      </c>
      <c r="Y401" s="75">
        <f t="shared" si="35"/>
        <v>0.15</v>
      </c>
      <c r="Z401" s="64">
        <v>411</v>
      </c>
      <c r="AA401" s="12">
        <v>15</v>
      </c>
      <c r="AB401" s="180">
        <f t="shared" si="36"/>
        <v>0.037</v>
      </c>
      <c r="AC401" s="64">
        <f t="shared" si="43"/>
        <v>0.15</v>
      </c>
      <c r="AE401" s="64">
        <v>411</v>
      </c>
      <c r="AF401" s="12">
        <v>15</v>
      </c>
      <c r="AG401" s="38">
        <f t="shared" si="37"/>
        <v>2.792</v>
      </c>
      <c r="AH401" s="160">
        <f t="shared" si="38"/>
        <v>11.48</v>
      </c>
      <c r="AI401" s="49">
        <f t="shared" si="39"/>
        <v>-0.009999999999999787</v>
      </c>
      <c r="AJ401" s="7" t="b">
        <f t="shared" si="40"/>
        <v>1</v>
      </c>
    </row>
    <row r="402" spans="1:36" ht="15">
      <c r="A402" s="18">
        <v>27</v>
      </c>
      <c r="E402" s="18" t="s">
        <v>107</v>
      </c>
      <c r="F402" s="5" t="s">
        <v>111</v>
      </c>
      <c r="H402" s="7">
        <v>62</v>
      </c>
      <c r="I402" s="39">
        <v>1.71</v>
      </c>
      <c r="J402" s="182"/>
      <c r="K402" s="39">
        <f t="shared" si="27"/>
        <v>1.73</v>
      </c>
      <c r="L402" s="75">
        <f t="shared" si="28"/>
        <v>0.020000000000000018</v>
      </c>
      <c r="N402" s="170">
        <f t="shared" si="29"/>
        <v>0.01169590643274855</v>
      </c>
      <c r="P402">
        <f t="shared" si="30"/>
      </c>
      <c r="Q402">
        <f t="shared" si="31"/>
      </c>
      <c r="R402" s="166" t="str">
        <f t="shared" si="41"/>
        <v>1.73</v>
      </c>
      <c r="S402" s="29">
        <f t="shared" si="32"/>
      </c>
      <c r="T402" s="30">
        <f t="shared" si="33"/>
      </c>
      <c r="U402" s="31" t="str">
        <f t="shared" si="34"/>
        <v>6.44</v>
      </c>
      <c r="X402" s="75">
        <f t="shared" si="42"/>
        <v>0.02</v>
      </c>
      <c r="Y402" s="75">
        <f t="shared" si="35"/>
        <v>0.02</v>
      </c>
      <c r="Z402" s="64">
        <v>62</v>
      </c>
      <c r="AA402" s="12">
        <v>15</v>
      </c>
      <c r="AB402" s="180">
        <f t="shared" si="36"/>
        <v>0.037</v>
      </c>
      <c r="AC402" s="64">
        <f t="shared" si="43"/>
        <v>0.02</v>
      </c>
      <c r="AE402" s="64">
        <v>62</v>
      </c>
      <c r="AF402" s="12">
        <v>15</v>
      </c>
      <c r="AG402" s="38">
        <f t="shared" si="37"/>
        <v>2.792</v>
      </c>
      <c r="AH402" s="160">
        <f t="shared" si="38"/>
        <v>1.73</v>
      </c>
      <c r="AI402" s="49">
        <f t="shared" si="39"/>
        <v>0</v>
      </c>
      <c r="AJ402" s="7" t="b">
        <f t="shared" si="40"/>
        <v>1</v>
      </c>
    </row>
    <row r="403" spans="1:36" ht="15">
      <c r="A403" s="18">
        <v>28</v>
      </c>
      <c r="E403" s="18" t="s">
        <v>107</v>
      </c>
      <c r="F403" s="5" t="s">
        <v>112</v>
      </c>
      <c r="H403" s="7">
        <v>77</v>
      </c>
      <c r="I403" s="39">
        <v>2.12</v>
      </c>
      <c r="J403" s="182"/>
      <c r="K403" s="39">
        <f t="shared" si="27"/>
        <v>2.15</v>
      </c>
      <c r="L403" s="75">
        <f t="shared" si="28"/>
        <v>0.029999999999999805</v>
      </c>
      <c r="N403" s="170">
        <f t="shared" si="29"/>
        <v>0.014150943396226322</v>
      </c>
      <c r="P403">
        <f t="shared" si="30"/>
      </c>
      <c r="Q403">
        <f t="shared" si="31"/>
      </c>
      <c r="R403" s="166" t="str">
        <f t="shared" si="41"/>
        <v>2.15</v>
      </c>
      <c r="S403" s="29">
        <f t="shared" si="32"/>
      </c>
      <c r="T403" s="30">
        <f t="shared" si="33"/>
      </c>
      <c r="U403" s="31" t="str">
        <f t="shared" si="34"/>
        <v>6.91</v>
      </c>
      <c r="X403" s="75">
        <f t="shared" si="42"/>
        <v>0.03</v>
      </c>
      <c r="Y403" s="75">
        <f t="shared" si="35"/>
        <v>0.03</v>
      </c>
      <c r="Z403" s="64">
        <v>77</v>
      </c>
      <c r="AA403" s="12">
        <v>15</v>
      </c>
      <c r="AB403" s="180">
        <f t="shared" si="36"/>
        <v>0.037</v>
      </c>
      <c r="AC403" s="64">
        <f t="shared" si="43"/>
        <v>0.03</v>
      </c>
      <c r="AE403" s="64">
        <v>77</v>
      </c>
      <c r="AF403" s="12">
        <v>15</v>
      </c>
      <c r="AG403" s="38">
        <f t="shared" si="37"/>
        <v>2.792</v>
      </c>
      <c r="AH403" s="160">
        <f t="shared" si="38"/>
        <v>2.15</v>
      </c>
      <c r="AI403" s="49">
        <f t="shared" si="39"/>
        <v>0</v>
      </c>
      <c r="AJ403" s="7" t="b">
        <f t="shared" si="40"/>
        <v>1</v>
      </c>
    </row>
    <row r="404" spans="1:36" ht="15">
      <c r="A404" s="18">
        <v>29</v>
      </c>
      <c r="E404" s="18" t="s">
        <v>107</v>
      </c>
      <c r="F404" s="5" t="s">
        <v>113</v>
      </c>
      <c r="H404" s="7">
        <v>104</v>
      </c>
      <c r="I404" s="39">
        <v>2.87</v>
      </c>
      <c r="J404" s="182"/>
      <c r="K404" s="39">
        <f t="shared" si="27"/>
        <v>2.9</v>
      </c>
      <c r="L404" s="75">
        <f t="shared" si="28"/>
        <v>0.029999999999999805</v>
      </c>
      <c r="N404" s="170">
        <f t="shared" si="29"/>
        <v>0.010452961672473799</v>
      </c>
      <c r="P404">
        <f t="shared" si="30"/>
      </c>
      <c r="Q404">
        <f t="shared" si="31"/>
      </c>
      <c r="R404" s="166" t="str">
        <f t="shared" si="41"/>
        <v>2.90</v>
      </c>
      <c r="S404" s="29">
        <f t="shared" si="32"/>
      </c>
      <c r="T404" s="30">
        <f t="shared" si="33"/>
      </c>
      <c r="U404" s="31" t="str">
        <f t="shared" si="34"/>
        <v>10.48</v>
      </c>
      <c r="X404" s="75">
        <f t="shared" si="42"/>
        <v>0.04</v>
      </c>
      <c r="Y404" s="75">
        <f t="shared" si="35"/>
        <v>0.04</v>
      </c>
      <c r="Z404" s="64">
        <v>104</v>
      </c>
      <c r="AA404" s="12">
        <v>15</v>
      </c>
      <c r="AB404" s="180">
        <f t="shared" si="36"/>
        <v>0.037</v>
      </c>
      <c r="AC404" s="64">
        <f t="shared" si="43"/>
        <v>0.04</v>
      </c>
      <c r="AE404" s="64">
        <v>104</v>
      </c>
      <c r="AF404" s="12">
        <v>15</v>
      </c>
      <c r="AG404" s="38">
        <f t="shared" si="37"/>
        <v>2.792</v>
      </c>
      <c r="AH404" s="160">
        <f t="shared" si="38"/>
        <v>2.9</v>
      </c>
      <c r="AI404" s="49">
        <f t="shared" si="39"/>
        <v>0.010000000000000231</v>
      </c>
      <c r="AJ404" s="7" t="b">
        <f t="shared" si="40"/>
        <v>1</v>
      </c>
    </row>
    <row r="405" spans="1:36" ht="15">
      <c r="A405" s="18">
        <v>30</v>
      </c>
      <c r="E405" s="18" t="s">
        <v>107</v>
      </c>
      <c r="F405" s="5" t="s">
        <v>114</v>
      </c>
      <c r="H405" s="7">
        <v>160</v>
      </c>
      <c r="I405" s="39">
        <v>4.41</v>
      </c>
      <c r="J405" s="182"/>
      <c r="K405" s="39">
        <f t="shared" si="27"/>
        <v>4.47</v>
      </c>
      <c r="L405" s="75">
        <f t="shared" si="28"/>
        <v>0.05999999999999961</v>
      </c>
      <c r="N405" s="170">
        <f t="shared" si="29"/>
        <v>0.01360544217687066</v>
      </c>
      <c r="P405">
        <f t="shared" si="30"/>
      </c>
      <c r="Q405">
        <f t="shared" si="31"/>
      </c>
      <c r="R405" s="166" t="str">
        <f t="shared" si="41"/>
        <v>4.47</v>
      </c>
      <c r="S405" s="29">
        <f t="shared" si="32"/>
      </c>
      <c r="T405" s="30">
        <f t="shared" si="33"/>
      </c>
      <c r="U405" s="31" t="str">
        <f t="shared" si="34"/>
        <v>11.98</v>
      </c>
      <c r="X405" s="75">
        <f t="shared" si="42"/>
        <v>0.06</v>
      </c>
      <c r="Y405" s="75">
        <f t="shared" si="35"/>
        <v>0.06</v>
      </c>
      <c r="Z405" s="64">
        <v>160</v>
      </c>
      <c r="AA405" s="12">
        <v>15</v>
      </c>
      <c r="AB405" s="180">
        <f t="shared" si="36"/>
        <v>0.037</v>
      </c>
      <c r="AC405" s="64">
        <f t="shared" si="43"/>
        <v>0.06</v>
      </c>
      <c r="AE405" s="64">
        <v>160</v>
      </c>
      <c r="AF405" s="12">
        <v>15</v>
      </c>
      <c r="AG405" s="38">
        <f t="shared" si="37"/>
        <v>2.792</v>
      </c>
      <c r="AH405" s="160">
        <f t="shared" si="38"/>
        <v>4.47</v>
      </c>
      <c r="AI405" s="49">
        <f t="shared" si="39"/>
        <v>0</v>
      </c>
      <c r="AJ405" s="7" t="b">
        <f t="shared" si="40"/>
        <v>1</v>
      </c>
    </row>
    <row r="406" spans="1:36" ht="15">
      <c r="A406" s="18">
        <v>31</v>
      </c>
      <c r="E406" s="18" t="s">
        <v>107</v>
      </c>
      <c r="F406" s="5" t="s">
        <v>115</v>
      </c>
      <c r="H406" s="7">
        <v>272</v>
      </c>
      <c r="I406" s="39">
        <v>7.49</v>
      </c>
      <c r="J406" s="182"/>
      <c r="K406" s="39">
        <f t="shared" si="27"/>
        <v>7.59</v>
      </c>
      <c r="L406" s="75">
        <f t="shared" si="28"/>
        <v>0.09999999999999964</v>
      </c>
      <c r="N406" s="170">
        <f t="shared" si="29"/>
        <v>0.013351134846461901</v>
      </c>
      <c r="P406">
        <f t="shared" si="30"/>
      </c>
      <c r="Q406">
        <f t="shared" si="31"/>
      </c>
      <c r="R406" s="166" t="str">
        <f t="shared" si="41"/>
        <v>7.59</v>
      </c>
      <c r="S406" s="29">
        <f t="shared" si="32"/>
      </c>
      <c r="T406" s="30">
        <f t="shared" si="33"/>
      </c>
      <c r="U406" s="31" t="str">
        <f t="shared" si="34"/>
        <v>18.89</v>
      </c>
      <c r="X406" s="75">
        <f t="shared" si="42"/>
        <v>0.1</v>
      </c>
      <c r="Y406" s="75">
        <f t="shared" si="35"/>
        <v>0.1</v>
      </c>
      <c r="Z406" s="64">
        <v>272</v>
      </c>
      <c r="AA406" s="12">
        <v>15</v>
      </c>
      <c r="AB406" s="180">
        <f t="shared" si="36"/>
        <v>0.037</v>
      </c>
      <c r="AC406" s="64">
        <f t="shared" si="43"/>
        <v>0.1</v>
      </c>
      <c r="AE406" s="64">
        <v>272</v>
      </c>
      <c r="AF406" s="12">
        <v>15</v>
      </c>
      <c r="AG406" s="38">
        <f t="shared" si="37"/>
        <v>2.792</v>
      </c>
      <c r="AH406" s="160">
        <f t="shared" si="38"/>
        <v>7.59</v>
      </c>
      <c r="AI406" s="49">
        <f t="shared" si="39"/>
        <v>0</v>
      </c>
      <c r="AJ406" s="7" t="b">
        <f t="shared" si="40"/>
        <v>1</v>
      </c>
    </row>
    <row r="407" spans="1:36" ht="15">
      <c r="A407" s="18">
        <v>32</v>
      </c>
      <c r="E407" s="18" t="s">
        <v>107</v>
      </c>
      <c r="F407" s="5" t="s">
        <v>116</v>
      </c>
      <c r="H407" s="7">
        <v>385</v>
      </c>
      <c r="I407" s="39">
        <v>10.61</v>
      </c>
      <c r="J407" s="182"/>
      <c r="K407" s="39">
        <f t="shared" si="27"/>
        <v>10.75</v>
      </c>
      <c r="L407" s="75">
        <f t="shared" si="28"/>
        <v>0.14000000000000057</v>
      </c>
      <c r="N407" s="170">
        <f t="shared" si="29"/>
        <v>0.013195098963242278</v>
      </c>
      <c r="P407">
        <f t="shared" si="30"/>
      </c>
      <c r="Q407">
        <f t="shared" si="31"/>
      </c>
      <c r="R407" s="166" t="str">
        <f t="shared" si="41"/>
        <v>10.75</v>
      </c>
      <c r="S407" s="29">
        <f t="shared" si="32"/>
      </c>
      <c r="T407" s="30">
        <f t="shared" si="33"/>
      </c>
      <c r="U407" s="31" t="str">
        <f t="shared" si="34"/>
        <v>22.12</v>
      </c>
      <c r="X407" s="75">
        <f t="shared" si="42"/>
        <v>0.14</v>
      </c>
      <c r="Y407" s="75">
        <f t="shared" si="35"/>
        <v>0.14</v>
      </c>
      <c r="Z407" s="64">
        <v>385</v>
      </c>
      <c r="AA407" s="12">
        <v>15</v>
      </c>
      <c r="AB407" s="180">
        <f t="shared" si="36"/>
        <v>0.037</v>
      </c>
      <c r="AC407" s="64">
        <f t="shared" si="43"/>
        <v>0.14</v>
      </c>
      <c r="AE407" s="64">
        <v>385</v>
      </c>
      <c r="AF407" s="12">
        <v>15</v>
      </c>
      <c r="AG407" s="38">
        <f t="shared" si="37"/>
        <v>2.792</v>
      </c>
      <c r="AH407" s="160">
        <f t="shared" si="38"/>
        <v>10.75</v>
      </c>
      <c r="AI407" s="49">
        <f t="shared" si="39"/>
        <v>0</v>
      </c>
      <c r="AJ407" s="7" t="b">
        <f t="shared" si="40"/>
        <v>1</v>
      </c>
    </row>
    <row r="408" spans="1:35" ht="15">
      <c r="A408" s="18">
        <v>33</v>
      </c>
      <c r="H408" s="7"/>
      <c r="I408" s="75"/>
      <c r="J408" s="39"/>
      <c r="K408" s="75"/>
      <c r="L408" s="118"/>
      <c r="N408" s="118"/>
      <c r="X408" s="75">
        <f t="shared" si="42"/>
        <v>0</v>
      </c>
      <c r="Y408" s="75"/>
      <c r="Z408" s="64"/>
      <c r="AI408" s="49"/>
    </row>
    <row r="409" spans="1:35" ht="15">
      <c r="A409" s="18">
        <v>34</v>
      </c>
      <c r="F409" s="5" t="s">
        <v>121</v>
      </c>
      <c r="H409" s="7"/>
      <c r="I409" s="75"/>
      <c r="J409" s="39">
        <f>IF(X409="","",X409)</f>
      </c>
      <c r="K409" s="75"/>
      <c r="L409" s="118"/>
      <c r="N409" s="118"/>
      <c r="X409" s="75"/>
      <c r="Y409" s="75"/>
      <c r="Z409" s="80" t="s">
        <v>243</v>
      </c>
      <c r="AA409" s="80" t="s">
        <v>244</v>
      </c>
      <c r="AB409" s="80" t="s">
        <v>245</v>
      </c>
      <c r="AC409" s="80" t="s">
        <v>246</v>
      </c>
      <c r="AF409" s="80"/>
      <c r="AG409" s="80"/>
      <c r="AI409" s="49"/>
    </row>
    <row r="410" spans="1:35" ht="15">
      <c r="A410" s="18">
        <v>35</v>
      </c>
      <c r="E410" s="18" t="s">
        <v>107</v>
      </c>
      <c r="F410" s="5" t="s">
        <v>122</v>
      </c>
      <c r="H410" s="7">
        <v>36</v>
      </c>
      <c r="I410" s="39">
        <v>7.79</v>
      </c>
      <c r="J410" s="39">
        <f>IF(X410="","",X410)</f>
        <v>0.01</v>
      </c>
      <c r="K410" s="39">
        <f>SUM(I410:J410)</f>
        <v>7.8</v>
      </c>
      <c r="L410" s="75">
        <f>(K410-I410)</f>
        <v>0.009999999999999787</v>
      </c>
      <c r="N410" s="170">
        <f>L410/I410</f>
        <v>0.0012836970474967633</v>
      </c>
      <c r="P410">
        <f>IF($Q$7=1,TEXT(I410,"0.00"),"")</f>
      </c>
      <c r="Q410">
        <f>IF($Q$7=1,TEXT(VALUE(K410),"0.00"),"")</f>
      </c>
      <c r="R410" s="166" t="str">
        <f>IF($Q$7=2,TEXT(VALUE(K410),"0.00"),"")</f>
        <v>7.80</v>
      </c>
      <c r="X410" s="75">
        <f t="shared" si="42"/>
        <v>0.01</v>
      </c>
      <c r="Y410" s="75">
        <f>SUM(X410:X410)</f>
        <v>0.01</v>
      </c>
      <c r="Z410" s="64">
        <v>36</v>
      </c>
      <c r="AA410" s="12">
        <v>15</v>
      </c>
      <c r="AB410" s="180">
        <f>$J$473</f>
        <v>0.037</v>
      </c>
      <c r="AC410" s="64">
        <f>ROUND(AB410/100*Z410,2)</f>
        <v>0.01</v>
      </c>
      <c r="AE410" s="64"/>
      <c r="AF410" s="12"/>
      <c r="AG410" s="38"/>
      <c r="AH410" s="64"/>
      <c r="AI410" s="49"/>
    </row>
    <row r="411" spans="1:35" ht="15">
      <c r="A411" s="18">
        <v>36</v>
      </c>
      <c r="E411" s="18" t="s">
        <v>107</v>
      </c>
      <c r="F411" s="5" t="s">
        <v>123</v>
      </c>
      <c r="H411" s="7">
        <v>71</v>
      </c>
      <c r="I411" s="39">
        <v>8.26</v>
      </c>
      <c r="J411" s="39">
        <f>IF(X411="","",X411)</f>
        <v>0.03</v>
      </c>
      <c r="K411" s="39">
        <f>SUM(I411:J411)</f>
        <v>8.29</v>
      </c>
      <c r="L411" s="75">
        <f>(K411-I411)</f>
        <v>0.02999999999999936</v>
      </c>
      <c r="N411" s="170">
        <f>L411/I411</f>
        <v>0.0036319612590798257</v>
      </c>
      <c r="P411">
        <f>IF($Q$7=1,TEXT(I411,"0.00"),"")</f>
      </c>
      <c r="Q411">
        <f>IF($Q$7=1,TEXT(VALUE(K411),"0.00"),"")</f>
      </c>
      <c r="R411" s="166" t="str">
        <f>IF($Q$7=2,TEXT(VALUE(K411),"0.00"),"")</f>
        <v>8.29</v>
      </c>
      <c r="X411" s="75">
        <f t="shared" si="42"/>
        <v>0.03</v>
      </c>
      <c r="Y411" s="75">
        <f>SUM(X411:X411)</f>
        <v>0.03</v>
      </c>
      <c r="Z411" s="64">
        <v>71</v>
      </c>
      <c r="AA411" s="12">
        <v>15</v>
      </c>
      <c r="AB411" s="180">
        <f>$J$473</f>
        <v>0.037</v>
      </c>
      <c r="AC411" s="64">
        <f>ROUND(AB411/100*Z411,2)</f>
        <v>0.03</v>
      </c>
      <c r="AE411" s="64"/>
      <c r="AF411" s="12"/>
      <c r="AG411" s="38"/>
      <c r="AH411" s="64"/>
      <c r="AI411" s="49"/>
    </row>
    <row r="412" spans="1:35" ht="15">
      <c r="A412" s="18">
        <v>37</v>
      </c>
      <c r="E412" s="18" t="s">
        <v>107</v>
      </c>
      <c r="F412" s="5" t="s">
        <v>124</v>
      </c>
      <c r="H412" s="7">
        <v>116</v>
      </c>
      <c r="I412" s="39">
        <v>9.9</v>
      </c>
      <c r="J412" s="39">
        <f>IF(X412="","",X412)</f>
        <v>0.04</v>
      </c>
      <c r="K412" s="39">
        <f>SUM(I412:J412)</f>
        <v>9.94</v>
      </c>
      <c r="L412" s="75">
        <f>(K412-I412)</f>
        <v>0.03999999999999915</v>
      </c>
      <c r="N412" s="170">
        <f>L412/I412</f>
        <v>0.0040404040404039545</v>
      </c>
      <c r="P412">
        <f>IF($Q$7=1,TEXT(I412,"0.00"),"")</f>
      </c>
      <c r="Q412">
        <f>IF($Q$7=1,TEXT(VALUE(K412),"0.00"),"")</f>
      </c>
      <c r="R412" s="166" t="str">
        <f>IF($Q$7=2,TEXT(VALUE(K412),"0.00"),"")</f>
        <v>9.94</v>
      </c>
      <c r="X412" s="75">
        <f t="shared" si="42"/>
        <v>0.04</v>
      </c>
      <c r="Y412" s="75">
        <f>SUM(X412:X412)</f>
        <v>0.04</v>
      </c>
      <c r="Z412" s="64">
        <v>116</v>
      </c>
      <c r="AA412" s="12">
        <v>15</v>
      </c>
      <c r="AB412" s="180">
        <f>$J$473</f>
        <v>0.037</v>
      </c>
      <c r="AC412" s="64">
        <f>ROUND(AB412/100*Z412,2)</f>
        <v>0.04</v>
      </c>
      <c r="AE412" s="64"/>
      <c r="AF412" s="12"/>
      <c r="AG412" s="38"/>
      <c r="AH412" s="64"/>
      <c r="AI412" s="49"/>
    </row>
    <row r="413" spans="1:35" ht="15">
      <c r="A413" s="18">
        <v>38</v>
      </c>
      <c r="I413" s="39"/>
      <c r="J413" s="39"/>
      <c r="K413" s="75"/>
      <c r="L413" s="75"/>
      <c r="N413" s="75"/>
      <c r="X413" s="75"/>
      <c r="Y413" s="75"/>
      <c r="Z413" s="64"/>
      <c r="AA413" s="12"/>
      <c r="AB413" s="117"/>
      <c r="AC413" s="64"/>
      <c r="AE413" s="64"/>
      <c r="AF413" s="12"/>
      <c r="AG413" s="38"/>
      <c r="AH413" s="64"/>
      <c r="AI413" s="49"/>
    </row>
    <row r="414" spans="1:35" ht="15">
      <c r="A414" s="18">
        <v>39</v>
      </c>
      <c r="I414" s="39"/>
      <c r="J414" s="39"/>
      <c r="K414" s="75"/>
      <c r="L414" s="75"/>
      <c r="N414" s="75"/>
      <c r="X414" s="75"/>
      <c r="Y414" s="75"/>
      <c r="Z414" s="64"/>
      <c r="AA414" s="12"/>
      <c r="AB414" s="117"/>
      <c r="AC414" s="64"/>
      <c r="AE414" s="64"/>
      <c r="AF414" s="12"/>
      <c r="AG414" s="38"/>
      <c r="AH414" s="64"/>
      <c r="AI414" s="49"/>
    </row>
    <row r="415" spans="1:35" ht="15">
      <c r="A415" s="18">
        <v>40</v>
      </c>
      <c r="I415" s="125"/>
      <c r="J415" s="125"/>
      <c r="K415" s="127"/>
      <c r="L415" s="126"/>
      <c r="N415" s="126"/>
      <c r="X415" s="127"/>
      <c r="Y415" s="127"/>
      <c r="AE415" s="64"/>
      <c r="AF415" s="12"/>
      <c r="AG415" s="38"/>
      <c r="AH415" s="64"/>
      <c r="AI415" s="49"/>
    </row>
    <row r="416" spans="1:25" ht="15">
      <c r="A416" s="18">
        <v>41</v>
      </c>
      <c r="I416" s="125"/>
      <c r="J416" s="125"/>
      <c r="K416" s="127"/>
      <c r="L416" s="126"/>
      <c r="N416" s="126"/>
      <c r="X416" s="127"/>
      <c r="Y416" s="127"/>
    </row>
    <row r="417" spans="1:25" ht="15">
      <c r="A417" s="18">
        <v>42</v>
      </c>
      <c r="I417" s="125"/>
      <c r="J417" s="125"/>
      <c r="K417" s="127"/>
      <c r="L417" s="126"/>
      <c r="N417" s="126"/>
      <c r="X417" s="127"/>
      <c r="Y417" s="127"/>
    </row>
    <row r="418" spans="3:25" ht="15">
      <c r="C418" s="43"/>
      <c r="I418" s="125"/>
      <c r="J418" s="125"/>
      <c r="K418" s="127"/>
      <c r="L418" s="126"/>
      <c r="N418" s="126"/>
      <c r="X418" s="127"/>
      <c r="Y418" s="127"/>
    </row>
    <row r="419" spans="1:25" ht="15" thickBot="1">
      <c r="A419" s="16"/>
      <c r="B419" s="3"/>
      <c r="C419" s="3"/>
      <c r="D419" s="41"/>
      <c r="E419" s="41"/>
      <c r="F419" s="41"/>
      <c r="G419" s="41"/>
      <c r="H419" s="41"/>
      <c r="I419" s="128"/>
      <c r="J419" s="128"/>
      <c r="K419" s="129"/>
      <c r="L419" s="130"/>
      <c r="M419" s="41"/>
      <c r="N419" s="130"/>
      <c r="O419" s="41"/>
      <c r="X419" s="129"/>
      <c r="Y419" s="129"/>
    </row>
    <row r="420" spans="1:25" ht="15">
      <c r="A420" s="45" t="s">
        <v>31</v>
      </c>
      <c r="B420" s="14"/>
      <c r="C420" s="14"/>
      <c r="D420" s="45"/>
      <c r="E420" s="45"/>
      <c r="F420" s="45"/>
      <c r="G420" s="45"/>
      <c r="H420" s="45"/>
      <c r="I420" s="131"/>
      <c r="J420" s="131"/>
      <c r="K420" s="132" t="s">
        <v>32</v>
      </c>
      <c r="L420" s="133"/>
      <c r="M420" s="45"/>
      <c r="N420" s="133"/>
      <c r="O420" s="1"/>
      <c r="X420" s="132"/>
      <c r="Y420" s="132"/>
    </row>
    <row r="421" spans="1:25" ht="15" thickBot="1">
      <c r="A421" s="18">
        <v>1</v>
      </c>
      <c r="D421" s="24" t="s">
        <v>99</v>
      </c>
      <c r="E421" s="24"/>
      <c r="F421" s="25" t="s">
        <v>117</v>
      </c>
      <c r="G421" s="25"/>
      <c r="H421" s="25"/>
      <c r="I421" s="134"/>
      <c r="J421" s="134"/>
      <c r="K421" s="135"/>
      <c r="L421" s="136"/>
      <c r="N421" s="136"/>
      <c r="X421" s="135"/>
      <c r="Y421" s="135"/>
    </row>
    <row r="422" spans="1:34" ht="15">
      <c r="A422" s="18">
        <v>2</v>
      </c>
      <c r="F422" s="56" t="s">
        <v>125</v>
      </c>
      <c r="I422" s="125"/>
      <c r="J422" s="125"/>
      <c r="K422" s="127"/>
      <c r="L422" s="126"/>
      <c r="N422" s="126"/>
      <c r="X422" s="127"/>
      <c r="Y422" s="127"/>
      <c r="Z422" s="153" t="s">
        <v>298</v>
      </c>
      <c r="AA422" s="153"/>
      <c r="AB422" s="153"/>
      <c r="AC422" s="153"/>
      <c r="AE422" s="153" t="s">
        <v>272</v>
      </c>
      <c r="AF422" s="153"/>
      <c r="AG422" s="153"/>
      <c r="AH422" s="153"/>
    </row>
    <row r="423" spans="1:35" ht="15">
      <c r="A423" s="18">
        <v>3</v>
      </c>
      <c r="F423" s="5" t="s">
        <v>126</v>
      </c>
      <c r="H423" s="165" t="s">
        <v>280</v>
      </c>
      <c r="I423" s="125"/>
      <c r="J423" s="125"/>
      <c r="K423" s="127"/>
      <c r="L423" s="126"/>
      <c r="N423" s="126"/>
      <c r="O423" s="76"/>
      <c r="X423" s="127"/>
      <c r="Y423" s="127"/>
      <c r="Z423" s="80" t="s">
        <v>243</v>
      </c>
      <c r="AA423" s="80" t="s">
        <v>244</v>
      </c>
      <c r="AB423" s="80" t="s">
        <v>245</v>
      </c>
      <c r="AC423" s="80" t="s">
        <v>246</v>
      </c>
      <c r="AE423" s="80" t="s">
        <v>243</v>
      </c>
      <c r="AF423" s="80" t="s">
        <v>244</v>
      </c>
      <c r="AG423" s="80" t="s">
        <v>245</v>
      </c>
      <c r="AH423" s="80" t="s">
        <v>246</v>
      </c>
      <c r="AI423" s="7" t="s">
        <v>273</v>
      </c>
    </row>
    <row r="424" spans="1:35" ht="15" customHeight="1">
      <c r="A424" s="18">
        <v>4</v>
      </c>
      <c r="F424" s="76" t="s">
        <v>268</v>
      </c>
      <c r="H424" s="163"/>
      <c r="I424" s="39">
        <v>2.66</v>
      </c>
      <c r="J424" s="182" t="s">
        <v>291</v>
      </c>
      <c r="K424" s="39">
        <f aca="true" t="shared" si="44" ref="K424:K439">I424+H424+L447</f>
        <v>2.67</v>
      </c>
      <c r="L424" s="75">
        <f aca="true" t="shared" si="45" ref="L424:L440">(K424-I424)</f>
        <v>0.009999999999999787</v>
      </c>
      <c r="N424" s="170">
        <f aca="true" t="shared" si="46" ref="N424:N440">L424/I424</f>
        <v>0.003759398496240521</v>
      </c>
      <c r="O424" s="161"/>
      <c r="P424">
        <f aca="true" t="shared" si="47" ref="P424:P440">IF($Q$7=1,TEXT(I424,"0.00"),"")</f>
      </c>
      <c r="Q424">
        <f aca="true" t="shared" si="48" ref="Q424:Q440">IF($Q$7=1,TEXT(VALUE(K424),"0.00"),"")</f>
      </c>
      <c r="R424" s="166" t="str">
        <f aca="true" t="shared" si="49" ref="R424:R440">IF($Q$7=2,TEXT(VALUE(K424),"0.00"),"")</f>
        <v>2.67</v>
      </c>
      <c r="X424" s="75">
        <f>+AC424</f>
        <v>0.01</v>
      </c>
      <c r="Y424" s="75">
        <f aca="true" t="shared" si="50" ref="Y424:Y440">SUM(X424:X424)</f>
        <v>0.01</v>
      </c>
      <c r="Z424" s="64">
        <v>29</v>
      </c>
      <c r="AA424" s="12">
        <v>15</v>
      </c>
      <c r="AB424" s="180">
        <f aca="true" t="shared" si="51" ref="AB424:AB440">$J$473</f>
        <v>0.037</v>
      </c>
      <c r="AC424" s="158">
        <f>ROUND(AB424/100*Z424,2)</f>
        <v>0.01</v>
      </c>
      <c r="AD424" s="49"/>
      <c r="AE424" s="64"/>
      <c r="AF424" s="12"/>
      <c r="AG424" s="38"/>
      <c r="AH424" s="64"/>
      <c r="AI424" s="49">
        <f>AI447</f>
        <v>0</v>
      </c>
    </row>
    <row r="425" spans="1:35" ht="15">
      <c r="A425" s="18">
        <v>5</v>
      </c>
      <c r="F425" s="5" t="s">
        <v>103</v>
      </c>
      <c r="H425" s="163"/>
      <c r="I425" s="39">
        <v>3</v>
      </c>
      <c r="J425" s="182"/>
      <c r="K425" s="39">
        <f t="shared" si="44"/>
        <v>3.01</v>
      </c>
      <c r="L425" s="75">
        <f t="shared" si="45"/>
        <v>0.009999999999999787</v>
      </c>
      <c r="N425" s="170">
        <f t="shared" si="46"/>
        <v>0.0033333333333332624</v>
      </c>
      <c r="O425" s="161"/>
      <c r="P425">
        <f t="shared" si="47"/>
      </c>
      <c r="Q425">
        <f t="shared" si="48"/>
      </c>
      <c r="R425" s="166" t="str">
        <f t="shared" si="49"/>
        <v>3.01</v>
      </c>
      <c r="X425" s="75">
        <f aca="true" t="shared" si="52" ref="X425:X440">+AC425</f>
        <v>0.02</v>
      </c>
      <c r="Y425" s="75">
        <f t="shared" si="50"/>
        <v>0.02</v>
      </c>
      <c r="Z425" s="64">
        <v>41</v>
      </c>
      <c r="AA425" s="12">
        <v>15</v>
      </c>
      <c r="AB425" s="180">
        <f t="shared" si="51"/>
        <v>0.037</v>
      </c>
      <c r="AC425" s="158">
        <f aca="true" t="shared" si="53" ref="AC425:AC443">ROUND(AB425/100*Z425,2)</f>
        <v>0.02</v>
      </c>
      <c r="AD425" s="49"/>
      <c r="AE425" s="64"/>
      <c r="AF425" s="12"/>
      <c r="AG425" s="38"/>
      <c r="AH425" s="64"/>
      <c r="AI425" s="49">
        <f aca="true" t="shared" si="54" ref="AI425:AI439">AI448</f>
        <v>0.010000000000000009</v>
      </c>
    </row>
    <row r="426" spans="1:35" ht="15">
      <c r="A426" s="18">
        <v>6</v>
      </c>
      <c r="F426" s="5" t="s">
        <v>104</v>
      </c>
      <c r="H426" s="163"/>
      <c r="I426" s="39">
        <v>3.55</v>
      </c>
      <c r="J426" s="182"/>
      <c r="K426" s="39">
        <f t="shared" si="44"/>
        <v>3.58</v>
      </c>
      <c r="L426" s="75">
        <f t="shared" si="45"/>
        <v>0.03000000000000025</v>
      </c>
      <c r="N426" s="170">
        <f t="shared" si="46"/>
        <v>0.008450704225352183</v>
      </c>
      <c r="O426" s="161"/>
      <c r="P426">
        <f t="shared" si="47"/>
      </c>
      <c r="Q426">
        <f t="shared" si="48"/>
      </c>
      <c r="R426" s="166" t="str">
        <f t="shared" si="49"/>
        <v>3.58</v>
      </c>
      <c r="X426" s="75">
        <f t="shared" si="52"/>
        <v>0.02</v>
      </c>
      <c r="Y426" s="75">
        <f t="shared" si="50"/>
        <v>0.02</v>
      </c>
      <c r="Z426" s="64">
        <v>60</v>
      </c>
      <c r="AA426" s="12">
        <v>15</v>
      </c>
      <c r="AB426" s="180">
        <f t="shared" si="51"/>
        <v>0.037</v>
      </c>
      <c r="AC426" s="158">
        <f t="shared" si="53"/>
        <v>0.02</v>
      </c>
      <c r="AD426" s="49"/>
      <c r="AE426" s="64"/>
      <c r="AF426" s="12"/>
      <c r="AG426" s="38"/>
      <c r="AH426" s="64"/>
      <c r="AI426" s="49">
        <f t="shared" si="54"/>
        <v>-0.010000000000000009</v>
      </c>
    </row>
    <row r="427" spans="1:35" ht="15">
      <c r="A427" s="18">
        <v>7</v>
      </c>
      <c r="F427" s="5" t="s">
        <v>105</v>
      </c>
      <c r="H427" s="163"/>
      <c r="I427" s="39">
        <v>4.8100000000000005</v>
      </c>
      <c r="J427" s="182"/>
      <c r="K427" s="39">
        <f t="shared" si="44"/>
        <v>4.8500000000000005</v>
      </c>
      <c r="L427" s="75">
        <f t="shared" si="45"/>
        <v>0.040000000000000036</v>
      </c>
      <c r="N427" s="170">
        <f t="shared" si="46"/>
        <v>0.008316008316008322</v>
      </c>
      <c r="O427" s="161"/>
      <c r="P427">
        <f t="shared" si="47"/>
      </c>
      <c r="Q427">
        <f t="shared" si="48"/>
      </c>
      <c r="R427" s="166" t="str">
        <f t="shared" si="49"/>
        <v>4.85</v>
      </c>
      <c r="X427" s="75">
        <f t="shared" si="52"/>
        <v>0.03</v>
      </c>
      <c r="Y427" s="75">
        <f t="shared" si="50"/>
        <v>0.03</v>
      </c>
      <c r="Z427" s="64">
        <v>88</v>
      </c>
      <c r="AA427" s="12">
        <v>15</v>
      </c>
      <c r="AB427" s="180">
        <f t="shared" si="51"/>
        <v>0.037</v>
      </c>
      <c r="AC427" s="158">
        <f t="shared" si="53"/>
        <v>0.03</v>
      </c>
      <c r="AD427" s="49"/>
      <c r="AE427" s="64"/>
      <c r="AF427" s="12"/>
      <c r="AG427" s="38"/>
      <c r="AH427" s="64"/>
      <c r="AI427" s="49">
        <f t="shared" si="54"/>
        <v>-0.010000000000000231</v>
      </c>
    </row>
    <row r="428" spans="1:35" ht="15">
      <c r="A428" s="18">
        <v>8</v>
      </c>
      <c r="F428" s="5" t="s">
        <v>106</v>
      </c>
      <c r="H428" s="163"/>
      <c r="I428" s="39">
        <v>7.029999999999999</v>
      </c>
      <c r="J428" s="182"/>
      <c r="K428" s="39">
        <f t="shared" si="44"/>
        <v>7.09</v>
      </c>
      <c r="L428" s="75">
        <f t="shared" si="45"/>
        <v>0.0600000000000005</v>
      </c>
      <c r="N428" s="170">
        <f t="shared" si="46"/>
        <v>0.00853485064011387</v>
      </c>
      <c r="O428" s="161"/>
      <c r="P428">
        <f t="shared" si="47"/>
      </c>
      <c r="Q428">
        <f t="shared" si="48"/>
      </c>
      <c r="R428" s="166" t="str">
        <f t="shared" si="49"/>
        <v>7.09</v>
      </c>
      <c r="X428" s="75">
        <f t="shared" si="52"/>
        <v>0.06</v>
      </c>
      <c r="Y428" s="75">
        <f t="shared" si="50"/>
        <v>0.06</v>
      </c>
      <c r="Z428" s="64">
        <v>168</v>
      </c>
      <c r="AA428" s="12">
        <v>15</v>
      </c>
      <c r="AB428" s="180">
        <f t="shared" si="51"/>
        <v>0.037</v>
      </c>
      <c r="AC428" s="158">
        <f t="shared" si="53"/>
        <v>0.06</v>
      </c>
      <c r="AD428" s="49"/>
      <c r="AE428" s="64"/>
      <c r="AF428" s="12"/>
      <c r="AG428" s="38"/>
      <c r="AH428" s="64"/>
      <c r="AI428" s="49">
        <f t="shared" si="54"/>
        <v>0</v>
      </c>
    </row>
    <row r="429" spans="1:35" ht="15">
      <c r="A429" s="18">
        <v>9</v>
      </c>
      <c r="E429" s="18" t="s">
        <v>107</v>
      </c>
      <c r="F429" s="5" t="s">
        <v>108</v>
      </c>
      <c r="H429" s="163"/>
      <c r="I429" s="39">
        <v>3.7399999999999998</v>
      </c>
      <c r="J429" s="182"/>
      <c r="K429" s="39">
        <f t="shared" si="44"/>
        <v>3.7699999999999996</v>
      </c>
      <c r="L429" s="75">
        <f t="shared" si="45"/>
        <v>0.029999999999999805</v>
      </c>
      <c r="N429" s="170">
        <f t="shared" si="46"/>
        <v>0.0080213903743315</v>
      </c>
      <c r="O429" s="161"/>
      <c r="P429">
        <f t="shared" si="47"/>
      </c>
      <c r="Q429">
        <f t="shared" si="48"/>
      </c>
      <c r="R429" s="166" t="str">
        <f t="shared" si="49"/>
        <v>3.77</v>
      </c>
      <c r="X429" s="75">
        <f t="shared" si="52"/>
        <v>0.02</v>
      </c>
      <c r="Y429" s="75">
        <f t="shared" si="50"/>
        <v>0.02</v>
      </c>
      <c r="Z429" s="64">
        <v>60</v>
      </c>
      <c r="AA429" s="12">
        <v>15</v>
      </c>
      <c r="AB429" s="180">
        <f t="shared" si="51"/>
        <v>0.037</v>
      </c>
      <c r="AC429" s="158">
        <f t="shared" si="53"/>
        <v>0.02</v>
      </c>
      <c r="AD429" s="49"/>
      <c r="AE429" s="64"/>
      <c r="AF429" s="12"/>
      <c r="AG429" s="38"/>
      <c r="AH429" s="64"/>
      <c r="AI429" s="49">
        <f t="shared" si="54"/>
        <v>-0.010000000000000009</v>
      </c>
    </row>
    <row r="430" spans="1:35" ht="15">
      <c r="A430" s="18">
        <v>10</v>
      </c>
      <c r="E430" s="18" t="s">
        <v>107</v>
      </c>
      <c r="F430" s="5" t="s">
        <v>109</v>
      </c>
      <c r="H430" s="163"/>
      <c r="I430" s="39">
        <v>5.800000000000001</v>
      </c>
      <c r="J430" s="182"/>
      <c r="K430" s="39">
        <f t="shared" si="44"/>
        <v>5.840000000000001</v>
      </c>
      <c r="L430" s="75">
        <f t="shared" si="45"/>
        <v>0.040000000000000036</v>
      </c>
      <c r="N430" s="170">
        <f t="shared" si="46"/>
        <v>0.006896551724137936</v>
      </c>
      <c r="O430" s="161"/>
      <c r="P430">
        <f t="shared" si="47"/>
      </c>
      <c r="Q430">
        <f t="shared" si="48"/>
      </c>
      <c r="R430" s="166" t="str">
        <f t="shared" si="49"/>
        <v>5.84</v>
      </c>
      <c r="X430" s="75">
        <f t="shared" si="52"/>
        <v>0.04</v>
      </c>
      <c r="Y430" s="75">
        <f t="shared" si="50"/>
        <v>0.04</v>
      </c>
      <c r="Z430" s="64">
        <v>116</v>
      </c>
      <c r="AA430" s="12">
        <v>15</v>
      </c>
      <c r="AB430" s="180">
        <f t="shared" si="51"/>
        <v>0.037</v>
      </c>
      <c r="AC430" s="158">
        <f t="shared" si="53"/>
        <v>0.04</v>
      </c>
      <c r="AD430" s="49"/>
      <c r="AE430" s="64"/>
      <c r="AF430" s="12"/>
      <c r="AG430" s="38"/>
      <c r="AH430" s="64"/>
      <c r="AI430" s="49">
        <f t="shared" si="54"/>
        <v>0</v>
      </c>
    </row>
    <row r="431" spans="1:36" ht="15">
      <c r="A431" s="18">
        <v>11</v>
      </c>
      <c r="E431" s="18" t="s">
        <v>107</v>
      </c>
      <c r="F431" s="5" t="s">
        <v>110</v>
      </c>
      <c r="H431" s="163"/>
      <c r="I431" s="39">
        <v>16.07</v>
      </c>
      <c r="J431" s="182"/>
      <c r="K431" s="39">
        <f t="shared" si="44"/>
        <v>16.23</v>
      </c>
      <c r="L431" s="75">
        <f t="shared" si="45"/>
        <v>0.16000000000000014</v>
      </c>
      <c r="N431" s="170">
        <f t="shared" si="46"/>
        <v>0.009956440572495341</v>
      </c>
      <c r="O431" s="161"/>
      <c r="P431">
        <f t="shared" si="47"/>
      </c>
      <c r="Q431">
        <f t="shared" si="48"/>
      </c>
      <c r="R431" s="166" t="str">
        <f t="shared" si="49"/>
        <v>16.23</v>
      </c>
      <c r="X431" s="75">
        <f t="shared" si="52"/>
        <v>0.15</v>
      </c>
      <c r="Y431" s="75">
        <f t="shared" si="50"/>
        <v>0.15</v>
      </c>
      <c r="Z431" s="64">
        <v>411</v>
      </c>
      <c r="AA431" s="12">
        <v>15</v>
      </c>
      <c r="AB431" s="180">
        <f t="shared" si="51"/>
        <v>0.037</v>
      </c>
      <c r="AC431" s="158">
        <f t="shared" si="53"/>
        <v>0.15</v>
      </c>
      <c r="AD431" s="49"/>
      <c r="AE431" s="64"/>
      <c r="AF431" s="12"/>
      <c r="AG431" s="38"/>
      <c r="AH431" s="64"/>
      <c r="AI431" s="49">
        <f t="shared" si="54"/>
        <v>-0.009999999999999787</v>
      </c>
      <c r="AJ431" s="68"/>
    </row>
    <row r="432" spans="1:35" ht="15">
      <c r="A432" s="18">
        <v>12</v>
      </c>
      <c r="E432" s="18" t="s">
        <v>107</v>
      </c>
      <c r="F432" s="5" t="s">
        <v>111</v>
      </c>
      <c r="H432" s="163"/>
      <c r="I432" s="39">
        <v>3.38</v>
      </c>
      <c r="J432" s="182"/>
      <c r="K432" s="39">
        <f t="shared" si="44"/>
        <v>3.4</v>
      </c>
      <c r="L432" s="75">
        <f t="shared" si="45"/>
        <v>0.020000000000000018</v>
      </c>
      <c r="N432" s="170">
        <f t="shared" si="46"/>
        <v>0.0059171597633136145</v>
      </c>
      <c r="O432" s="161"/>
      <c r="P432">
        <f t="shared" si="47"/>
      </c>
      <c r="Q432">
        <f t="shared" si="48"/>
      </c>
      <c r="R432" s="166" t="str">
        <f t="shared" si="49"/>
        <v>3.40</v>
      </c>
      <c r="X432" s="75">
        <f t="shared" si="52"/>
        <v>0.02</v>
      </c>
      <c r="Y432" s="75">
        <f t="shared" si="50"/>
        <v>0.02</v>
      </c>
      <c r="Z432" s="64">
        <v>62</v>
      </c>
      <c r="AA432" s="12">
        <v>15</v>
      </c>
      <c r="AB432" s="180">
        <f t="shared" si="51"/>
        <v>0.037</v>
      </c>
      <c r="AC432" s="158">
        <f t="shared" si="53"/>
        <v>0.02</v>
      </c>
      <c r="AD432" s="49"/>
      <c r="AE432" s="64"/>
      <c r="AF432" s="12"/>
      <c r="AG432" s="38"/>
      <c r="AH432" s="64"/>
      <c r="AI432" s="49">
        <f t="shared" si="54"/>
        <v>0</v>
      </c>
    </row>
    <row r="433" spans="1:35" ht="15">
      <c r="A433" s="18">
        <v>13</v>
      </c>
      <c r="E433" s="18" t="s">
        <v>107</v>
      </c>
      <c r="F433" s="5" t="s">
        <v>112</v>
      </c>
      <c r="H433" s="163"/>
      <c r="I433" s="39">
        <v>3.79</v>
      </c>
      <c r="J433" s="39"/>
      <c r="K433" s="39">
        <f t="shared" si="44"/>
        <v>3.82</v>
      </c>
      <c r="L433" s="75">
        <f t="shared" si="45"/>
        <v>0.029999999999999805</v>
      </c>
      <c r="N433" s="170">
        <f t="shared" si="46"/>
        <v>0.007915567282321848</v>
      </c>
      <c r="O433" s="161"/>
      <c r="P433">
        <f t="shared" si="47"/>
      </c>
      <c r="Q433">
        <f t="shared" si="48"/>
      </c>
      <c r="R433" s="166" t="str">
        <f t="shared" si="49"/>
        <v>3.82</v>
      </c>
      <c r="X433" s="75">
        <f t="shared" si="52"/>
        <v>0.03</v>
      </c>
      <c r="Y433" s="75">
        <f t="shared" si="50"/>
        <v>0.03</v>
      </c>
      <c r="Z433" s="64">
        <v>77</v>
      </c>
      <c r="AA433" s="12">
        <v>15</v>
      </c>
      <c r="AB433" s="180">
        <f t="shared" si="51"/>
        <v>0.037</v>
      </c>
      <c r="AC433" s="158">
        <f t="shared" si="53"/>
        <v>0.03</v>
      </c>
      <c r="AD433" s="49"/>
      <c r="AE433" s="64"/>
      <c r="AF433" s="12"/>
      <c r="AG433" s="38"/>
      <c r="AH433" s="64"/>
      <c r="AI433" s="49">
        <f t="shared" si="54"/>
        <v>0</v>
      </c>
    </row>
    <row r="434" spans="1:35" ht="15">
      <c r="A434" s="18">
        <v>14</v>
      </c>
      <c r="E434" s="18" t="s">
        <v>107</v>
      </c>
      <c r="F434" s="5" t="s">
        <v>113</v>
      </c>
      <c r="H434" s="163"/>
      <c r="I434" s="39">
        <v>5.28</v>
      </c>
      <c r="J434" s="39"/>
      <c r="K434" s="39">
        <f t="shared" si="44"/>
        <v>5.3100000000000005</v>
      </c>
      <c r="L434" s="75">
        <f t="shared" si="45"/>
        <v>0.03000000000000025</v>
      </c>
      <c r="N434" s="170">
        <f t="shared" si="46"/>
        <v>0.005681818181818229</v>
      </c>
      <c r="O434" s="161"/>
      <c r="P434">
        <f t="shared" si="47"/>
      </c>
      <c r="Q434">
        <f t="shared" si="48"/>
      </c>
      <c r="R434" s="166" t="str">
        <f t="shared" si="49"/>
        <v>5.31</v>
      </c>
      <c r="X434" s="75">
        <f t="shared" si="52"/>
        <v>0.04</v>
      </c>
      <c r="Y434" s="75">
        <f t="shared" si="50"/>
        <v>0.04</v>
      </c>
      <c r="Z434" s="64">
        <v>104</v>
      </c>
      <c r="AA434" s="12">
        <v>15</v>
      </c>
      <c r="AB434" s="180">
        <f t="shared" si="51"/>
        <v>0.037</v>
      </c>
      <c r="AC434" s="158">
        <f t="shared" si="53"/>
        <v>0.04</v>
      </c>
      <c r="AD434" s="49"/>
      <c r="AE434" s="64"/>
      <c r="AF434" s="12"/>
      <c r="AG434" s="38"/>
      <c r="AH434" s="64"/>
      <c r="AI434" s="49">
        <f t="shared" si="54"/>
        <v>0.010000000000000231</v>
      </c>
    </row>
    <row r="435" spans="1:35" ht="15">
      <c r="A435" s="18">
        <v>15</v>
      </c>
      <c r="E435" s="18" t="s">
        <v>107</v>
      </c>
      <c r="F435" s="5" t="s">
        <v>114</v>
      </c>
      <c r="H435" s="163"/>
      <c r="I435" s="39">
        <v>6.78</v>
      </c>
      <c r="J435" s="39"/>
      <c r="K435" s="39">
        <f t="shared" si="44"/>
        <v>6.84</v>
      </c>
      <c r="L435" s="75">
        <f t="shared" si="45"/>
        <v>0.05999999999999961</v>
      </c>
      <c r="N435" s="170">
        <f t="shared" si="46"/>
        <v>0.008849557522123836</v>
      </c>
      <c r="O435" s="161"/>
      <c r="P435">
        <f t="shared" si="47"/>
      </c>
      <c r="Q435">
        <f t="shared" si="48"/>
      </c>
      <c r="R435" s="166" t="str">
        <f t="shared" si="49"/>
        <v>6.84</v>
      </c>
      <c r="X435" s="75">
        <f t="shared" si="52"/>
        <v>0.06</v>
      </c>
      <c r="Y435" s="75">
        <f t="shared" si="50"/>
        <v>0.06</v>
      </c>
      <c r="Z435" s="64">
        <v>160</v>
      </c>
      <c r="AA435" s="12">
        <v>15</v>
      </c>
      <c r="AB435" s="180">
        <f t="shared" si="51"/>
        <v>0.037</v>
      </c>
      <c r="AC435" s="158">
        <f t="shared" si="53"/>
        <v>0.06</v>
      </c>
      <c r="AD435" s="49"/>
      <c r="AE435" s="64"/>
      <c r="AF435" s="12"/>
      <c r="AG435" s="38"/>
      <c r="AH435" s="64"/>
      <c r="AI435" s="49">
        <f t="shared" si="54"/>
        <v>0</v>
      </c>
    </row>
    <row r="436" spans="1:35" ht="15">
      <c r="A436" s="18">
        <v>16</v>
      </c>
      <c r="E436" s="18" t="s">
        <v>107</v>
      </c>
      <c r="F436" s="5" t="s">
        <v>115</v>
      </c>
      <c r="H436" s="163"/>
      <c r="I436" s="39">
        <v>11.45</v>
      </c>
      <c r="J436" s="39"/>
      <c r="K436" s="39">
        <f t="shared" si="44"/>
        <v>11.549999999999999</v>
      </c>
      <c r="L436" s="75">
        <f t="shared" si="45"/>
        <v>0.09999999999999964</v>
      </c>
      <c r="N436" s="170">
        <f t="shared" si="46"/>
        <v>0.008733624454148442</v>
      </c>
      <c r="O436" s="161"/>
      <c r="P436">
        <f t="shared" si="47"/>
      </c>
      <c r="Q436">
        <f t="shared" si="48"/>
      </c>
      <c r="R436" s="166" t="str">
        <f t="shared" si="49"/>
        <v>11.55</v>
      </c>
      <c r="X436" s="75">
        <f t="shared" si="52"/>
        <v>0.1</v>
      </c>
      <c r="Y436" s="75">
        <f t="shared" si="50"/>
        <v>0.1</v>
      </c>
      <c r="Z436" s="64">
        <v>272</v>
      </c>
      <c r="AA436" s="12">
        <v>15</v>
      </c>
      <c r="AB436" s="180">
        <f t="shared" si="51"/>
        <v>0.037</v>
      </c>
      <c r="AC436" s="158">
        <f t="shared" si="53"/>
        <v>0.1</v>
      </c>
      <c r="AD436" s="49"/>
      <c r="AE436" s="64"/>
      <c r="AF436" s="12"/>
      <c r="AG436" s="38"/>
      <c r="AH436" s="64"/>
      <c r="AI436" s="49">
        <f t="shared" si="54"/>
        <v>0</v>
      </c>
    </row>
    <row r="437" spans="1:35" ht="15">
      <c r="A437" s="18">
        <v>17</v>
      </c>
      <c r="E437" s="18" t="s">
        <v>107</v>
      </c>
      <c r="F437" s="5" t="s">
        <v>116</v>
      </c>
      <c r="H437" s="163"/>
      <c r="I437" s="39">
        <v>14.549999999999999</v>
      </c>
      <c r="J437" s="39"/>
      <c r="K437" s="39">
        <f t="shared" si="44"/>
        <v>14.69</v>
      </c>
      <c r="L437" s="75">
        <f t="shared" si="45"/>
        <v>0.14000000000000057</v>
      </c>
      <c r="N437" s="170">
        <f t="shared" si="46"/>
        <v>0.009621993127147807</v>
      </c>
      <c r="O437" s="161"/>
      <c r="P437">
        <f t="shared" si="47"/>
      </c>
      <c r="Q437">
        <f t="shared" si="48"/>
      </c>
      <c r="R437" s="166" t="str">
        <f t="shared" si="49"/>
        <v>14.69</v>
      </c>
      <c r="X437" s="75">
        <f t="shared" si="52"/>
        <v>0.14</v>
      </c>
      <c r="Y437" s="75">
        <f t="shared" si="50"/>
        <v>0.14</v>
      </c>
      <c r="Z437" s="64">
        <v>385</v>
      </c>
      <c r="AA437" s="12">
        <v>15</v>
      </c>
      <c r="AB437" s="180">
        <f t="shared" si="51"/>
        <v>0.037</v>
      </c>
      <c r="AC437" s="158">
        <f t="shared" si="53"/>
        <v>0.14</v>
      </c>
      <c r="AD437" s="49"/>
      <c r="AE437" s="64"/>
      <c r="AF437" s="12"/>
      <c r="AG437" s="38"/>
      <c r="AH437" s="64"/>
      <c r="AI437" s="49">
        <f t="shared" si="54"/>
        <v>0</v>
      </c>
    </row>
    <row r="438" spans="1:35" ht="15">
      <c r="A438" s="18">
        <v>18</v>
      </c>
      <c r="E438" s="18" t="s">
        <v>107</v>
      </c>
      <c r="F438" s="5" t="s">
        <v>122</v>
      </c>
      <c r="H438" s="163"/>
      <c r="I438" s="39">
        <v>4.7</v>
      </c>
      <c r="J438" s="39"/>
      <c r="K438" s="39">
        <f t="shared" si="44"/>
        <v>4.720000000000001</v>
      </c>
      <c r="L438" s="75">
        <f t="shared" si="45"/>
        <v>0.020000000000000462</v>
      </c>
      <c r="N438" s="170">
        <f t="shared" si="46"/>
        <v>0.004255319148936268</v>
      </c>
      <c r="O438" s="161"/>
      <c r="P438">
        <f t="shared" si="47"/>
      </c>
      <c r="Q438">
        <f t="shared" si="48"/>
      </c>
      <c r="R438" s="166" t="str">
        <f t="shared" si="49"/>
        <v>4.72</v>
      </c>
      <c r="X438" s="75">
        <f t="shared" si="52"/>
        <v>0.01</v>
      </c>
      <c r="Y438" s="75">
        <f t="shared" si="50"/>
        <v>0.01</v>
      </c>
      <c r="Z438" s="64">
        <v>36</v>
      </c>
      <c r="AA438" s="12">
        <v>15</v>
      </c>
      <c r="AB438" s="180">
        <f t="shared" si="51"/>
        <v>0.037</v>
      </c>
      <c r="AC438" s="158">
        <f t="shared" si="53"/>
        <v>0.01</v>
      </c>
      <c r="AD438" s="49"/>
      <c r="AE438" s="64"/>
      <c r="AF438" s="12"/>
      <c r="AG438" s="38"/>
      <c r="AH438" s="64"/>
      <c r="AI438" s="49">
        <f t="shared" si="54"/>
        <v>-0.010000000000000009</v>
      </c>
    </row>
    <row r="439" spans="1:35" ht="15">
      <c r="A439" s="18">
        <v>19</v>
      </c>
      <c r="E439" s="18" t="s">
        <v>107</v>
      </c>
      <c r="F439" s="5" t="s">
        <v>123</v>
      </c>
      <c r="H439" s="163"/>
      <c r="I439" s="39">
        <v>5.7</v>
      </c>
      <c r="J439" s="39"/>
      <c r="K439" s="39">
        <f t="shared" si="44"/>
        <v>5.720000000000001</v>
      </c>
      <c r="L439" s="75">
        <f t="shared" si="45"/>
        <v>0.020000000000000462</v>
      </c>
      <c r="N439" s="170">
        <f t="shared" si="46"/>
        <v>0.003508771929824642</v>
      </c>
      <c r="O439" s="161"/>
      <c r="P439">
        <f t="shared" si="47"/>
      </c>
      <c r="Q439">
        <f t="shared" si="48"/>
      </c>
      <c r="R439" s="166" t="str">
        <f t="shared" si="49"/>
        <v>5.72</v>
      </c>
      <c r="X439" s="75">
        <f t="shared" si="52"/>
        <v>0.03</v>
      </c>
      <c r="Y439" s="75">
        <f t="shared" si="50"/>
        <v>0.03</v>
      </c>
      <c r="Z439" s="64">
        <v>71</v>
      </c>
      <c r="AA439" s="12">
        <v>15</v>
      </c>
      <c r="AB439" s="180">
        <f t="shared" si="51"/>
        <v>0.037</v>
      </c>
      <c r="AC439" s="158">
        <f t="shared" si="53"/>
        <v>0.03</v>
      </c>
      <c r="AD439" s="49"/>
      <c r="AE439" s="64"/>
      <c r="AF439" s="12"/>
      <c r="AG439" s="38"/>
      <c r="AH439" s="64"/>
      <c r="AI439" s="49">
        <f t="shared" si="54"/>
        <v>0.010000000000000009</v>
      </c>
    </row>
    <row r="440" spans="1:35" ht="15">
      <c r="A440" s="18">
        <v>20</v>
      </c>
      <c r="E440" s="18" t="s">
        <v>107</v>
      </c>
      <c r="F440" s="5" t="s">
        <v>124</v>
      </c>
      <c r="H440" s="163"/>
      <c r="I440" s="39">
        <v>7.04</v>
      </c>
      <c r="J440" s="39"/>
      <c r="K440" s="39">
        <f>I440+H440+L467</f>
        <v>7.08</v>
      </c>
      <c r="L440" s="75">
        <f t="shared" si="45"/>
        <v>0.040000000000000036</v>
      </c>
      <c r="N440" s="170">
        <f t="shared" si="46"/>
        <v>0.005681818181818187</v>
      </c>
      <c r="O440" s="161"/>
      <c r="P440">
        <f t="shared" si="47"/>
      </c>
      <c r="Q440">
        <f t="shared" si="48"/>
      </c>
      <c r="R440" s="166" t="str">
        <f t="shared" si="49"/>
        <v>7.08</v>
      </c>
      <c r="X440" s="75">
        <f t="shared" si="52"/>
        <v>0.04</v>
      </c>
      <c r="Y440" s="75">
        <f t="shared" si="50"/>
        <v>0.04</v>
      </c>
      <c r="Z440" s="64">
        <v>116</v>
      </c>
      <c r="AA440" s="12">
        <v>15</v>
      </c>
      <c r="AB440" s="180">
        <f t="shared" si="51"/>
        <v>0.037</v>
      </c>
      <c r="AC440" s="158">
        <f t="shared" si="53"/>
        <v>0.04</v>
      </c>
      <c r="AD440" s="49"/>
      <c r="AE440" s="64"/>
      <c r="AF440" s="12"/>
      <c r="AG440" s="38"/>
      <c r="AH440" s="64"/>
      <c r="AI440" s="49">
        <f>AI467</f>
        <v>0</v>
      </c>
    </row>
    <row r="441" spans="1:35" ht="15">
      <c r="A441" s="18">
        <v>21</v>
      </c>
      <c r="E441" s="18" t="s">
        <v>107</v>
      </c>
      <c r="F441" s="5" t="s">
        <v>283</v>
      </c>
      <c r="H441" s="69"/>
      <c r="I441" s="69" t="s">
        <v>286</v>
      </c>
      <c r="J441" s="39"/>
      <c r="K441" s="69" t="s">
        <v>286</v>
      </c>
      <c r="L441" s="69" t="s">
        <v>286</v>
      </c>
      <c r="N441" s="170"/>
      <c r="O441" s="161"/>
      <c r="X441" s="75"/>
      <c r="Y441" s="75"/>
      <c r="Z441" s="64"/>
      <c r="AA441" s="12"/>
      <c r="AB441" s="117"/>
      <c r="AC441" s="158">
        <f t="shared" si="53"/>
        <v>0</v>
      </c>
      <c r="AD441" s="49"/>
      <c r="AE441" s="64"/>
      <c r="AF441" s="12"/>
      <c r="AG441" s="38"/>
      <c r="AH441" s="64"/>
      <c r="AI441" s="49">
        <f>AI468</f>
        <v>0</v>
      </c>
    </row>
    <row r="442" spans="1:35" ht="15">
      <c r="A442" s="18">
        <v>22</v>
      </c>
      <c r="E442" s="18" t="s">
        <v>107</v>
      </c>
      <c r="F442" s="5" t="s">
        <v>284</v>
      </c>
      <c r="H442" s="69"/>
      <c r="I442" s="69" t="s">
        <v>286</v>
      </c>
      <c r="J442" s="39"/>
      <c r="K442" s="69" t="s">
        <v>286</v>
      </c>
      <c r="L442" s="69" t="s">
        <v>286</v>
      </c>
      <c r="N442" s="170"/>
      <c r="O442" s="39"/>
      <c r="X442" s="75"/>
      <c r="Y442" s="75"/>
      <c r="Z442" s="64"/>
      <c r="AA442" s="12"/>
      <c r="AB442" s="117"/>
      <c r="AC442" s="158">
        <f t="shared" si="53"/>
        <v>0</v>
      </c>
      <c r="AD442" s="49"/>
      <c r="AE442" s="64"/>
      <c r="AF442" s="12"/>
      <c r="AG442" s="38"/>
      <c r="AH442" s="64"/>
      <c r="AI442" s="49">
        <f>AI469</f>
        <v>0</v>
      </c>
    </row>
    <row r="443" spans="1:35" ht="15">
      <c r="A443" s="18">
        <v>23</v>
      </c>
      <c r="E443" s="18" t="s">
        <v>107</v>
      </c>
      <c r="F443" s="5" t="s">
        <v>127</v>
      </c>
      <c r="H443" s="164"/>
      <c r="I443" s="39">
        <v>5.33</v>
      </c>
      <c r="J443" s="39"/>
      <c r="K443" s="39">
        <f>I443+H443+L470</f>
        <v>5.380000000000001</v>
      </c>
      <c r="L443" s="75">
        <f>(K443-I443)</f>
        <v>0.05000000000000071</v>
      </c>
      <c r="N443" s="170">
        <f>L443/I443</f>
        <v>0.009380863039399757</v>
      </c>
      <c r="O443" s="39"/>
      <c r="P443">
        <f>IF($Q$7=1,TEXT(I443,"0.00"),"")</f>
      </c>
      <c r="Q443">
        <f>IF($Q$7=1,TEXT(VALUE(K443),"0.00"),"")</f>
      </c>
      <c r="R443" s="166" t="str">
        <f>IF($Q$7=2,TEXT(VALUE(K443),"0.00"),"")</f>
        <v>5.38</v>
      </c>
      <c r="X443" s="75">
        <f>+AC443</f>
        <v>0.05</v>
      </c>
      <c r="Y443" s="75">
        <f>SUM(X443:X443)</f>
        <v>0.05</v>
      </c>
      <c r="Z443" s="64">
        <v>122</v>
      </c>
      <c r="AA443" s="12">
        <v>15</v>
      </c>
      <c r="AB443" s="180">
        <f>$J$473</f>
        <v>0.037</v>
      </c>
      <c r="AC443" s="158">
        <f t="shared" si="53"/>
        <v>0.05</v>
      </c>
      <c r="AD443" s="49"/>
      <c r="AE443" s="64"/>
      <c r="AF443" s="12"/>
      <c r="AG443" s="38"/>
      <c r="AH443" s="64"/>
      <c r="AI443" s="49">
        <f>AI470</f>
        <v>0</v>
      </c>
    </row>
    <row r="444" spans="1:33" ht="15">
      <c r="A444" s="18">
        <v>24</v>
      </c>
      <c r="E444" s="18" t="s">
        <v>107</v>
      </c>
      <c r="F444" s="5" t="s">
        <v>285</v>
      </c>
      <c r="H444" s="69"/>
      <c r="I444" s="69" t="s">
        <v>286</v>
      </c>
      <c r="J444" s="39"/>
      <c r="K444" s="69" t="s">
        <v>286</v>
      </c>
      <c r="L444" s="69" t="s">
        <v>286</v>
      </c>
      <c r="N444" s="170"/>
      <c r="X444" s="75"/>
      <c r="Y444" s="75"/>
      <c r="Z444" s="64"/>
      <c r="AA444" s="12"/>
      <c r="AB444" s="117"/>
      <c r="AC444" s="64"/>
      <c r="AD444" s="49"/>
      <c r="AE444" s="49"/>
      <c r="AF444" s="79"/>
      <c r="AG444" s="79"/>
    </row>
    <row r="445" spans="1:34" ht="15">
      <c r="A445" s="18">
        <v>25</v>
      </c>
      <c r="I445" s="75"/>
      <c r="J445" s="39"/>
      <c r="K445" s="75"/>
      <c r="L445" s="118"/>
      <c r="N445" s="118"/>
      <c r="X445" s="75"/>
      <c r="Y445" s="75"/>
      <c r="AE445" s="153" t="s">
        <v>272</v>
      </c>
      <c r="AF445" s="153"/>
      <c r="AG445" s="153"/>
      <c r="AH445" s="153"/>
    </row>
    <row r="446" spans="1:35" ht="15">
      <c r="A446" s="18">
        <v>26</v>
      </c>
      <c r="F446" s="5" t="s">
        <v>128</v>
      </c>
      <c r="H446" s="5" t="s">
        <v>243</v>
      </c>
      <c r="I446" s="75"/>
      <c r="J446" s="39"/>
      <c r="K446" s="75"/>
      <c r="L446" s="118"/>
      <c r="N446" s="118"/>
      <c r="X446" s="75"/>
      <c r="Y446" s="75"/>
      <c r="Z446" s="80" t="s">
        <v>243</v>
      </c>
      <c r="AA446" s="80" t="s">
        <v>244</v>
      </c>
      <c r="AB446" s="80" t="s">
        <v>245</v>
      </c>
      <c r="AC446" s="80" t="s">
        <v>246</v>
      </c>
      <c r="AD446" s="80"/>
      <c r="AE446" s="80" t="s">
        <v>243</v>
      </c>
      <c r="AF446" s="80" t="s">
        <v>244</v>
      </c>
      <c r="AG446" s="80" t="s">
        <v>245</v>
      </c>
      <c r="AH446" s="80" t="s">
        <v>246</v>
      </c>
      <c r="AI446" s="7" t="s">
        <v>273</v>
      </c>
    </row>
    <row r="447" spans="1:36" ht="15" customHeight="1">
      <c r="A447" s="18">
        <v>27</v>
      </c>
      <c r="F447" s="76" t="s">
        <v>268</v>
      </c>
      <c r="H447" s="7">
        <v>29</v>
      </c>
      <c r="I447" s="39">
        <v>0.8</v>
      </c>
      <c r="J447" s="182" t="str">
        <f>+"Note:  The monthly Energy Non-Fuel charge is calculated by multiplying the kWh rating for each fixture by the Non-Fuel Energy Rate of "&amp;TEXT(K$473,"0.000")&amp;" ¢/kWh.  This avoids rounding issues caused by separating the increases into the various components"</f>
        <v>Note:  The monthly Energy Non-Fuel charge is calculated by multiplying the kWh rating for each fixture by the Non-Fuel Energy Rate of 2.792 ¢/kWh.  This avoids rounding issues caused by separating the increases into the various components</v>
      </c>
      <c r="K447" s="39">
        <f aca="true" t="shared" si="55" ref="K447:K462">ROUND(H447*K$473/100,2)</f>
        <v>0.81</v>
      </c>
      <c r="L447" s="75">
        <f aca="true" t="shared" si="56" ref="L447:L462">(K447-I447)</f>
        <v>0.010000000000000009</v>
      </c>
      <c r="N447" s="170">
        <f aca="true" t="shared" si="57" ref="N447:N462">L447/I447</f>
        <v>0.012500000000000011</v>
      </c>
      <c r="P447">
        <f aca="true" t="shared" si="58" ref="P447:P462">IF($Q$7=1,TEXT(I447,"0.00"),"")</f>
      </c>
      <c r="Q447">
        <f aca="true" t="shared" si="59" ref="Q447:Q462">IF($Q$7=1,TEXT(VALUE(K447),"0.00"),"")</f>
      </c>
      <c r="R447" s="166" t="str">
        <f aca="true" t="shared" si="60" ref="R447:R462">IF($Q$7=2,TEXT(VALUE(K447),"0.00"),"")</f>
        <v>0.81</v>
      </c>
      <c r="X447" s="75">
        <f>+AC447</f>
        <v>0.01</v>
      </c>
      <c r="Y447" s="75">
        <f aca="true" t="shared" si="61" ref="Y447:Y462">SUM(X447:X447)</f>
        <v>0.01</v>
      </c>
      <c r="Z447" s="64">
        <v>29</v>
      </c>
      <c r="AA447" s="12">
        <v>15</v>
      </c>
      <c r="AB447" s="180">
        <f aca="true" t="shared" si="62" ref="AB447:AB462">$J$473</f>
        <v>0.037</v>
      </c>
      <c r="AC447" s="64">
        <f aca="true" t="shared" si="63" ref="AC447:AC462">ROUND(AB447/100*Z447,2)</f>
        <v>0.01</v>
      </c>
      <c r="AE447" s="64">
        <v>29</v>
      </c>
      <c r="AF447" s="12">
        <v>15</v>
      </c>
      <c r="AG447" s="38">
        <f aca="true" t="shared" si="64" ref="AG447:AG462">+K$473</f>
        <v>2.792</v>
      </c>
      <c r="AH447" s="160">
        <f aca="true" t="shared" si="65" ref="AH447:AH462">ROUND(AG447/100*AE447,2)</f>
        <v>0.81</v>
      </c>
      <c r="AI447" s="49">
        <f aca="true" t="shared" si="66" ref="AI447:AI462">I447+Y447-AH447</f>
        <v>0</v>
      </c>
      <c r="AJ447" s="7" t="b">
        <f aca="true" t="shared" si="67" ref="AJ447:AJ462">K447=AH447</f>
        <v>1</v>
      </c>
    </row>
    <row r="448" spans="1:36" ht="15">
      <c r="A448" s="18">
        <v>28</v>
      </c>
      <c r="F448" s="5" t="s">
        <v>103</v>
      </c>
      <c r="H448" s="7">
        <v>41</v>
      </c>
      <c r="I448" s="39">
        <v>1.13</v>
      </c>
      <c r="J448" s="182"/>
      <c r="K448" s="39">
        <f t="shared" si="55"/>
        <v>1.14</v>
      </c>
      <c r="L448" s="75">
        <f t="shared" si="56"/>
        <v>0.010000000000000009</v>
      </c>
      <c r="N448" s="170">
        <f t="shared" si="57"/>
        <v>0.008849557522123902</v>
      </c>
      <c r="P448">
        <f t="shared" si="58"/>
      </c>
      <c r="Q448">
        <f t="shared" si="59"/>
      </c>
      <c r="R448" s="166" t="str">
        <f t="shared" si="60"/>
        <v>1.14</v>
      </c>
      <c r="X448" s="75">
        <f aca="true" t="shared" si="68" ref="X448:X462">+AC448</f>
        <v>0.02</v>
      </c>
      <c r="Y448" s="75">
        <f t="shared" si="61"/>
        <v>0.02</v>
      </c>
      <c r="Z448" s="64">
        <v>41</v>
      </c>
      <c r="AA448" s="12">
        <v>15</v>
      </c>
      <c r="AB448" s="180">
        <f t="shared" si="62"/>
        <v>0.037</v>
      </c>
      <c r="AC448" s="64">
        <f t="shared" si="63"/>
        <v>0.02</v>
      </c>
      <c r="AE448" s="64">
        <v>41</v>
      </c>
      <c r="AF448" s="12">
        <v>15</v>
      </c>
      <c r="AG448" s="38">
        <f t="shared" si="64"/>
        <v>2.792</v>
      </c>
      <c r="AH448" s="160">
        <f t="shared" si="65"/>
        <v>1.14</v>
      </c>
      <c r="AI448" s="49">
        <f t="shared" si="66"/>
        <v>0.010000000000000009</v>
      </c>
      <c r="AJ448" s="7" t="b">
        <f t="shared" si="67"/>
        <v>1</v>
      </c>
    </row>
    <row r="449" spans="1:36" ht="15">
      <c r="A449" s="18">
        <v>29</v>
      </c>
      <c r="F449" s="5" t="s">
        <v>104</v>
      </c>
      <c r="H449" s="7">
        <v>60</v>
      </c>
      <c r="I449" s="39">
        <v>1.65</v>
      </c>
      <c r="J449" s="182"/>
      <c r="K449" s="39">
        <f t="shared" si="55"/>
        <v>1.68</v>
      </c>
      <c r="L449" s="75">
        <f t="shared" si="56"/>
        <v>0.030000000000000027</v>
      </c>
      <c r="N449" s="170">
        <f t="shared" si="57"/>
        <v>0.0181818181818182</v>
      </c>
      <c r="P449">
        <f t="shared" si="58"/>
      </c>
      <c r="Q449">
        <f t="shared" si="59"/>
      </c>
      <c r="R449" s="166" t="str">
        <f t="shared" si="60"/>
        <v>1.68</v>
      </c>
      <c r="X449" s="75">
        <f t="shared" si="68"/>
        <v>0.02</v>
      </c>
      <c r="Y449" s="75">
        <f t="shared" si="61"/>
        <v>0.02</v>
      </c>
      <c r="Z449" s="64">
        <v>60</v>
      </c>
      <c r="AA449" s="12">
        <v>15</v>
      </c>
      <c r="AB449" s="180">
        <f t="shared" si="62"/>
        <v>0.037</v>
      </c>
      <c r="AC449" s="64">
        <f t="shared" si="63"/>
        <v>0.02</v>
      </c>
      <c r="AE449" s="64">
        <v>60</v>
      </c>
      <c r="AF449" s="12">
        <v>15</v>
      </c>
      <c r="AG449" s="38">
        <f t="shared" si="64"/>
        <v>2.792</v>
      </c>
      <c r="AH449" s="160">
        <f t="shared" si="65"/>
        <v>1.68</v>
      </c>
      <c r="AI449" s="49">
        <f t="shared" si="66"/>
        <v>-0.010000000000000009</v>
      </c>
      <c r="AJ449" s="7" t="b">
        <f t="shared" si="67"/>
        <v>1</v>
      </c>
    </row>
    <row r="450" spans="1:36" ht="15">
      <c r="A450" s="18">
        <v>30</v>
      </c>
      <c r="F450" s="5" t="s">
        <v>105</v>
      </c>
      <c r="H450" s="7">
        <v>88</v>
      </c>
      <c r="I450" s="39">
        <v>2.42</v>
      </c>
      <c r="J450" s="182"/>
      <c r="K450" s="39">
        <f t="shared" si="55"/>
        <v>2.46</v>
      </c>
      <c r="L450" s="75">
        <f t="shared" si="56"/>
        <v>0.040000000000000036</v>
      </c>
      <c r="N450" s="170">
        <f t="shared" si="57"/>
        <v>0.016528925619834725</v>
      </c>
      <c r="P450">
        <f t="shared" si="58"/>
      </c>
      <c r="Q450">
        <f t="shared" si="59"/>
      </c>
      <c r="R450" s="166" t="str">
        <f t="shared" si="60"/>
        <v>2.46</v>
      </c>
      <c r="X450" s="75">
        <f t="shared" si="68"/>
        <v>0.03</v>
      </c>
      <c r="Y450" s="75">
        <f t="shared" si="61"/>
        <v>0.03</v>
      </c>
      <c r="Z450" s="64">
        <v>88</v>
      </c>
      <c r="AA450" s="12">
        <v>15</v>
      </c>
      <c r="AB450" s="180">
        <f t="shared" si="62"/>
        <v>0.037</v>
      </c>
      <c r="AC450" s="64">
        <f t="shared" si="63"/>
        <v>0.03</v>
      </c>
      <c r="AE450" s="64">
        <v>88</v>
      </c>
      <c r="AF450" s="12">
        <v>15</v>
      </c>
      <c r="AG450" s="38">
        <f t="shared" si="64"/>
        <v>2.792</v>
      </c>
      <c r="AH450" s="160">
        <f t="shared" si="65"/>
        <v>2.46</v>
      </c>
      <c r="AI450" s="49">
        <f t="shared" si="66"/>
        <v>-0.010000000000000231</v>
      </c>
      <c r="AJ450" s="7" t="b">
        <f t="shared" si="67"/>
        <v>1</v>
      </c>
    </row>
    <row r="451" spans="1:36" ht="15">
      <c r="A451" s="18">
        <v>31</v>
      </c>
      <c r="F451" s="5" t="s">
        <v>106</v>
      </c>
      <c r="H451" s="7">
        <v>168</v>
      </c>
      <c r="I451" s="39">
        <v>4.63</v>
      </c>
      <c r="J451" s="182"/>
      <c r="K451" s="39">
        <f t="shared" si="55"/>
        <v>4.69</v>
      </c>
      <c r="L451" s="75">
        <f t="shared" si="56"/>
        <v>0.0600000000000005</v>
      </c>
      <c r="N451" s="170">
        <f t="shared" si="57"/>
        <v>0.012958963282937472</v>
      </c>
      <c r="P451">
        <f t="shared" si="58"/>
      </c>
      <c r="Q451">
        <f t="shared" si="59"/>
      </c>
      <c r="R451" s="166" t="str">
        <f t="shared" si="60"/>
        <v>4.69</v>
      </c>
      <c r="X451" s="75">
        <f t="shared" si="68"/>
        <v>0.06</v>
      </c>
      <c r="Y451" s="75">
        <f t="shared" si="61"/>
        <v>0.06</v>
      </c>
      <c r="Z451" s="64">
        <v>168</v>
      </c>
      <c r="AA451" s="12">
        <v>15</v>
      </c>
      <c r="AB451" s="180">
        <f t="shared" si="62"/>
        <v>0.037</v>
      </c>
      <c r="AC451" s="64">
        <f t="shared" si="63"/>
        <v>0.06</v>
      </c>
      <c r="AE451" s="64">
        <v>168</v>
      </c>
      <c r="AF451" s="12">
        <v>15</v>
      </c>
      <c r="AG451" s="38">
        <f t="shared" si="64"/>
        <v>2.792</v>
      </c>
      <c r="AH451" s="160">
        <f t="shared" si="65"/>
        <v>4.69</v>
      </c>
      <c r="AI451" s="49">
        <f t="shared" si="66"/>
        <v>0</v>
      </c>
      <c r="AJ451" s="7" t="b">
        <f t="shared" si="67"/>
        <v>1</v>
      </c>
    </row>
    <row r="452" spans="1:36" ht="15">
      <c r="A452" s="18">
        <v>32</v>
      </c>
      <c r="E452" s="18" t="s">
        <v>107</v>
      </c>
      <c r="F452" s="5" t="s">
        <v>108</v>
      </c>
      <c r="H452" s="7">
        <v>60</v>
      </c>
      <c r="I452" s="39">
        <v>1.65</v>
      </c>
      <c r="J452" s="182"/>
      <c r="K452" s="39">
        <f t="shared" si="55"/>
        <v>1.68</v>
      </c>
      <c r="L452" s="75">
        <f t="shared" si="56"/>
        <v>0.030000000000000027</v>
      </c>
      <c r="N452" s="170">
        <f t="shared" si="57"/>
        <v>0.0181818181818182</v>
      </c>
      <c r="P452">
        <f t="shared" si="58"/>
      </c>
      <c r="Q452">
        <f t="shared" si="59"/>
      </c>
      <c r="R452" s="166" t="str">
        <f t="shared" si="60"/>
        <v>1.68</v>
      </c>
      <c r="X452" s="75">
        <f t="shared" si="68"/>
        <v>0.02</v>
      </c>
      <c r="Y452" s="75">
        <f t="shared" si="61"/>
        <v>0.02</v>
      </c>
      <c r="Z452" s="64">
        <v>60</v>
      </c>
      <c r="AA452" s="12">
        <v>15</v>
      </c>
      <c r="AB452" s="180">
        <f t="shared" si="62"/>
        <v>0.037</v>
      </c>
      <c r="AC452" s="64">
        <f t="shared" si="63"/>
        <v>0.02</v>
      </c>
      <c r="AE452" s="64">
        <v>60</v>
      </c>
      <c r="AF452" s="12">
        <v>15</v>
      </c>
      <c r="AG452" s="38">
        <f t="shared" si="64"/>
        <v>2.792</v>
      </c>
      <c r="AH452" s="160">
        <f t="shared" si="65"/>
        <v>1.68</v>
      </c>
      <c r="AI452" s="49">
        <f t="shared" si="66"/>
        <v>-0.010000000000000009</v>
      </c>
      <c r="AJ452" s="7" t="b">
        <f t="shared" si="67"/>
        <v>1</v>
      </c>
    </row>
    <row r="453" spans="1:36" ht="15">
      <c r="A453" s="18">
        <v>33</v>
      </c>
      <c r="E453" s="18" t="s">
        <v>107</v>
      </c>
      <c r="F453" s="5" t="s">
        <v>109</v>
      </c>
      <c r="H453" s="7">
        <v>116</v>
      </c>
      <c r="I453" s="39">
        <v>3.2</v>
      </c>
      <c r="J453" s="182"/>
      <c r="K453" s="39">
        <f t="shared" si="55"/>
        <v>3.24</v>
      </c>
      <c r="L453" s="75">
        <f t="shared" si="56"/>
        <v>0.040000000000000036</v>
      </c>
      <c r="N453" s="170">
        <f t="shared" si="57"/>
        <v>0.012500000000000011</v>
      </c>
      <c r="P453">
        <f t="shared" si="58"/>
      </c>
      <c r="Q453">
        <f t="shared" si="59"/>
      </c>
      <c r="R453" s="166" t="str">
        <f t="shared" si="60"/>
        <v>3.24</v>
      </c>
      <c r="X453" s="75">
        <f t="shared" si="68"/>
        <v>0.04</v>
      </c>
      <c r="Y453" s="75">
        <f t="shared" si="61"/>
        <v>0.04</v>
      </c>
      <c r="Z453" s="64">
        <v>116</v>
      </c>
      <c r="AA453" s="12">
        <v>15</v>
      </c>
      <c r="AB453" s="180">
        <f t="shared" si="62"/>
        <v>0.037</v>
      </c>
      <c r="AC453" s="64">
        <f t="shared" si="63"/>
        <v>0.04</v>
      </c>
      <c r="AE453" s="64">
        <v>116</v>
      </c>
      <c r="AF453" s="12">
        <v>15</v>
      </c>
      <c r="AG453" s="38">
        <f t="shared" si="64"/>
        <v>2.792</v>
      </c>
      <c r="AH453" s="160">
        <f t="shared" si="65"/>
        <v>3.24</v>
      </c>
      <c r="AI453" s="49">
        <f t="shared" si="66"/>
        <v>0</v>
      </c>
      <c r="AJ453" s="7" t="b">
        <f t="shared" si="67"/>
        <v>1</v>
      </c>
    </row>
    <row r="454" spans="1:36" ht="15">
      <c r="A454" s="18">
        <v>34</v>
      </c>
      <c r="E454" s="18" t="s">
        <v>107</v>
      </c>
      <c r="F454" s="5" t="s">
        <v>110</v>
      </c>
      <c r="H454" s="7">
        <v>411</v>
      </c>
      <c r="I454" s="39">
        <v>11.32</v>
      </c>
      <c r="J454" s="182"/>
      <c r="K454" s="39">
        <f t="shared" si="55"/>
        <v>11.48</v>
      </c>
      <c r="L454" s="75">
        <f t="shared" si="56"/>
        <v>0.16000000000000014</v>
      </c>
      <c r="N454" s="170">
        <f t="shared" si="57"/>
        <v>0.01413427561837457</v>
      </c>
      <c r="P454">
        <f t="shared" si="58"/>
      </c>
      <c r="Q454">
        <f t="shared" si="59"/>
      </c>
      <c r="R454" s="166" t="str">
        <f t="shared" si="60"/>
        <v>11.48</v>
      </c>
      <c r="X454" s="75">
        <f t="shared" si="68"/>
        <v>0.15</v>
      </c>
      <c r="Y454" s="75">
        <f t="shared" si="61"/>
        <v>0.15</v>
      </c>
      <c r="Z454" s="64">
        <v>411</v>
      </c>
      <c r="AA454" s="12">
        <v>15</v>
      </c>
      <c r="AB454" s="180">
        <f t="shared" si="62"/>
        <v>0.037</v>
      </c>
      <c r="AC454" s="64">
        <f t="shared" si="63"/>
        <v>0.15</v>
      </c>
      <c r="AE454" s="64">
        <v>411</v>
      </c>
      <c r="AF454" s="12">
        <v>15</v>
      </c>
      <c r="AG454" s="38">
        <f t="shared" si="64"/>
        <v>2.792</v>
      </c>
      <c r="AH454" s="160">
        <f t="shared" si="65"/>
        <v>11.48</v>
      </c>
      <c r="AI454" s="49">
        <f t="shared" si="66"/>
        <v>-0.009999999999999787</v>
      </c>
      <c r="AJ454" s="7" t="b">
        <f t="shared" si="67"/>
        <v>1</v>
      </c>
    </row>
    <row r="455" spans="1:36" ht="15">
      <c r="A455" s="18">
        <v>35</v>
      </c>
      <c r="E455" s="18" t="s">
        <v>107</v>
      </c>
      <c r="F455" s="5" t="s">
        <v>111</v>
      </c>
      <c r="H455" s="7">
        <v>62</v>
      </c>
      <c r="I455" s="39">
        <v>1.71</v>
      </c>
      <c r="J455" s="182"/>
      <c r="K455" s="39">
        <f t="shared" si="55"/>
        <v>1.73</v>
      </c>
      <c r="L455" s="75">
        <f t="shared" si="56"/>
        <v>0.020000000000000018</v>
      </c>
      <c r="N455" s="170">
        <f t="shared" si="57"/>
        <v>0.01169590643274855</v>
      </c>
      <c r="P455">
        <f t="shared" si="58"/>
      </c>
      <c r="Q455">
        <f t="shared" si="59"/>
      </c>
      <c r="R455" s="166" t="str">
        <f t="shared" si="60"/>
        <v>1.73</v>
      </c>
      <c r="X455" s="75">
        <f t="shared" si="68"/>
        <v>0.02</v>
      </c>
      <c r="Y455" s="75">
        <f t="shared" si="61"/>
        <v>0.02</v>
      </c>
      <c r="Z455" s="64">
        <v>62</v>
      </c>
      <c r="AA455" s="12">
        <v>15</v>
      </c>
      <c r="AB455" s="180">
        <f t="shared" si="62"/>
        <v>0.037</v>
      </c>
      <c r="AC455" s="64">
        <f t="shared" si="63"/>
        <v>0.02</v>
      </c>
      <c r="AE455" s="64">
        <v>62</v>
      </c>
      <c r="AF455" s="12">
        <v>15</v>
      </c>
      <c r="AG455" s="38">
        <f t="shared" si="64"/>
        <v>2.792</v>
      </c>
      <c r="AH455" s="160">
        <f t="shared" si="65"/>
        <v>1.73</v>
      </c>
      <c r="AI455" s="49">
        <f t="shared" si="66"/>
        <v>0</v>
      </c>
      <c r="AJ455" s="7" t="b">
        <f t="shared" si="67"/>
        <v>1</v>
      </c>
    </row>
    <row r="456" spans="1:36" ht="15">
      <c r="A456" s="18">
        <v>36</v>
      </c>
      <c r="E456" s="18" t="s">
        <v>107</v>
      </c>
      <c r="F456" s="5" t="s">
        <v>112</v>
      </c>
      <c r="H456" s="7">
        <v>77</v>
      </c>
      <c r="I456" s="39">
        <v>2.12</v>
      </c>
      <c r="J456" s="182"/>
      <c r="K456" s="39">
        <f t="shared" si="55"/>
        <v>2.15</v>
      </c>
      <c r="L456" s="75">
        <f t="shared" si="56"/>
        <v>0.029999999999999805</v>
      </c>
      <c r="N456" s="170">
        <f t="shared" si="57"/>
        <v>0.014150943396226322</v>
      </c>
      <c r="P456">
        <f t="shared" si="58"/>
      </c>
      <c r="Q456">
        <f t="shared" si="59"/>
      </c>
      <c r="R456" s="166" t="str">
        <f t="shared" si="60"/>
        <v>2.15</v>
      </c>
      <c r="X456" s="75">
        <f t="shared" si="68"/>
        <v>0.03</v>
      </c>
      <c r="Y456" s="75">
        <f t="shared" si="61"/>
        <v>0.03</v>
      </c>
      <c r="Z456" s="64">
        <v>77</v>
      </c>
      <c r="AA456" s="12">
        <v>15</v>
      </c>
      <c r="AB456" s="180">
        <f t="shared" si="62"/>
        <v>0.037</v>
      </c>
      <c r="AC456" s="64">
        <f t="shared" si="63"/>
        <v>0.03</v>
      </c>
      <c r="AE456" s="64">
        <v>77</v>
      </c>
      <c r="AF456" s="12">
        <v>15</v>
      </c>
      <c r="AG456" s="38">
        <f t="shared" si="64"/>
        <v>2.792</v>
      </c>
      <c r="AH456" s="160">
        <f t="shared" si="65"/>
        <v>2.15</v>
      </c>
      <c r="AI456" s="49">
        <f t="shared" si="66"/>
        <v>0</v>
      </c>
      <c r="AJ456" s="7" t="b">
        <f t="shared" si="67"/>
        <v>1</v>
      </c>
    </row>
    <row r="457" spans="1:36" ht="15">
      <c r="A457" s="18">
        <v>37</v>
      </c>
      <c r="E457" s="18" t="s">
        <v>107</v>
      </c>
      <c r="F457" s="5" t="s">
        <v>113</v>
      </c>
      <c r="H457" s="7">
        <v>104</v>
      </c>
      <c r="I457" s="39">
        <v>2.87</v>
      </c>
      <c r="J457" s="182"/>
      <c r="K457" s="39">
        <f t="shared" si="55"/>
        <v>2.9</v>
      </c>
      <c r="L457" s="75">
        <f t="shared" si="56"/>
        <v>0.029999999999999805</v>
      </c>
      <c r="N457" s="170">
        <f t="shared" si="57"/>
        <v>0.010452961672473799</v>
      </c>
      <c r="P457">
        <f t="shared" si="58"/>
      </c>
      <c r="Q457">
        <f t="shared" si="59"/>
      </c>
      <c r="R457" s="166" t="str">
        <f t="shared" si="60"/>
        <v>2.90</v>
      </c>
      <c r="X457" s="75">
        <f t="shared" si="68"/>
        <v>0.04</v>
      </c>
      <c r="Y457" s="75">
        <f t="shared" si="61"/>
        <v>0.04</v>
      </c>
      <c r="Z457" s="64">
        <v>104</v>
      </c>
      <c r="AA457" s="12">
        <v>15</v>
      </c>
      <c r="AB457" s="180">
        <f t="shared" si="62"/>
        <v>0.037</v>
      </c>
      <c r="AC457" s="64">
        <f t="shared" si="63"/>
        <v>0.04</v>
      </c>
      <c r="AE457" s="64">
        <v>104</v>
      </c>
      <c r="AF457" s="12">
        <v>15</v>
      </c>
      <c r="AG457" s="38">
        <f t="shared" si="64"/>
        <v>2.792</v>
      </c>
      <c r="AH457" s="160">
        <f t="shared" si="65"/>
        <v>2.9</v>
      </c>
      <c r="AI457" s="49">
        <f t="shared" si="66"/>
        <v>0.010000000000000231</v>
      </c>
      <c r="AJ457" s="7" t="b">
        <f t="shared" si="67"/>
        <v>1</v>
      </c>
    </row>
    <row r="458" spans="1:36" ht="15">
      <c r="A458" s="18">
        <v>38</v>
      </c>
      <c r="E458" s="18" t="s">
        <v>107</v>
      </c>
      <c r="F458" s="5" t="s">
        <v>114</v>
      </c>
      <c r="H458" s="7">
        <v>160</v>
      </c>
      <c r="I458" s="39">
        <v>4.41</v>
      </c>
      <c r="J458" s="182"/>
      <c r="K458" s="39">
        <f t="shared" si="55"/>
        <v>4.47</v>
      </c>
      <c r="L458" s="75">
        <f t="shared" si="56"/>
        <v>0.05999999999999961</v>
      </c>
      <c r="N458" s="170">
        <f t="shared" si="57"/>
        <v>0.01360544217687066</v>
      </c>
      <c r="P458">
        <f t="shared" si="58"/>
      </c>
      <c r="Q458">
        <f t="shared" si="59"/>
      </c>
      <c r="R458" s="166" t="str">
        <f t="shared" si="60"/>
        <v>4.47</v>
      </c>
      <c r="X458" s="75">
        <f t="shared" si="68"/>
        <v>0.06</v>
      </c>
      <c r="Y458" s="75">
        <f t="shared" si="61"/>
        <v>0.06</v>
      </c>
      <c r="Z458" s="64">
        <v>160</v>
      </c>
      <c r="AA458" s="12">
        <v>15</v>
      </c>
      <c r="AB458" s="180">
        <f t="shared" si="62"/>
        <v>0.037</v>
      </c>
      <c r="AC458" s="64">
        <f t="shared" si="63"/>
        <v>0.06</v>
      </c>
      <c r="AE458" s="64">
        <v>160</v>
      </c>
      <c r="AF458" s="12">
        <v>15</v>
      </c>
      <c r="AG458" s="38">
        <f t="shared" si="64"/>
        <v>2.792</v>
      </c>
      <c r="AH458" s="160">
        <f t="shared" si="65"/>
        <v>4.47</v>
      </c>
      <c r="AI458" s="49">
        <f t="shared" si="66"/>
        <v>0</v>
      </c>
      <c r="AJ458" s="7" t="b">
        <f t="shared" si="67"/>
        <v>1</v>
      </c>
    </row>
    <row r="459" spans="1:36" ht="15">
      <c r="A459" s="18">
        <v>39</v>
      </c>
      <c r="E459" s="18" t="s">
        <v>107</v>
      </c>
      <c r="F459" s="5" t="s">
        <v>115</v>
      </c>
      <c r="H459" s="7">
        <v>272</v>
      </c>
      <c r="I459" s="39">
        <v>7.49</v>
      </c>
      <c r="J459" s="182"/>
      <c r="K459" s="39">
        <f t="shared" si="55"/>
        <v>7.59</v>
      </c>
      <c r="L459" s="75">
        <f t="shared" si="56"/>
        <v>0.09999999999999964</v>
      </c>
      <c r="N459" s="170">
        <f t="shared" si="57"/>
        <v>0.013351134846461901</v>
      </c>
      <c r="P459">
        <f t="shared" si="58"/>
      </c>
      <c r="Q459">
        <f t="shared" si="59"/>
      </c>
      <c r="R459" s="166" t="str">
        <f t="shared" si="60"/>
        <v>7.59</v>
      </c>
      <c r="X459" s="75">
        <f t="shared" si="68"/>
        <v>0.1</v>
      </c>
      <c r="Y459" s="75">
        <f t="shared" si="61"/>
        <v>0.1</v>
      </c>
      <c r="Z459" s="64">
        <v>272</v>
      </c>
      <c r="AA459" s="12">
        <v>15</v>
      </c>
      <c r="AB459" s="180">
        <f t="shared" si="62"/>
        <v>0.037</v>
      </c>
      <c r="AC459" s="64">
        <f t="shared" si="63"/>
        <v>0.1</v>
      </c>
      <c r="AE459" s="64">
        <v>272</v>
      </c>
      <c r="AF459" s="12">
        <v>15</v>
      </c>
      <c r="AG459" s="38">
        <f t="shared" si="64"/>
        <v>2.792</v>
      </c>
      <c r="AH459" s="160">
        <f t="shared" si="65"/>
        <v>7.59</v>
      </c>
      <c r="AI459" s="49">
        <f t="shared" si="66"/>
        <v>0</v>
      </c>
      <c r="AJ459" s="7" t="b">
        <f t="shared" si="67"/>
        <v>1</v>
      </c>
    </row>
    <row r="460" spans="1:36" ht="15">
      <c r="A460" s="18">
        <v>40</v>
      </c>
      <c r="E460" s="18" t="s">
        <v>107</v>
      </c>
      <c r="F460" s="5" t="s">
        <v>116</v>
      </c>
      <c r="H460" s="7">
        <v>385</v>
      </c>
      <c r="I460" s="39">
        <v>10.61</v>
      </c>
      <c r="J460" s="182"/>
      <c r="K460" s="39">
        <f t="shared" si="55"/>
        <v>10.75</v>
      </c>
      <c r="L460" s="75">
        <f t="shared" si="56"/>
        <v>0.14000000000000057</v>
      </c>
      <c r="N460" s="170">
        <f t="shared" si="57"/>
        <v>0.013195098963242278</v>
      </c>
      <c r="P460">
        <f t="shared" si="58"/>
      </c>
      <c r="Q460">
        <f t="shared" si="59"/>
      </c>
      <c r="R460" s="166" t="str">
        <f t="shared" si="60"/>
        <v>10.75</v>
      </c>
      <c r="X460" s="75">
        <f t="shared" si="68"/>
        <v>0.14</v>
      </c>
      <c r="Y460" s="75">
        <f t="shared" si="61"/>
        <v>0.14</v>
      </c>
      <c r="Z460" s="64">
        <v>385</v>
      </c>
      <c r="AA460" s="12">
        <v>15</v>
      </c>
      <c r="AB460" s="180">
        <f t="shared" si="62"/>
        <v>0.037</v>
      </c>
      <c r="AC460" s="64">
        <f t="shared" si="63"/>
        <v>0.14</v>
      </c>
      <c r="AE460" s="64">
        <v>385</v>
      </c>
      <c r="AF460" s="12">
        <v>15</v>
      </c>
      <c r="AG460" s="38">
        <f t="shared" si="64"/>
        <v>2.792</v>
      </c>
      <c r="AH460" s="160">
        <f t="shared" si="65"/>
        <v>10.75</v>
      </c>
      <c r="AI460" s="49">
        <f t="shared" si="66"/>
        <v>0</v>
      </c>
      <c r="AJ460" s="7" t="b">
        <f t="shared" si="67"/>
        <v>1</v>
      </c>
    </row>
    <row r="461" spans="1:36" ht="15">
      <c r="A461" s="18">
        <v>41</v>
      </c>
      <c r="E461" s="18" t="s">
        <v>107</v>
      </c>
      <c r="F461" s="5" t="s">
        <v>122</v>
      </c>
      <c r="H461" s="7">
        <v>36</v>
      </c>
      <c r="I461" s="39">
        <v>0.99</v>
      </c>
      <c r="J461" s="39"/>
      <c r="K461" s="39">
        <f t="shared" si="55"/>
        <v>1.01</v>
      </c>
      <c r="L461" s="75">
        <f t="shared" si="56"/>
        <v>0.020000000000000018</v>
      </c>
      <c r="N461" s="170">
        <f t="shared" si="57"/>
        <v>0.02020202020202022</v>
      </c>
      <c r="P461">
        <f t="shared" si="58"/>
      </c>
      <c r="Q461">
        <f t="shared" si="59"/>
      </c>
      <c r="R461" s="166" t="str">
        <f t="shared" si="60"/>
        <v>1.01</v>
      </c>
      <c r="X461" s="75">
        <f t="shared" si="68"/>
        <v>0.01</v>
      </c>
      <c r="Y461" s="75">
        <f t="shared" si="61"/>
        <v>0.01</v>
      </c>
      <c r="Z461" s="64">
        <v>36</v>
      </c>
      <c r="AA461" s="12">
        <v>15</v>
      </c>
      <c r="AB461" s="180">
        <f t="shared" si="62"/>
        <v>0.037</v>
      </c>
      <c r="AC461" s="64">
        <f t="shared" si="63"/>
        <v>0.01</v>
      </c>
      <c r="AE461" s="64">
        <v>36</v>
      </c>
      <c r="AF461" s="12">
        <v>15</v>
      </c>
      <c r="AG461" s="38">
        <f t="shared" si="64"/>
        <v>2.792</v>
      </c>
      <c r="AH461" s="160">
        <f t="shared" si="65"/>
        <v>1.01</v>
      </c>
      <c r="AI461" s="49">
        <f t="shared" si="66"/>
        <v>-0.010000000000000009</v>
      </c>
      <c r="AJ461" s="7" t="b">
        <f t="shared" si="67"/>
        <v>1</v>
      </c>
    </row>
    <row r="462" spans="1:36" ht="15">
      <c r="A462" s="18">
        <v>42</v>
      </c>
      <c r="E462" s="18" t="s">
        <v>107</v>
      </c>
      <c r="F462" s="5" t="s">
        <v>123</v>
      </c>
      <c r="H462" s="7">
        <v>71</v>
      </c>
      <c r="I462" s="39">
        <v>1.96</v>
      </c>
      <c r="J462" s="39"/>
      <c r="K462" s="39">
        <f t="shared" si="55"/>
        <v>1.98</v>
      </c>
      <c r="L462" s="75">
        <f t="shared" si="56"/>
        <v>0.020000000000000018</v>
      </c>
      <c r="N462" s="170">
        <f t="shared" si="57"/>
        <v>0.01020408163265307</v>
      </c>
      <c r="P462">
        <f t="shared" si="58"/>
      </c>
      <c r="Q462">
        <f t="shared" si="59"/>
      </c>
      <c r="R462" s="166" t="str">
        <f t="shared" si="60"/>
        <v>1.98</v>
      </c>
      <c r="X462" s="75">
        <f t="shared" si="68"/>
        <v>0.03</v>
      </c>
      <c r="Y462" s="75">
        <f t="shared" si="61"/>
        <v>0.03</v>
      </c>
      <c r="Z462" s="64">
        <v>71</v>
      </c>
      <c r="AA462" s="12">
        <v>15</v>
      </c>
      <c r="AB462" s="180">
        <f t="shared" si="62"/>
        <v>0.037</v>
      </c>
      <c r="AC462" s="64">
        <f t="shared" si="63"/>
        <v>0.03</v>
      </c>
      <c r="AE462" s="64">
        <v>71</v>
      </c>
      <c r="AF462" s="12">
        <v>15</v>
      </c>
      <c r="AG462" s="38">
        <f t="shared" si="64"/>
        <v>2.792</v>
      </c>
      <c r="AH462" s="160">
        <f t="shared" si="65"/>
        <v>1.98</v>
      </c>
      <c r="AI462" s="49">
        <f t="shared" si="66"/>
        <v>0.010000000000000009</v>
      </c>
      <c r="AJ462" s="7" t="b">
        <f t="shared" si="67"/>
        <v>1</v>
      </c>
    </row>
    <row r="463" spans="3:35" ht="15">
      <c r="C463" s="43"/>
      <c r="I463" s="39"/>
      <c r="J463" s="39"/>
      <c r="K463" s="75"/>
      <c r="L463" s="118"/>
      <c r="N463" s="118"/>
      <c r="X463" s="75"/>
      <c r="Y463" s="75"/>
      <c r="AE463" s="64"/>
      <c r="AF463" s="12"/>
      <c r="AG463" s="38"/>
      <c r="AH463" s="64"/>
      <c r="AI463" s="49"/>
    </row>
    <row r="464" spans="1:34" ht="15" thickBot="1">
      <c r="A464" s="16"/>
      <c r="B464" s="3"/>
      <c r="C464" s="3"/>
      <c r="D464" s="41"/>
      <c r="E464" s="41"/>
      <c r="F464" s="41"/>
      <c r="G464" s="41"/>
      <c r="H464" s="41"/>
      <c r="I464" s="119"/>
      <c r="J464" s="119"/>
      <c r="K464" s="137"/>
      <c r="L464" s="120"/>
      <c r="M464" s="41"/>
      <c r="N464" s="120"/>
      <c r="O464" s="41"/>
      <c r="X464" s="137"/>
      <c r="Y464" s="137"/>
      <c r="AE464" s="64"/>
      <c r="AF464" s="12"/>
      <c r="AG464" s="38"/>
      <c r="AH464" s="64"/>
    </row>
    <row r="465" spans="1:34" ht="15">
      <c r="A465" s="45" t="s">
        <v>31</v>
      </c>
      <c r="B465" s="14"/>
      <c r="C465" s="14"/>
      <c r="D465" s="45"/>
      <c r="E465" s="45"/>
      <c r="F465" s="45"/>
      <c r="G465" s="45"/>
      <c r="H465" s="45"/>
      <c r="I465" s="121"/>
      <c r="J465" s="121"/>
      <c r="K465" s="138" t="s">
        <v>32</v>
      </c>
      <c r="L465" s="122"/>
      <c r="M465" s="45"/>
      <c r="N465" s="122"/>
      <c r="O465" s="1"/>
      <c r="X465" s="138"/>
      <c r="Y465" s="138"/>
      <c r="AE465" s="64"/>
      <c r="AF465" s="12"/>
      <c r="AG465" s="38"/>
      <c r="AH465" s="64"/>
    </row>
    <row r="466" spans="1:34" ht="15" thickBot="1">
      <c r="A466" s="18">
        <v>1</v>
      </c>
      <c r="D466" s="24" t="s">
        <v>99</v>
      </c>
      <c r="E466" s="24"/>
      <c r="F466" s="25" t="s">
        <v>117</v>
      </c>
      <c r="G466" s="25"/>
      <c r="H466" s="25"/>
      <c r="I466" s="123"/>
      <c r="J466" s="123"/>
      <c r="K466" s="139"/>
      <c r="L466" s="124"/>
      <c r="N466" s="124"/>
      <c r="X466" s="139"/>
      <c r="Y466" s="139"/>
      <c r="Z466" s="80" t="s">
        <v>243</v>
      </c>
      <c r="AA466" s="80" t="s">
        <v>244</v>
      </c>
      <c r="AB466" s="80" t="s">
        <v>245</v>
      </c>
      <c r="AC466" s="80" t="s">
        <v>246</v>
      </c>
      <c r="AD466" s="80"/>
      <c r="AE466" s="64"/>
      <c r="AF466" s="12"/>
      <c r="AG466" s="38"/>
      <c r="AH466" s="64"/>
    </row>
    <row r="467" spans="1:36" ht="15">
      <c r="A467" s="18">
        <v>2</v>
      </c>
      <c r="E467" s="18" t="s">
        <v>107</v>
      </c>
      <c r="F467" s="5" t="s">
        <v>124</v>
      </c>
      <c r="H467" s="7">
        <v>116</v>
      </c>
      <c r="I467" s="39">
        <v>3.2</v>
      </c>
      <c r="J467" s="39"/>
      <c r="K467" s="39">
        <f>ROUND(H467*K$473/100,2)</f>
        <v>3.24</v>
      </c>
      <c r="L467" s="75">
        <f>(K467-I467)</f>
        <v>0.040000000000000036</v>
      </c>
      <c r="N467" s="170">
        <f>L467/I467</f>
        <v>0.012500000000000011</v>
      </c>
      <c r="P467">
        <f>IF($Q$7=1,TEXT(I467,"0.00"),"")</f>
      </c>
      <c r="Q467">
        <f>IF($Q$7=1,TEXT(VALUE(K467),"0.00"),"")</f>
      </c>
      <c r="R467" s="166" t="str">
        <f>IF($Q$7=2,TEXT(VALUE(K467),"0.00"),"")</f>
        <v>3.24</v>
      </c>
      <c r="X467" s="75">
        <f>+AC467</f>
        <v>0.04</v>
      </c>
      <c r="Y467" s="75">
        <f>SUM(X467:X467)</f>
        <v>0.04</v>
      </c>
      <c r="Z467" s="64">
        <v>116</v>
      </c>
      <c r="AA467" s="12">
        <v>15</v>
      </c>
      <c r="AB467" s="180">
        <f>$J$473</f>
        <v>0.037</v>
      </c>
      <c r="AC467" s="64">
        <f>ROUND(AB467/100*Z467,2)</f>
        <v>0.04</v>
      </c>
      <c r="AE467" s="64">
        <v>116</v>
      </c>
      <c r="AF467" s="12">
        <v>15</v>
      </c>
      <c r="AG467" s="38">
        <f>+K$473</f>
        <v>2.792</v>
      </c>
      <c r="AH467" s="160">
        <f>ROUND(AG467/100*AE467,2)</f>
        <v>3.24</v>
      </c>
      <c r="AI467" s="49">
        <f>I467+Y467-AH467</f>
        <v>0</v>
      </c>
      <c r="AJ467" s="7" t="b">
        <f>K467=AH467</f>
        <v>1</v>
      </c>
    </row>
    <row r="468" spans="1:35" ht="15">
      <c r="A468" s="18">
        <v>3</v>
      </c>
      <c r="E468" s="18" t="s">
        <v>107</v>
      </c>
      <c r="F468" s="5" t="s">
        <v>283</v>
      </c>
      <c r="H468" s="7">
        <v>158</v>
      </c>
      <c r="I468" s="69" t="s">
        <v>286</v>
      </c>
      <c r="J468" s="39"/>
      <c r="K468" s="69" t="s">
        <v>286</v>
      </c>
      <c r="L468" s="69" t="s">
        <v>286</v>
      </c>
      <c r="N468" s="69"/>
      <c r="X468" s="75"/>
      <c r="Y468" s="75"/>
      <c r="Z468" s="64"/>
      <c r="AA468" s="12"/>
      <c r="AB468" s="117"/>
      <c r="AC468" s="64"/>
      <c r="AE468" s="64"/>
      <c r="AF468" s="12"/>
      <c r="AG468" s="38"/>
      <c r="AH468" s="160"/>
      <c r="AI468" s="49"/>
    </row>
    <row r="469" spans="1:35" ht="15">
      <c r="A469" s="18">
        <v>4</v>
      </c>
      <c r="E469" s="18" t="s">
        <v>107</v>
      </c>
      <c r="F469" s="5" t="s">
        <v>284</v>
      </c>
      <c r="H469" s="7">
        <v>244</v>
      </c>
      <c r="I469" s="69" t="s">
        <v>286</v>
      </c>
      <c r="J469" s="39"/>
      <c r="K469" s="69" t="s">
        <v>286</v>
      </c>
      <c r="L469" s="69" t="s">
        <v>286</v>
      </c>
      <c r="N469" s="69"/>
      <c r="X469" s="75"/>
      <c r="Y469" s="75"/>
      <c r="Z469" s="64"/>
      <c r="AA469" s="12"/>
      <c r="AB469" s="117"/>
      <c r="AC469" s="64"/>
      <c r="AE469" s="64"/>
      <c r="AF469" s="12"/>
      <c r="AG469" s="38"/>
      <c r="AH469" s="160"/>
      <c r="AI469" s="49"/>
    </row>
    <row r="470" spans="1:36" ht="15">
      <c r="A470" s="18">
        <v>5</v>
      </c>
      <c r="E470" s="18" t="s">
        <v>107</v>
      </c>
      <c r="F470" s="5" t="s">
        <v>127</v>
      </c>
      <c r="H470" s="7">
        <v>122</v>
      </c>
      <c r="I470" s="39">
        <v>3.36</v>
      </c>
      <c r="J470" s="39"/>
      <c r="K470" s="39">
        <f>ROUND(H470*K$473/100,2)</f>
        <v>3.41</v>
      </c>
      <c r="L470" s="75">
        <f>(K470-I470)</f>
        <v>0.050000000000000266</v>
      </c>
      <c r="N470" s="170">
        <f>L470/I470</f>
        <v>0.014880952380952462</v>
      </c>
      <c r="P470">
        <f>IF($Q$7=1,TEXT(I470,"0.00"),"")</f>
      </c>
      <c r="Q470">
        <f>IF($Q$7=1,TEXT(VALUE(K470),"0.00"),"")</f>
      </c>
      <c r="R470" s="166" t="str">
        <f>IF($Q$7=2,TEXT(VALUE(K470),"0.00"),"")</f>
        <v>3.41</v>
      </c>
      <c r="X470" s="75">
        <f>+AC470</f>
        <v>0.05</v>
      </c>
      <c r="Y470" s="75">
        <f>SUM(X470:X470)</f>
        <v>0.05</v>
      </c>
      <c r="Z470" s="64">
        <v>122</v>
      </c>
      <c r="AA470" s="12">
        <v>15</v>
      </c>
      <c r="AB470" s="180">
        <f>$J$473</f>
        <v>0.037</v>
      </c>
      <c r="AC470" s="64">
        <f>ROUND(AB470/100*Z470,2)</f>
        <v>0.05</v>
      </c>
      <c r="AE470" s="64">
        <v>122</v>
      </c>
      <c r="AF470" s="12">
        <v>15</v>
      </c>
      <c r="AG470" s="38">
        <f>+K$473</f>
        <v>2.792</v>
      </c>
      <c r="AH470" s="160">
        <f>ROUND(AG470/100*AE470,2)</f>
        <v>3.41</v>
      </c>
      <c r="AI470" s="49">
        <f>I470+Y470-AH470</f>
        <v>0</v>
      </c>
      <c r="AJ470" s="7" t="b">
        <f>K470=AH470</f>
        <v>1</v>
      </c>
    </row>
    <row r="471" spans="1:33" ht="17.25">
      <c r="A471" s="18">
        <v>6</v>
      </c>
      <c r="E471" s="18" t="s">
        <v>107</v>
      </c>
      <c r="F471" s="5" t="s">
        <v>285</v>
      </c>
      <c r="H471" s="7">
        <v>264</v>
      </c>
      <c r="I471" s="69" t="s">
        <v>286</v>
      </c>
      <c r="J471" s="39">
        <f aca="true" t="shared" si="69" ref="J471:J483">IF(X471="","",X471)</f>
      </c>
      <c r="K471" s="69" t="s">
        <v>286</v>
      </c>
      <c r="L471" s="69" t="s">
        <v>286</v>
      </c>
      <c r="M471" s="104"/>
      <c r="N471" s="69"/>
      <c r="X471" s="75"/>
      <c r="Y471" s="75"/>
      <c r="Z471" s="64"/>
      <c r="AA471" s="12"/>
      <c r="AB471" s="117"/>
      <c r="AC471" s="64"/>
      <c r="AF471" s="79"/>
      <c r="AG471" s="79"/>
    </row>
    <row r="472" spans="1:25" ht="15">
      <c r="A472" s="18">
        <v>7</v>
      </c>
      <c r="I472" s="125"/>
      <c r="J472" s="125">
        <f t="shared" si="69"/>
      </c>
      <c r="K472" s="125"/>
      <c r="L472" s="126"/>
      <c r="N472" s="126"/>
      <c r="X472" s="125"/>
      <c r="Y472" s="125"/>
    </row>
    <row r="473" spans="1:25" ht="15">
      <c r="A473" s="18">
        <v>8</v>
      </c>
      <c r="F473" s="5" t="s">
        <v>129</v>
      </c>
      <c r="I473" s="157">
        <v>2.755</v>
      </c>
      <c r="J473" s="180">
        <f t="shared" si="69"/>
        <v>0.037</v>
      </c>
      <c r="K473" s="157">
        <f>SUM(I473:J473)</f>
        <v>2.792</v>
      </c>
      <c r="L473" s="38">
        <f>(K473-I473)</f>
        <v>0.03699999999999992</v>
      </c>
      <c r="N473" s="170">
        <f>L473/I473</f>
        <v>0.013430127041742259</v>
      </c>
      <c r="P473">
        <f>IF($Q$7=1,TEXT(I473,"0.000"),"")</f>
      </c>
      <c r="Q473">
        <f>IF($Q$7=1,TEXT(VALUE(K473),"0.000"),"")</f>
      </c>
      <c r="R473" s="166" t="str">
        <f>IF($Q$7=2,TEXT(VALUE(K473),"0.000"),"")</f>
        <v>2.792</v>
      </c>
      <c r="W473" s="12">
        <v>15</v>
      </c>
      <c r="X473" s="180">
        <f>WCEC3!$J$20</f>
        <v>0.037</v>
      </c>
      <c r="Y473" s="75">
        <f>SUM(X473:X473)</f>
        <v>0.037</v>
      </c>
    </row>
    <row r="474" spans="1:25" ht="15">
      <c r="A474" s="18">
        <v>9</v>
      </c>
      <c r="I474" s="39"/>
      <c r="J474" s="39">
        <f t="shared" si="69"/>
      </c>
      <c r="K474" s="39"/>
      <c r="L474" s="81"/>
      <c r="N474" s="81"/>
      <c r="X474" s="39"/>
      <c r="Y474" s="39"/>
    </row>
    <row r="475" spans="1:25" ht="15">
      <c r="A475" s="18">
        <v>10</v>
      </c>
      <c r="F475" s="34" t="s">
        <v>130</v>
      </c>
      <c r="I475" s="39"/>
      <c r="J475" s="39">
        <f t="shared" si="69"/>
      </c>
      <c r="K475" s="39"/>
      <c r="L475" s="81"/>
      <c r="N475" s="81"/>
      <c r="X475" s="39"/>
      <c r="Y475" s="39"/>
    </row>
    <row r="476" spans="1:25" ht="15">
      <c r="A476" s="18">
        <v>11</v>
      </c>
      <c r="F476" s="5" t="s">
        <v>131</v>
      </c>
      <c r="I476" s="39">
        <v>4.72</v>
      </c>
      <c r="J476" s="39">
        <f t="shared" si="69"/>
      </c>
      <c r="K476" s="39">
        <f>SUM(I476:J476)</f>
        <v>4.72</v>
      </c>
      <c r="L476" s="39">
        <f>(K476-I476)</f>
        <v>0</v>
      </c>
      <c r="N476" s="170">
        <f>L476/I476</f>
        <v>0</v>
      </c>
      <c r="P476">
        <f>IF($Q$7=1,TEXT(I476,"$0.00"),"")</f>
      </c>
      <c r="Q476">
        <f>IF($Q$7=1,TEXT(VALUE(K476),"$0.00"),"")</f>
      </c>
      <c r="R476" s="166" t="str">
        <f>IF($Q$7=2,TEXT(VALUE(K476),"$0.00"),"")</f>
        <v>$4.72</v>
      </c>
      <c r="X476" s="39"/>
      <c r="Y476" s="39">
        <f>SUM(X476:X476)</f>
        <v>0</v>
      </c>
    </row>
    <row r="477" spans="1:25" ht="15">
      <c r="A477" s="18">
        <v>12</v>
      </c>
      <c r="F477" s="5" t="s">
        <v>132</v>
      </c>
      <c r="I477" s="39">
        <v>6.47</v>
      </c>
      <c r="J477" s="39">
        <f t="shared" si="69"/>
      </c>
      <c r="K477" s="39">
        <f>SUM(I477:J477)</f>
        <v>6.47</v>
      </c>
      <c r="L477" s="39">
        <f>(K477-I477)</f>
        <v>0</v>
      </c>
      <c r="N477" s="170">
        <f>L477/I477</f>
        <v>0</v>
      </c>
      <c r="P477">
        <f>IF($Q$7=1,TEXT(I477,"$0.00"),"")</f>
      </c>
      <c r="Q477">
        <f>IF($Q$7=1,TEXT(VALUE(K477),"$0.00"),"")</f>
      </c>
      <c r="R477" s="166" t="str">
        <f>IF($Q$7=2,TEXT(VALUE(K477),"$0.00"),"")</f>
        <v>$6.47</v>
      </c>
      <c r="X477" s="39"/>
      <c r="Y477" s="39">
        <f>SUM(X477:X477)</f>
        <v>0</v>
      </c>
    </row>
    <row r="478" spans="1:25" ht="15">
      <c r="A478" s="18">
        <v>13</v>
      </c>
      <c r="F478" s="5" t="s">
        <v>133</v>
      </c>
      <c r="I478" s="39">
        <v>7.66</v>
      </c>
      <c r="J478" s="39">
        <f t="shared" si="69"/>
      </c>
      <c r="K478" s="39">
        <f>SUM(I478:J478)</f>
        <v>7.66</v>
      </c>
      <c r="L478" s="39">
        <f>(K478-I478)</f>
        <v>0</v>
      </c>
      <c r="N478" s="170">
        <f>L478/I478</f>
        <v>0</v>
      </c>
      <c r="P478">
        <f>IF($Q$7=1,TEXT(I478,"$0.00"),"")</f>
      </c>
      <c r="Q478">
        <f>IF($Q$7=1,TEXT(VALUE(K478),"$0.00"),"")</f>
      </c>
      <c r="R478" s="166" t="str">
        <f>IF($Q$7=2,TEXT(VALUE(K478),"$0.00"),"")</f>
        <v>$7.66</v>
      </c>
      <c r="X478" s="39"/>
      <c r="Y478" s="39">
        <f>SUM(X478:X478)</f>
        <v>0</v>
      </c>
    </row>
    <row r="479" spans="1:25" ht="15">
      <c r="A479" s="18">
        <v>14</v>
      </c>
      <c r="F479" s="5" t="s">
        <v>134</v>
      </c>
      <c r="I479" s="39">
        <v>3.7</v>
      </c>
      <c r="J479" s="39">
        <f t="shared" si="69"/>
      </c>
      <c r="K479" s="39">
        <f>SUM(I479:J479)</f>
        <v>3.7</v>
      </c>
      <c r="L479" s="57">
        <f>(K479-I479)</f>
        <v>0</v>
      </c>
      <c r="N479" s="170">
        <f>L479/I479</f>
        <v>0</v>
      </c>
      <c r="P479">
        <f>IF($Q$7=1,TEXT(I479,"0.00"),"")</f>
      </c>
      <c r="Q479">
        <f>IF($Q$7=1,TEXT(VALUE(K479),"0.00"),"")</f>
      </c>
      <c r="R479" s="166" t="str">
        <f>IF($Q$7=2,TEXT(VALUE(K479),"0.00"),"")</f>
        <v>3.70</v>
      </c>
      <c r="X479" s="152"/>
      <c r="Y479" s="152">
        <f>SUM(X479:X479)</f>
        <v>0</v>
      </c>
    </row>
    <row r="480" spans="1:25" ht="15">
      <c r="A480" s="18">
        <v>15</v>
      </c>
      <c r="F480" s="5" t="s">
        <v>135</v>
      </c>
      <c r="I480" s="39">
        <v>9.05</v>
      </c>
      <c r="J480" s="39">
        <f t="shared" si="69"/>
      </c>
      <c r="K480" s="39">
        <f>SUM(I480:J480)</f>
        <v>9.05</v>
      </c>
      <c r="L480" s="57">
        <f>(K480-I480)</f>
        <v>0</v>
      </c>
      <c r="N480" s="170">
        <f>L480/I480</f>
        <v>0</v>
      </c>
      <c r="P480">
        <f>IF($Q$7=1,TEXT(I480,"0.00"),"")</f>
      </c>
      <c r="Q480">
        <f>IF($Q$7=1,TEXT(VALUE(K480),"0.00"),"")</f>
      </c>
      <c r="R480" s="166" t="str">
        <f>IF($Q$7=2,TEXT(VALUE(K480),"0.00"),"")</f>
        <v>9.05</v>
      </c>
      <c r="X480" s="152"/>
      <c r="Y480" s="152">
        <f>SUM(X480:X480)</f>
        <v>0</v>
      </c>
    </row>
    <row r="481" spans="1:25" ht="15">
      <c r="A481" s="18">
        <v>16</v>
      </c>
      <c r="I481" s="58"/>
      <c r="J481" s="58">
        <f t="shared" si="69"/>
      </c>
      <c r="K481" s="58"/>
      <c r="L481" s="81"/>
      <c r="N481" s="81"/>
      <c r="X481" s="58"/>
      <c r="Y481" s="58"/>
    </row>
    <row r="482" spans="1:25" ht="15">
      <c r="A482" s="18">
        <v>17</v>
      </c>
      <c r="F482" s="34" t="s">
        <v>136</v>
      </c>
      <c r="I482" s="39"/>
      <c r="J482" s="39">
        <f t="shared" si="69"/>
      </c>
      <c r="K482" s="39"/>
      <c r="L482" s="81"/>
      <c r="N482" s="81"/>
      <c r="X482" s="39"/>
      <c r="Y482" s="39"/>
    </row>
    <row r="483" spans="1:25" ht="15">
      <c r="A483" s="18">
        <v>18</v>
      </c>
      <c r="F483" s="5" t="s">
        <v>137</v>
      </c>
      <c r="I483" s="39">
        <v>280</v>
      </c>
      <c r="J483" s="39">
        <f t="shared" si="69"/>
      </c>
      <c r="K483" s="39">
        <f>I483+Y483</f>
        <v>280</v>
      </c>
      <c r="L483" s="39">
        <f>(K483-I483)</f>
        <v>0</v>
      </c>
      <c r="N483" s="170">
        <f>L483/I483</f>
        <v>0</v>
      </c>
      <c r="P483">
        <f>IF($Q$7=1,TEXT(I483,"$0.00"),"")</f>
      </c>
      <c r="Q483">
        <f>IF($Q$7=1,TEXT(VALUE(K483),"$0.00"),"")</f>
      </c>
      <c r="R483" s="166" t="str">
        <f>IF($Q$7=2,TEXT(VALUE(K483),"$0.00"),"")</f>
        <v>$280.00</v>
      </c>
      <c r="X483" s="39"/>
      <c r="Y483" s="39">
        <f>SUM(X483:X483)</f>
        <v>0</v>
      </c>
    </row>
    <row r="484" spans="1:14" ht="15">
      <c r="A484" s="18">
        <v>19</v>
      </c>
      <c r="F484" s="105" t="s">
        <v>237</v>
      </c>
      <c r="K484" s="5" t="s">
        <v>247</v>
      </c>
      <c r="L484" s="81"/>
      <c r="N484" s="81"/>
    </row>
    <row r="485" spans="1:14" ht="15">
      <c r="A485" s="18">
        <v>20</v>
      </c>
      <c r="L485" s="81"/>
      <c r="N485" s="81"/>
    </row>
    <row r="486" spans="1:25" ht="15">
      <c r="A486" s="18">
        <v>21</v>
      </c>
      <c r="I486" s="39"/>
      <c r="J486" s="39"/>
      <c r="K486" s="39"/>
      <c r="L486" s="81"/>
      <c r="N486" s="81"/>
      <c r="X486" s="39"/>
      <c r="Y486" s="39"/>
    </row>
    <row r="487" spans="1:25" ht="15">
      <c r="A487" s="18">
        <v>22</v>
      </c>
      <c r="I487" s="39"/>
      <c r="J487" s="39"/>
      <c r="K487" s="39"/>
      <c r="L487" s="81"/>
      <c r="N487" s="81"/>
      <c r="X487" s="39"/>
      <c r="Y487" s="39"/>
    </row>
    <row r="488" spans="1:25" ht="15" thickBot="1">
      <c r="A488" s="18">
        <v>23</v>
      </c>
      <c r="D488" s="24" t="s">
        <v>138</v>
      </c>
      <c r="E488" s="24"/>
      <c r="F488" s="25" t="s">
        <v>139</v>
      </c>
      <c r="G488" s="25" t="s">
        <v>235</v>
      </c>
      <c r="H488" s="25"/>
      <c r="I488" s="25"/>
      <c r="J488" s="25"/>
      <c r="K488" s="25"/>
      <c r="L488" s="94"/>
      <c r="N488" s="94"/>
      <c r="X488" s="25"/>
      <c r="Y488" s="25"/>
    </row>
    <row r="489" spans="1:25" ht="15">
      <c r="A489" s="18">
        <v>24</v>
      </c>
      <c r="F489" s="18" t="s">
        <v>140</v>
      </c>
      <c r="I489" s="39"/>
      <c r="J489" s="39"/>
      <c r="K489" s="39"/>
      <c r="L489" s="93"/>
      <c r="N489" s="93"/>
      <c r="X489" s="39"/>
      <c r="Y489" s="39"/>
    </row>
    <row r="490" spans="1:25" ht="15">
      <c r="A490" s="18">
        <v>25</v>
      </c>
      <c r="F490" s="18" t="s">
        <v>141</v>
      </c>
      <c r="I490" s="151">
        <v>1.1940605618195084</v>
      </c>
      <c r="J490" s="5">
        <f>IF(X490="","",X490)</f>
      </c>
      <c r="K490" s="151">
        <v>1.1940605618195084</v>
      </c>
      <c r="L490" s="159">
        <f>(K490-I490)</f>
        <v>0</v>
      </c>
      <c r="N490" s="170">
        <f>L490/I490</f>
        <v>0</v>
      </c>
      <c r="P490">
        <f>IF($Q$7=1,TEXT(I490,"0.0000"),"")</f>
      </c>
      <c r="Q490">
        <f>IF($Q$7=1,TEXT(VALUE(K490),"0.0000"),"")</f>
      </c>
      <c r="R490" s="166" t="str">
        <f>IF($Q$7=2,TEXT(VALUE(K490),"0.0000"),"")</f>
        <v>1.1941</v>
      </c>
      <c r="X490" s="151"/>
      <c r="Y490" s="151">
        <f>SUM(X490:X490)</f>
        <v>0</v>
      </c>
    </row>
    <row r="491" spans="1:25" ht="15">
      <c r="A491" s="18">
        <v>26</v>
      </c>
      <c r="F491" s="18"/>
      <c r="I491" s="39"/>
      <c r="J491" s="39"/>
      <c r="K491" s="39"/>
      <c r="L491" s="81"/>
      <c r="N491" s="81"/>
      <c r="X491" s="39"/>
      <c r="Y491" s="39"/>
    </row>
    <row r="492" spans="1:25" ht="15">
      <c r="A492" s="18">
        <v>27</v>
      </c>
      <c r="F492" s="18" t="s">
        <v>89</v>
      </c>
      <c r="I492" s="39"/>
      <c r="J492" s="39"/>
      <c r="K492" s="39"/>
      <c r="L492" s="93"/>
      <c r="N492" s="93"/>
      <c r="X492" s="39"/>
      <c r="Y492" s="39"/>
    </row>
    <row r="493" spans="1:25" ht="15">
      <c r="A493" s="18">
        <v>28</v>
      </c>
      <c r="F493" s="5" t="s">
        <v>142</v>
      </c>
      <c r="I493" s="39"/>
      <c r="J493" s="39"/>
      <c r="K493" s="39"/>
      <c r="L493" s="81"/>
      <c r="N493" s="81"/>
      <c r="P493">
        <f>IF($Q$7=1,TEXT(I493,"0.0000"),"")</f>
      </c>
      <c r="Q493">
        <f>IF($Q$7=1,TEXT(VALUE(K493),"0.0000"),"")</f>
      </c>
      <c r="R493" s="166" t="str">
        <f>IF($Q$7=2,TEXT(VALUE(K493),"0.0000"),"")</f>
        <v>0.0000</v>
      </c>
      <c r="X493" s="39"/>
      <c r="Y493" s="39"/>
    </row>
    <row r="494" spans="1:25" ht="15">
      <c r="A494" s="18">
        <v>29</v>
      </c>
      <c r="F494" s="5" t="s">
        <v>143</v>
      </c>
      <c r="I494" s="59">
        <v>0.013622896824367436</v>
      </c>
      <c r="J494" s="59">
        <f>IF(X494="","",X494)</f>
      </c>
      <c r="K494" s="59">
        <v>0.013622896824367436</v>
      </c>
      <c r="L494" s="154">
        <f>(K494-I494)</f>
        <v>0</v>
      </c>
      <c r="M494" s="9"/>
      <c r="N494" s="170">
        <f>L494/I494</f>
        <v>0</v>
      </c>
      <c r="P494">
        <f>IF($Q$7=1,TEXT(I494,"0.0000"),"")</f>
      </c>
      <c r="Q494">
        <f>IF($Q$7=1,TEXT(VALUE(K494),"0.0000"),"")</f>
      </c>
      <c r="R494" s="166" t="str">
        <f>IF($Q$7=2,TEXT(VALUE(K494),"0.0000"),"")</f>
        <v>0.0136</v>
      </c>
      <c r="X494" s="59"/>
      <c r="Y494" s="59"/>
    </row>
    <row r="495" spans="1:25" s="42" customFormat="1" ht="15">
      <c r="A495" s="18">
        <v>30</v>
      </c>
      <c r="B495" s="3"/>
      <c r="C495" s="3"/>
      <c r="D495" s="18"/>
      <c r="E495" s="18"/>
      <c r="F495" s="5" t="s">
        <v>144</v>
      </c>
      <c r="G495" s="5"/>
      <c r="H495" s="5"/>
      <c r="I495" s="59">
        <v>0.009250265431064468</v>
      </c>
      <c r="J495" s="59">
        <f>IF(X495="","",X495)</f>
      </c>
      <c r="K495" s="59">
        <v>0.009250265431064468</v>
      </c>
      <c r="L495" s="154">
        <f>(K495-I495)</f>
        <v>0</v>
      </c>
      <c r="M495" s="5"/>
      <c r="N495" s="170">
        <f>L495/I495</f>
        <v>0</v>
      </c>
      <c r="O495" s="6"/>
      <c r="P495"/>
      <c r="Q495"/>
      <c r="R495" s="166"/>
      <c r="S495" s="6"/>
      <c r="T495" s="6"/>
      <c r="U495" s="6"/>
      <c r="V495" s="6"/>
      <c r="W495" s="78"/>
      <c r="X495" s="59"/>
      <c r="Y495" s="59"/>
    </row>
    <row r="496" spans="1:14" ht="15">
      <c r="A496" s="18">
        <v>31</v>
      </c>
      <c r="L496" s="81"/>
      <c r="N496" s="81"/>
    </row>
    <row r="497" spans="1:14" ht="15">
      <c r="A497" s="18">
        <v>32</v>
      </c>
      <c r="F497" s="5" t="s">
        <v>118</v>
      </c>
      <c r="K497" s="5" t="s">
        <v>145</v>
      </c>
      <c r="L497" s="81"/>
      <c r="N497" s="81"/>
    </row>
    <row r="498" spans="1:14" ht="15">
      <c r="A498" s="18">
        <v>33</v>
      </c>
      <c r="K498" s="5" t="s">
        <v>146</v>
      </c>
      <c r="L498" s="81"/>
      <c r="N498" s="81"/>
    </row>
    <row r="499" spans="1:14" ht="15">
      <c r="A499" s="18">
        <v>34</v>
      </c>
      <c r="L499" s="81"/>
      <c r="N499" s="81"/>
    </row>
    <row r="500" spans="1:14" ht="15">
      <c r="A500" s="18">
        <v>35</v>
      </c>
      <c r="F500" s="5" t="s">
        <v>147</v>
      </c>
      <c r="L500" s="81"/>
      <c r="N500" s="81"/>
    </row>
    <row r="501" spans="1:14" ht="15">
      <c r="A501" s="18">
        <v>36</v>
      </c>
      <c r="F501" s="5" t="s">
        <v>143</v>
      </c>
      <c r="L501" s="81"/>
      <c r="N501" s="81"/>
    </row>
    <row r="502" spans="1:25" ht="15">
      <c r="A502" s="18">
        <v>37</v>
      </c>
      <c r="G502" s="5">
        <v>1</v>
      </c>
      <c r="I502" s="60">
        <v>1.1940605618195084</v>
      </c>
      <c r="J502" s="60">
        <f aca="true" t="shared" si="70" ref="J502:J507">IF(X502="","",X502)</f>
      </c>
      <c r="K502" s="60">
        <f>K490</f>
        <v>1.1940605618195084</v>
      </c>
      <c r="L502" s="103">
        <f aca="true" t="shared" si="71" ref="L502:L507">(K502-I502)</f>
        <v>0</v>
      </c>
      <c r="N502" s="170">
        <f aca="true" t="shared" si="72" ref="N502:N507">L502/I502</f>
        <v>0</v>
      </c>
      <c r="P502">
        <f aca="true" t="shared" si="73" ref="P502:P507">IF($Q$7=1,TEXT(I502,"0.0000"),"")</f>
      </c>
      <c r="Q502">
        <f aca="true" t="shared" si="74" ref="Q502:Q507">IF($Q$7=1,TEXT(VALUE(K502),"0.0000"),"")</f>
      </c>
      <c r="R502" s="166" t="str">
        <f aca="true" t="shared" si="75" ref="R502:R507">IF($Q$7=2,TEXT(VALUE(K502),"0.0000"),"")</f>
        <v>1.1941</v>
      </c>
      <c r="X502" s="60"/>
      <c r="Y502" s="60"/>
    </row>
    <row r="503" spans="1:25" ht="15">
      <c r="A503" s="18">
        <v>38</v>
      </c>
      <c r="G503" s="5">
        <v>2</v>
      </c>
      <c r="I503" s="60">
        <v>1.030585799927099</v>
      </c>
      <c r="J503" s="60">
        <f t="shared" si="70"/>
      </c>
      <c r="K503" s="60">
        <v>1.030585799927099</v>
      </c>
      <c r="L503" s="103">
        <f t="shared" si="71"/>
        <v>0</v>
      </c>
      <c r="N503" s="170">
        <f t="shared" si="72"/>
        <v>0</v>
      </c>
      <c r="P503">
        <f t="shared" si="73"/>
      </c>
      <c r="Q503">
        <f t="shared" si="74"/>
      </c>
      <c r="R503" s="166" t="str">
        <f t="shared" si="75"/>
        <v>1.0306</v>
      </c>
      <c r="X503" s="60"/>
      <c r="Y503" s="60"/>
    </row>
    <row r="504" spans="1:25" ht="15">
      <c r="A504" s="18">
        <v>39</v>
      </c>
      <c r="G504" s="5">
        <v>3</v>
      </c>
      <c r="I504" s="60">
        <v>0.9472981669218742</v>
      </c>
      <c r="J504" s="60">
        <f t="shared" si="70"/>
      </c>
      <c r="K504" s="60">
        <v>0.9472981669218742</v>
      </c>
      <c r="L504" s="103">
        <f t="shared" si="71"/>
        <v>0</v>
      </c>
      <c r="N504" s="170">
        <f t="shared" si="72"/>
        <v>0</v>
      </c>
      <c r="P504">
        <f t="shared" si="73"/>
      </c>
      <c r="Q504">
        <f t="shared" si="74"/>
      </c>
      <c r="R504" s="166" t="str">
        <f t="shared" si="75"/>
        <v>0.9473</v>
      </c>
      <c r="X504" s="60"/>
      <c r="Y504" s="60"/>
    </row>
    <row r="505" spans="1:25" ht="15">
      <c r="A505" s="18">
        <v>40</v>
      </c>
      <c r="G505" s="5">
        <v>4</v>
      </c>
      <c r="I505" s="60">
        <v>0.8575301456142188</v>
      </c>
      <c r="J505" s="60">
        <f t="shared" si="70"/>
      </c>
      <c r="K505" s="60">
        <v>0.8575301456142188</v>
      </c>
      <c r="L505" s="103">
        <f t="shared" si="71"/>
        <v>0</v>
      </c>
      <c r="N505" s="170">
        <f t="shared" si="72"/>
        <v>0</v>
      </c>
      <c r="P505">
        <f t="shared" si="73"/>
      </c>
      <c r="Q505">
        <f t="shared" si="74"/>
      </c>
      <c r="R505" s="166" t="str">
        <f t="shared" si="75"/>
        <v>0.8575</v>
      </c>
      <c r="X505" s="60"/>
      <c r="Y505" s="60"/>
    </row>
    <row r="506" spans="1:25" ht="15">
      <c r="A506" s="18">
        <v>41</v>
      </c>
      <c r="G506" s="5">
        <v>5</v>
      </c>
      <c r="I506" s="60">
        <v>0.76077751429636</v>
      </c>
      <c r="J506" s="60">
        <f t="shared" si="70"/>
      </c>
      <c r="K506" s="60">
        <v>0.76077751429636</v>
      </c>
      <c r="L506" s="103">
        <f t="shared" si="71"/>
        <v>0</v>
      </c>
      <c r="N506" s="170">
        <f t="shared" si="72"/>
        <v>0</v>
      </c>
      <c r="P506">
        <f t="shared" si="73"/>
      </c>
      <c r="Q506">
        <f t="shared" si="74"/>
      </c>
      <c r="R506" s="166" t="str">
        <f t="shared" si="75"/>
        <v>0.7608</v>
      </c>
      <c r="X506" s="60"/>
      <c r="Y506" s="60"/>
    </row>
    <row r="507" spans="1:25" ht="15">
      <c r="A507" s="18">
        <v>42</v>
      </c>
      <c r="G507" s="5">
        <v>6</v>
      </c>
      <c r="I507" s="60">
        <v>0.6564968191159791</v>
      </c>
      <c r="J507" s="60">
        <f t="shared" si="70"/>
      </c>
      <c r="K507" s="60">
        <v>0.6564968191159791</v>
      </c>
      <c r="L507" s="103">
        <f t="shared" si="71"/>
        <v>0</v>
      </c>
      <c r="N507" s="170">
        <f t="shared" si="72"/>
        <v>0</v>
      </c>
      <c r="P507">
        <f t="shared" si="73"/>
      </c>
      <c r="Q507">
        <f t="shared" si="74"/>
      </c>
      <c r="R507" s="166" t="str">
        <f t="shared" si="75"/>
        <v>0.6565</v>
      </c>
      <c r="X507" s="60"/>
      <c r="Y507" s="60"/>
    </row>
    <row r="508" spans="3:14" ht="15">
      <c r="C508" s="43"/>
      <c r="D508" s="41"/>
      <c r="E508" s="41"/>
      <c r="L508" s="84"/>
      <c r="N508" s="84"/>
    </row>
    <row r="509" spans="1:25" ht="15" thickBot="1">
      <c r="A509" s="16"/>
      <c r="B509" s="3"/>
      <c r="C509" s="3"/>
      <c r="D509" s="41"/>
      <c r="E509" s="41"/>
      <c r="F509" s="41"/>
      <c r="G509" s="41"/>
      <c r="H509" s="41"/>
      <c r="I509" s="41"/>
      <c r="J509" s="41"/>
      <c r="K509" s="41"/>
      <c r="L509" s="84"/>
      <c r="M509" s="41"/>
      <c r="N509" s="84"/>
      <c r="O509" s="41"/>
      <c r="X509" s="41"/>
      <c r="Y509" s="41"/>
    </row>
    <row r="510" spans="1:25" ht="15">
      <c r="A510" s="45" t="s">
        <v>31</v>
      </c>
      <c r="B510" s="14"/>
      <c r="C510" s="14"/>
      <c r="D510" s="45"/>
      <c r="E510" s="45"/>
      <c r="F510" s="45"/>
      <c r="G510" s="45"/>
      <c r="H510" s="45"/>
      <c r="I510" s="45"/>
      <c r="J510" s="45"/>
      <c r="K510" s="45" t="s">
        <v>32</v>
      </c>
      <c r="L510" s="85"/>
      <c r="M510" s="45"/>
      <c r="N510" s="85"/>
      <c r="O510" s="1"/>
      <c r="X510" s="45"/>
      <c r="Y510" s="45"/>
    </row>
    <row r="511" spans="1:25" ht="15" thickBot="1">
      <c r="A511" s="18">
        <v>1</v>
      </c>
      <c r="D511" s="24" t="s">
        <v>138</v>
      </c>
      <c r="E511" s="24"/>
      <c r="F511" s="25" t="s">
        <v>148</v>
      </c>
      <c r="G511" s="25"/>
      <c r="H511" s="25"/>
      <c r="I511" s="25"/>
      <c r="J511" s="25"/>
      <c r="K511" s="25"/>
      <c r="L511" s="82"/>
      <c r="N511" s="82"/>
      <c r="X511" s="25"/>
      <c r="Y511" s="25"/>
    </row>
    <row r="512" spans="1:25" ht="15">
      <c r="A512" s="18">
        <v>2</v>
      </c>
      <c r="G512" s="5">
        <v>7</v>
      </c>
      <c r="I512" s="60">
        <v>0.5441023215278167</v>
      </c>
      <c r="J512" s="60">
        <f>IF(X512="","",X512)</f>
      </c>
      <c r="K512" s="60">
        <v>0.5441023215278167</v>
      </c>
      <c r="L512" s="103">
        <f>(K512-I512)</f>
        <v>0</v>
      </c>
      <c r="N512" s="170">
        <f>L512/I512</f>
        <v>0</v>
      </c>
      <c r="P512">
        <f>IF($Q$7=1,TEXT(I512,"0.0000"),"")</f>
      </c>
      <c r="Q512">
        <f>IF($Q$7=1,TEXT(VALUE(K512),"0.0000"),"")</f>
      </c>
      <c r="R512" s="166" t="str">
        <f>IF($Q$7=2,TEXT(VALUE(K512),"0.0000"),"")</f>
        <v>0.5441</v>
      </c>
      <c r="X512" s="60"/>
      <c r="Y512" s="60"/>
    </row>
    <row r="513" spans="1:25" ht="15">
      <c r="A513" s="18">
        <v>3</v>
      </c>
      <c r="G513" s="5">
        <v>8</v>
      </c>
      <c r="I513" s="60">
        <v>0.4229627082346345</v>
      </c>
      <c r="J513" s="60">
        <f>IF(X513="","",X513)</f>
      </c>
      <c r="K513" s="60">
        <v>0.4229627082346345</v>
      </c>
      <c r="L513" s="103">
        <f>(K513-I513)</f>
        <v>0</v>
      </c>
      <c r="N513" s="170">
        <f>L513/I513</f>
        <v>0</v>
      </c>
      <c r="P513">
        <f>IF($Q$7=1,TEXT(I513,"0.0000"),"")</f>
      </c>
      <c r="Q513">
        <f>IF($Q$7=1,TEXT(VALUE(K513),"0.0000"),"")</f>
      </c>
      <c r="R513" s="166" t="str">
        <f>IF($Q$7=2,TEXT(VALUE(K513),"0.0000"),"")</f>
        <v>0.4230</v>
      </c>
      <c r="X513" s="60"/>
      <c r="Y513" s="60"/>
    </row>
    <row r="514" spans="1:25" ht="15">
      <c r="A514" s="18">
        <v>4</v>
      </c>
      <c r="G514" s="5">
        <v>9</v>
      </c>
      <c r="I514" s="60">
        <v>0.292397545137476</v>
      </c>
      <c r="J514" s="60">
        <f>IF(X514="","",X514)</f>
      </c>
      <c r="K514" s="60">
        <v>0.292397545137476</v>
      </c>
      <c r="L514" s="103">
        <f>(K514-I514)</f>
        <v>0</v>
      </c>
      <c r="N514" s="170">
        <f>L514/I514</f>
        <v>0</v>
      </c>
      <c r="P514">
        <f>IF($Q$7=1,TEXT(I514,"0.0000"),"")</f>
      </c>
      <c r="Q514">
        <f>IF($Q$7=1,TEXT(VALUE(K514),"0.0000"),"")</f>
      </c>
      <c r="R514" s="166" t="str">
        <f>IF($Q$7=2,TEXT(VALUE(K514),"0.0000"),"")</f>
        <v>0.2924</v>
      </c>
      <c r="X514" s="60"/>
      <c r="Y514" s="60"/>
    </row>
    <row r="515" spans="1:25" ht="15">
      <c r="A515" s="18">
        <v>5</v>
      </c>
      <c r="G515" s="5">
        <v>10</v>
      </c>
      <c r="I515" s="60">
        <v>0.15167345537725951</v>
      </c>
      <c r="J515" s="60">
        <f>IF(X515="","",X515)</f>
      </c>
      <c r="K515" s="60">
        <v>0.15167345537725951</v>
      </c>
      <c r="L515" s="103">
        <f>(K515-I515)</f>
        <v>0</v>
      </c>
      <c r="N515" s="170">
        <f>L515/I515</f>
        <v>0</v>
      </c>
      <c r="P515">
        <f>IF($Q$7=1,TEXT(I515,"0.0000"),"")</f>
      </c>
      <c r="Q515">
        <f>IF($Q$7=1,TEXT(VALUE(K515),"0.0000"),"")</f>
      </c>
      <c r="R515" s="166" t="str">
        <f>IF($Q$7=2,TEXT(VALUE(K515),"0.0000"),"")</f>
        <v>0.1517</v>
      </c>
      <c r="X515" s="60"/>
      <c r="Y515" s="60"/>
    </row>
    <row r="516" spans="1:25" ht="15">
      <c r="A516" s="18">
        <v>6</v>
      </c>
      <c r="G516" s="5" t="s">
        <v>149</v>
      </c>
      <c r="I516" s="60">
        <v>0</v>
      </c>
      <c r="J516" s="60">
        <f>IF(X516="","",X516)</f>
      </c>
      <c r="K516" s="60">
        <f>I516+Y516</f>
        <v>0</v>
      </c>
      <c r="L516" s="103">
        <f>(K516-I516)</f>
        <v>0</v>
      </c>
      <c r="N516" s="103"/>
      <c r="P516">
        <f>IF($Q$7=1,TEXT(I516,"0.0000"),"")</f>
      </c>
      <c r="Q516">
        <f>IF($Q$7=1,TEXT(VALUE(K516),"0.0000"),"")</f>
      </c>
      <c r="R516" s="166" t="str">
        <f>IF($Q$7=2,TEXT(VALUE(K516),"0.0000"),"")</f>
        <v>0.0000</v>
      </c>
      <c r="X516" s="60"/>
      <c r="Y516" s="60"/>
    </row>
    <row r="517" spans="1:25" ht="15">
      <c r="A517" s="18">
        <v>7</v>
      </c>
      <c r="I517" s="60"/>
      <c r="J517" s="60"/>
      <c r="K517" s="60"/>
      <c r="L517" s="81"/>
      <c r="M517" s="41"/>
      <c r="N517" s="81"/>
      <c r="X517" s="60"/>
      <c r="Y517" s="60"/>
    </row>
    <row r="518" spans="1:14" ht="15">
      <c r="A518" s="18">
        <v>8</v>
      </c>
      <c r="D518" s="41"/>
      <c r="E518" s="41"/>
      <c r="F518" s="5" t="s">
        <v>144</v>
      </c>
      <c r="J518" s="5">
        <f aca="true" t="shared" si="76" ref="J518:J539">IF(X518="","",X518)</f>
      </c>
      <c r="L518" s="81"/>
      <c r="N518" s="81"/>
    </row>
    <row r="519" spans="1:25" ht="15">
      <c r="A519" s="18">
        <v>9</v>
      </c>
      <c r="D519" s="41"/>
      <c r="E519" s="41"/>
      <c r="G519" s="5">
        <v>1</v>
      </c>
      <c r="I519" s="60">
        <v>1.1940605618195084</v>
      </c>
      <c r="J519" s="60">
        <f t="shared" si="76"/>
      </c>
      <c r="K519" s="60">
        <f>K490</f>
        <v>1.1940605618195084</v>
      </c>
      <c r="L519" s="103">
        <f aca="true" t="shared" si="77" ref="L519:L538">(K519-I519)</f>
        <v>0</v>
      </c>
      <c r="N519" s="170">
        <f aca="true" t="shared" si="78" ref="N519:N538">L519/I519</f>
        <v>0</v>
      </c>
      <c r="P519">
        <f aca="true" t="shared" si="79" ref="P519:P539">IF($Q$7=1,TEXT(I519,"0.0000"),"")</f>
      </c>
      <c r="Q519">
        <f aca="true" t="shared" si="80" ref="Q519:Q539">IF($Q$7=1,TEXT(VALUE(K519),"0.0000"),"")</f>
      </c>
      <c r="R519" s="166" t="str">
        <f aca="true" t="shared" si="81" ref="R519:R539">IF($Q$7=2,TEXT(VALUE(K519),"0.0000"),"")</f>
        <v>1.1941</v>
      </c>
      <c r="X519" s="60"/>
      <c r="Y519" s="60"/>
    </row>
    <row r="520" spans="1:25" ht="15">
      <c r="A520" s="18">
        <v>10</v>
      </c>
      <c r="D520" s="41"/>
      <c r="E520" s="41"/>
      <c r="G520" s="5">
        <v>2</v>
      </c>
      <c r="I520" s="60">
        <v>1.0830573766467348</v>
      </c>
      <c r="J520" s="60">
        <f t="shared" si="76"/>
      </c>
      <c r="K520" s="60">
        <v>1.0830573766467348</v>
      </c>
      <c r="L520" s="103">
        <f t="shared" si="77"/>
        <v>0</v>
      </c>
      <c r="N520" s="170">
        <f t="shared" si="78"/>
        <v>0</v>
      </c>
      <c r="P520">
        <f t="shared" si="79"/>
      </c>
      <c r="Q520">
        <f t="shared" si="80"/>
      </c>
      <c r="R520" s="166" t="str">
        <f t="shared" si="81"/>
        <v>1.0831</v>
      </c>
      <c r="X520" s="60"/>
      <c r="Y520" s="60"/>
    </row>
    <row r="521" spans="1:25" ht="15">
      <c r="A521" s="18">
        <v>11</v>
      </c>
      <c r="D521" s="41"/>
      <c r="E521" s="41"/>
      <c r="G521" s="5">
        <v>3</v>
      </c>
      <c r="I521" s="60">
        <v>1.0563239936190427</v>
      </c>
      <c r="J521" s="60">
        <f t="shared" si="76"/>
      </c>
      <c r="K521" s="60">
        <v>1.0563239936190427</v>
      </c>
      <c r="L521" s="103">
        <f t="shared" si="77"/>
        <v>0</v>
      </c>
      <c r="N521" s="170">
        <f t="shared" si="78"/>
        <v>0</v>
      </c>
      <c r="P521">
        <f t="shared" si="79"/>
      </c>
      <c r="Q521">
        <f t="shared" si="80"/>
      </c>
      <c r="R521" s="166" t="str">
        <f t="shared" si="81"/>
        <v>1.0563</v>
      </c>
      <c r="X521" s="60"/>
      <c r="Y521" s="60"/>
    </row>
    <row r="522" spans="1:25" ht="15">
      <c r="A522" s="18">
        <v>12</v>
      </c>
      <c r="G522" s="5">
        <v>4</v>
      </c>
      <c r="I522" s="60">
        <v>1.027510557450134</v>
      </c>
      <c r="J522" s="60">
        <f t="shared" si="76"/>
      </c>
      <c r="K522" s="60">
        <v>1.027510557450134</v>
      </c>
      <c r="L522" s="103">
        <f t="shared" si="77"/>
        <v>0</v>
      </c>
      <c r="N522" s="170">
        <f t="shared" si="78"/>
        <v>0</v>
      </c>
      <c r="P522">
        <f t="shared" si="79"/>
      </c>
      <c r="Q522">
        <f t="shared" si="80"/>
      </c>
      <c r="R522" s="166" t="str">
        <f t="shared" si="81"/>
        <v>1.0275</v>
      </c>
      <c r="X522" s="60"/>
      <c r="Y522" s="60"/>
    </row>
    <row r="523" spans="1:25" ht="15">
      <c r="A523" s="18">
        <v>13</v>
      </c>
      <c r="G523" s="5">
        <v>5</v>
      </c>
      <c r="I523" s="60">
        <v>0.9964552247599239</v>
      </c>
      <c r="J523" s="60">
        <f t="shared" si="76"/>
      </c>
      <c r="K523" s="60">
        <v>0.9964552247599239</v>
      </c>
      <c r="L523" s="103">
        <f t="shared" si="77"/>
        <v>0</v>
      </c>
      <c r="N523" s="170">
        <f t="shared" si="78"/>
        <v>0</v>
      </c>
      <c r="P523">
        <f t="shared" si="79"/>
      </c>
      <c r="Q523">
        <f t="shared" si="80"/>
      </c>
      <c r="R523" s="166" t="str">
        <f t="shared" si="81"/>
        <v>0.9965</v>
      </c>
      <c r="X523" s="60"/>
      <c r="Y523" s="60"/>
    </row>
    <row r="524" spans="1:25" ht="15">
      <c r="A524" s="18">
        <v>14</v>
      </c>
      <c r="G524" s="5">
        <v>6</v>
      </c>
      <c r="I524" s="60">
        <v>0.9629835595671307</v>
      </c>
      <c r="J524" s="60">
        <f t="shared" si="76"/>
      </c>
      <c r="K524" s="60">
        <v>0.9629835595671307</v>
      </c>
      <c r="L524" s="103">
        <f t="shared" si="77"/>
        <v>0</v>
      </c>
      <c r="N524" s="170">
        <f t="shared" si="78"/>
        <v>0</v>
      </c>
      <c r="P524">
        <f t="shared" si="79"/>
      </c>
      <c r="Q524">
        <f t="shared" si="80"/>
      </c>
      <c r="R524" s="166" t="str">
        <f t="shared" si="81"/>
        <v>0.9630</v>
      </c>
      <c r="X524" s="60"/>
      <c r="Y524" s="60"/>
    </row>
    <row r="525" spans="1:25" ht="15">
      <c r="A525" s="18">
        <v>15</v>
      </c>
      <c r="G525" s="5">
        <v>7</v>
      </c>
      <c r="I525" s="60">
        <v>0.9269075534926051</v>
      </c>
      <c r="J525" s="60">
        <f t="shared" si="76"/>
      </c>
      <c r="K525" s="60">
        <v>0.9269075534926051</v>
      </c>
      <c r="L525" s="103">
        <f t="shared" si="77"/>
        <v>0</v>
      </c>
      <c r="N525" s="170">
        <f t="shared" si="78"/>
        <v>0</v>
      </c>
      <c r="P525">
        <f t="shared" si="79"/>
      </c>
      <c r="Q525">
        <f t="shared" si="80"/>
      </c>
      <c r="R525" s="166" t="str">
        <f t="shared" si="81"/>
        <v>0.9269</v>
      </c>
      <c r="X525" s="60"/>
      <c r="Y525" s="60"/>
    </row>
    <row r="526" spans="1:25" ht="15">
      <c r="A526" s="18">
        <v>16</v>
      </c>
      <c r="G526" s="5">
        <v>8</v>
      </c>
      <c r="I526" s="60">
        <v>0.8880245697272968</v>
      </c>
      <c r="J526" s="60">
        <f t="shared" si="76"/>
      </c>
      <c r="K526" s="60">
        <v>0.8880245697272968</v>
      </c>
      <c r="L526" s="103">
        <f t="shared" si="77"/>
        <v>0</v>
      </c>
      <c r="N526" s="170">
        <f t="shared" si="78"/>
        <v>0</v>
      </c>
      <c r="P526">
        <f t="shared" si="79"/>
      </c>
      <c r="Q526">
        <f t="shared" si="80"/>
      </c>
      <c r="R526" s="166" t="str">
        <f t="shared" si="81"/>
        <v>0.8880</v>
      </c>
      <c r="X526" s="60"/>
      <c r="Y526" s="60"/>
    </row>
    <row r="527" spans="1:25" ht="15">
      <c r="A527" s="18">
        <v>17</v>
      </c>
      <c r="G527" s="5">
        <v>9</v>
      </c>
      <c r="I527" s="60">
        <v>0.8461162048331902</v>
      </c>
      <c r="J527" s="60">
        <f t="shared" si="76"/>
      </c>
      <c r="K527" s="60">
        <v>0.8461162048331902</v>
      </c>
      <c r="L527" s="103">
        <f t="shared" si="77"/>
        <v>0</v>
      </c>
      <c r="N527" s="170">
        <f t="shared" si="78"/>
        <v>0</v>
      </c>
      <c r="P527">
        <f t="shared" si="79"/>
      </c>
      <c r="Q527">
        <f t="shared" si="80"/>
      </c>
      <c r="R527" s="166" t="str">
        <f t="shared" si="81"/>
        <v>0.8461</v>
      </c>
      <c r="X527" s="60"/>
      <c r="Y527" s="60"/>
    </row>
    <row r="528" spans="1:25" ht="15">
      <c r="A528" s="18">
        <v>18</v>
      </c>
      <c r="G528" s="5">
        <v>10</v>
      </c>
      <c r="I528" s="60">
        <v>0.800947061984009</v>
      </c>
      <c r="J528" s="60">
        <f t="shared" si="76"/>
      </c>
      <c r="K528" s="60">
        <v>0.800947061984009</v>
      </c>
      <c r="L528" s="103">
        <f t="shared" si="77"/>
        <v>0</v>
      </c>
      <c r="N528" s="170">
        <f t="shared" si="78"/>
        <v>0</v>
      </c>
      <c r="P528">
        <f t="shared" si="79"/>
      </c>
      <c r="Q528">
        <f t="shared" si="80"/>
      </c>
      <c r="R528" s="166" t="str">
        <f t="shared" si="81"/>
        <v>0.8009</v>
      </c>
      <c r="X528" s="60"/>
      <c r="Y528" s="60"/>
    </row>
    <row r="529" spans="1:25" ht="15">
      <c r="A529" s="18">
        <v>19</v>
      </c>
      <c r="G529" s="5">
        <v>11</v>
      </c>
      <c r="I529" s="60">
        <v>0.7522634287550587</v>
      </c>
      <c r="J529" s="60">
        <f t="shared" si="76"/>
      </c>
      <c r="K529" s="60">
        <v>0.7522634287550587</v>
      </c>
      <c r="L529" s="103">
        <f t="shared" si="77"/>
        <v>0</v>
      </c>
      <c r="N529" s="170">
        <f t="shared" si="78"/>
        <v>0</v>
      </c>
      <c r="P529">
        <f t="shared" si="79"/>
      </c>
      <c r="Q529">
        <f t="shared" si="80"/>
      </c>
      <c r="R529" s="166" t="str">
        <f t="shared" si="81"/>
        <v>0.7523</v>
      </c>
      <c r="X529" s="60"/>
      <c r="Y529" s="60"/>
    </row>
    <row r="530" spans="1:25" ht="15">
      <c r="A530" s="18">
        <v>20</v>
      </c>
      <c r="G530" s="5">
        <v>12</v>
      </c>
      <c r="I530" s="60">
        <v>0.6997918520354229</v>
      </c>
      <c r="J530" s="60">
        <f t="shared" si="76"/>
      </c>
      <c r="K530" s="60">
        <v>0.6997918520354229</v>
      </c>
      <c r="L530" s="103">
        <f t="shared" si="77"/>
        <v>0</v>
      </c>
      <c r="N530" s="170">
        <f t="shared" si="78"/>
        <v>0</v>
      </c>
      <c r="P530">
        <f t="shared" si="79"/>
      </c>
      <c r="Q530">
        <f t="shared" si="80"/>
      </c>
      <c r="R530" s="166" t="str">
        <f t="shared" si="81"/>
        <v>0.6998</v>
      </c>
      <c r="X530" s="60"/>
      <c r="Y530" s="60"/>
    </row>
    <row r="531" spans="1:25" ht="15">
      <c r="A531" s="18">
        <v>21</v>
      </c>
      <c r="G531" s="5">
        <v>13</v>
      </c>
      <c r="I531" s="60">
        <v>0.6432376020578899</v>
      </c>
      <c r="J531" s="60">
        <f t="shared" si="76"/>
      </c>
      <c r="K531" s="60">
        <v>0.6432376020578899</v>
      </c>
      <c r="L531" s="103">
        <f t="shared" si="77"/>
        <v>0</v>
      </c>
      <c r="N531" s="170">
        <f t="shared" si="78"/>
        <v>0</v>
      </c>
      <c r="P531">
        <f t="shared" si="79"/>
      </c>
      <c r="Q531">
        <f t="shared" si="80"/>
      </c>
      <c r="R531" s="166" t="str">
        <f t="shared" si="81"/>
        <v>0.6432</v>
      </c>
      <c r="X531" s="60"/>
      <c r="Y531" s="60"/>
    </row>
    <row r="532" spans="1:25" ht="15">
      <c r="A532" s="18">
        <v>22</v>
      </c>
      <c r="G532" s="5">
        <v>14</v>
      </c>
      <c r="I532" s="60">
        <v>0.582283016919144</v>
      </c>
      <c r="J532" s="60">
        <f t="shared" si="76"/>
      </c>
      <c r="K532" s="60">
        <v>0.582283016919144</v>
      </c>
      <c r="L532" s="103">
        <f t="shared" si="77"/>
        <v>0</v>
      </c>
      <c r="N532" s="170">
        <f t="shared" si="78"/>
        <v>0</v>
      </c>
      <c r="P532">
        <f t="shared" si="79"/>
      </c>
      <c r="Q532">
        <f t="shared" si="80"/>
      </c>
      <c r="R532" s="166" t="str">
        <f t="shared" si="81"/>
        <v>0.5823</v>
      </c>
      <c r="X532" s="60"/>
      <c r="Y532" s="60"/>
    </row>
    <row r="533" spans="1:25" ht="15">
      <c r="A533" s="18">
        <v>23</v>
      </c>
      <c r="G533" s="5">
        <v>15</v>
      </c>
      <c r="I533" s="60">
        <v>0.5165857182914951</v>
      </c>
      <c r="J533" s="60">
        <f t="shared" si="76"/>
      </c>
      <c r="K533" s="60">
        <v>0.5165857182914951</v>
      </c>
      <c r="L533" s="103">
        <f t="shared" si="77"/>
        <v>0</v>
      </c>
      <c r="M533" s="9"/>
      <c r="N533" s="170">
        <f t="shared" si="78"/>
        <v>0</v>
      </c>
      <c r="P533">
        <f t="shared" si="79"/>
      </c>
      <c r="Q533">
        <f t="shared" si="80"/>
      </c>
      <c r="R533" s="166" t="str">
        <f t="shared" si="81"/>
        <v>0.5166</v>
      </c>
      <c r="X533" s="60"/>
      <c r="Y533" s="60"/>
    </row>
    <row r="534" spans="1:25" s="42" customFormat="1" ht="15">
      <c r="A534" s="18">
        <v>24</v>
      </c>
      <c r="B534" s="3"/>
      <c r="C534" s="18"/>
      <c r="D534" s="18"/>
      <c r="E534" s="18"/>
      <c r="F534" s="5"/>
      <c r="G534" s="5">
        <v>16</v>
      </c>
      <c r="H534" s="5"/>
      <c r="I534" s="60">
        <v>0.44577668830390754</v>
      </c>
      <c r="J534" s="60">
        <f t="shared" si="76"/>
      </c>
      <c r="K534" s="60">
        <v>0.44577668830390754</v>
      </c>
      <c r="L534" s="103">
        <f t="shared" si="77"/>
        <v>0</v>
      </c>
      <c r="M534" s="5"/>
      <c r="N534" s="170">
        <f t="shared" si="78"/>
        <v>0</v>
      </c>
      <c r="O534" s="6"/>
      <c r="P534">
        <f t="shared" si="79"/>
      </c>
      <c r="Q534">
        <f t="shared" si="80"/>
      </c>
      <c r="R534" s="166" t="str">
        <f t="shared" si="81"/>
        <v>0.4458</v>
      </c>
      <c r="S534" s="6"/>
      <c r="T534" s="6"/>
      <c r="U534" s="6"/>
      <c r="V534" s="6"/>
      <c r="W534" s="78"/>
      <c r="X534" s="60"/>
      <c r="Y534" s="60"/>
    </row>
    <row r="535" spans="1:25" ht="15">
      <c r="A535" s="18">
        <v>25</v>
      </c>
      <c r="B535" s="3"/>
      <c r="C535" s="3"/>
      <c r="G535" s="5">
        <v>17</v>
      </c>
      <c r="I535" s="60">
        <v>0.3694581967902706</v>
      </c>
      <c r="J535" s="60">
        <f t="shared" si="76"/>
      </c>
      <c r="K535" s="60">
        <v>0.3694581967902706</v>
      </c>
      <c r="L535" s="103">
        <f t="shared" si="77"/>
        <v>0</v>
      </c>
      <c r="N535" s="170">
        <f t="shared" si="78"/>
        <v>0</v>
      </c>
      <c r="P535">
        <f t="shared" si="79"/>
      </c>
      <c r="Q535">
        <f t="shared" si="80"/>
      </c>
      <c r="R535" s="166" t="str">
        <f t="shared" si="81"/>
        <v>0.3695</v>
      </c>
      <c r="X535" s="60"/>
      <c r="Y535" s="60"/>
    </row>
    <row r="536" spans="1:25" ht="15">
      <c r="A536" s="18">
        <v>26</v>
      </c>
      <c r="B536" s="3"/>
      <c r="C536" s="3"/>
      <c r="G536" s="5">
        <v>18</v>
      </c>
      <c r="I536" s="60">
        <v>0.28720156726239693</v>
      </c>
      <c r="J536" s="60">
        <f t="shared" si="76"/>
      </c>
      <c r="K536" s="60">
        <v>0.28720156726239693</v>
      </c>
      <c r="L536" s="103">
        <f t="shared" si="77"/>
        <v>0</v>
      </c>
      <c r="N536" s="170">
        <f t="shared" si="78"/>
        <v>0</v>
      </c>
      <c r="P536">
        <f t="shared" si="79"/>
      </c>
      <c r="Q536">
        <f t="shared" si="80"/>
      </c>
      <c r="R536" s="166" t="str">
        <f t="shared" si="81"/>
        <v>0.2872</v>
      </c>
      <c r="X536" s="60"/>
      <c r="Y536" s="60"/>
    </row>
    <row r="537" spans="1:25" ht="15">
      <c r="A537" s="3">
        <v>27</v>
      </c>
      <c r="B537" s="3"/>
      <c r="C537" s="3"/>
      <c r="G537" s="5">
        <v>19</v>
      </c>
      <c r="I537" s="60">
        <v>0.19854476905934523</v>
      </c>
      <c r="J537" s="60">
        <f t="shared" si="76"/>
      </c>
      <c r="K537" s="60">
        <v>0.19854476905934523</v>
      </c>
      <c r="L537" s="103">
        <f t="shared" si="77"/>
        <v>0</v>
      </c>
      <c r="N537" s="170">
        <f t="shared" si="78"/>
        <v>0</v>
      </c>
      <c r="P537">
        <f t="shared" si="79"/>
      </c>
      <c r="Q537">
        <f t="shared" si="80"/>
      </c>
      <c r="R537" s="166" t="str">
        <f t="shared" si="81"/>
        <v>0.1985</v>
      </c>
      <c r="X537" s="60"/>
      <c r="Y537" s="60"/>
    </row>
    <row r="538" spans="1:25" ht="15">
      <c r="A538" s="3">
        <v>28</v>
      </c>
      <c r="B538" s="3"/>
      <c r="C538" s="3"/>
      <c r="G538" s="5">
        <v>20</v>
      </c>
      <c r="I538" s="60">
        <v>0.10298982214830993</v>
      </c>
      <c r="J538" s="60">
        <f t="shared" si="76"/>
      </c>
      <c r="K538" s="60">
        <v>0.10298982214830993</v>
      </c>
      <c r="L538" s="103">
        <f t="shared" si="77"/>
        <v>0</v>
      </c>
      <c r="N538" s="170">
        <f t="shared" si="78"/>
        <v>0</v>
      </c>
      <c r="P538">
        <f t="shared" si="79"/>
      </c>
      <c r="Q538">
        <f t="shared" si="80"/>
      </c>
      <c r="R538" s="166" t="str">
        <f t="shared" si="81"/>
        <v>0.1030</v>
      </c>
      <c r="X538" s="60"/>
      <c r="Y538" s="60"/>
    </row>
    <row r="539" spans="1:25" ht="15">
      <c r="A539" s="3">
        <v>29</v>
      </c>
      <c r="B539" s="3"/>
      <c r="C539" s="3"/>
      <c r="G539" s="58" t="s">
        <v>150</v>
      </c>
      <c r="I539" s="60">
        <v>0</v>
      </c>
      <c r="J539" s="60">
        <f t="shared" si="76"/>
      </c>
      <c r="K539" s="60">
        <f>I539+Y539</f>
        <v>0</v>
      </c>
      <c r="L539" s="91" t="s">
        <v>78</v>
      </c>
      <c r="N539" s="91"/>
      <c r="P539">
        <f t="shared" si="79"/>
      </c>
      <c r="Q539">
        <f t="shared" si="80"/>
      </c>
      <c r="R539" s="166" t="str">
        <f t="shared" si="81"/>
        <v>0.0000</v>
      </c>
      <c r="X539" s="60"/>
      <c r="Y539" s="60"/>
    </row>
    <row r="540" spans="1:25" ht="15">
      <c r="A540" s="3">
        <v>30</v>
      </c>
      <c r="B540" s="3"/>
      <c r="C540" s="3"/>
      <c r="F540" s="7"/>
      <c r="G540" s="7"/>
      <c r="H540" s="7"/>
      <c r="I540" s="7"/>
      <c r="J540" s="7"/>
      <c r="K540" s="7"/>
      <c r="L540" s="81"/>
      <c r="N540" s="81"/>
      <c r="X540" s="7"/>
      <c r="Y540" s="7"/>
    </row>
    <row r="541" spans="1:25" ht="15">
      <c r="A541" s="3">
        <v>31</v>
      </c>
      <c r="B541" s="3"/>
      <c r="C541" s="3"/>
      <c r="F541" s="7" t="s">
        <v>129</v>
      </c>
      <c r="G541" s="7"/>
      <c r="H541" s="7"/>
      <c r="I541" s="155">
        <v>2.755</v>
      </c>
      <c r="J541" s="155">
        <f>IF(X541="","",X541)</f>
        <v>0.037</v>
      </c>
      <c r="K541" s="155">
        <f>I541+Y541</f>
        <v>2.792</v>
      </c>
      <c r="L541" s="156">
        <f>(K541-I541)</f>
        <v>0.03699999999999992</v>
      </c>
      <c r="N541" s="170">
        <f>L541/I541</f>
        <v>0.013430127041742259</v>
      </c>
      <c r="P541">
        <f>IF($Q$7=1,TEXT(I541,"0.000"),"")</f>
      </c>
      <c r="Q541">
        <f>IF($Q$7=1,TEXT(VALUE(K541),"0.000"),"")</f>
      </c>
      <c r="R541" s="166" t="str">
        <f>IF($Q$7=2,TEXT(VALUE(K541),"0.000"),"")</f>
        <v>2.792</v>
      </c>
      <c r="W541" s="12">
        <v>15</v>
      </c>
      <c r="X541" s="61">
        <f>WCEC3!J20</f>
        <v>0.037</v>
      </c>
      <c r="Y541" s="61">
        <f>SUM(X541:X541)</f>
        <v>0.037</v>
      </c>
    </row>
    <row r="542" spans="1:25" ht="15">
      <c r="A542" s="3">
        <v>32</v>
      </c>
      <c r="B542" s="3"/>
      <c r="C542" s="3"/>
      <c r="F542" s="7"/>
      <c r="G542" s="7"/>
      <c r="H542" s="7"/>
      <c r="I542" s="7"/>
      <c r="J542" s="7"/>
      <c r="K542" s="7"/>
      <c r="L542" s="88"/>
      <c r="N542" s="88"/>
      <c r="X542" s="7"/>
      <c r="Y542" s="7"/>
    </row>
    <row r="543" spans="1:14" ht="15">
      <c r="A543" s="3">
        <v>33</v>
      </c>
      <c r="B543" s="3"/>
      <c r="C543" s="3"/>
      <c r="F543" s="34" t="s">
        <v>136</v>
      </c>
      <c r="L543" s="88"/>
      <c r="N543" s="88"/>
    </row>
    <row r="544" spans="1:25" ht="15">
      <c r="A544" s="3">
        <v>34</v>
      </c>
      <c r="B544" s="3"/>
      <c r="C544" s="3"/>
      <c r="D544" s="41"/>
      <c r="E544" s="41"/>
      <c r="F544" s="5" t="s">
        <v>151</v>
      </c>
      <c r="I544" s="62"/>
      <c r="J544" s="62"/>
      <c r="K544" s="62" t="s">
        <v>152</v>
      </c>
      <c r="L544" s="84"/>
      <c r="N544" s="84"/>
      <c r="X544" s="62"/>
      <c r="Y544" s="62"/>
    </row>
    <row r="545" spans="1:14" ht="15">
      <c r="A545" s="3">
        <v>35</v>
      </c>
      <c r="B545" s="3"/>
      <c r="C545" s="3"/>
      <c r="D545" s="52" t="s">
        <v>153</v>
      </c>
      <c r="L545" s="81"/>
      <c r="N545" s="81"/>
    </row>
    <row r="546" spans="1:14" ht="15">
      <c r="A546" s="3">
        <v>36</v>
      </c>
      <c r="B546" s="3"/>
      <c r="C546" s="3"/>
      <c r="L546" s="81"/>
      <c r="N546" s="81"/>
    </row>
    <row r="547" spans="1:25" ht="15" thickBot="1">
      <c r="A547" s="3">
        <v>37</v>
      </c>
      <c r="B547" s="3"/>
      <c r="C547" s="3"/>
      <c r="D547" s="24" t="s">
        <v>154</v>
      </c>
      <c r="E547" s="24"/>
      <c r="F547" s="63" t="s">
        <v>155</v>
      </c>
      <c r="G547" s="63"/>
      <c r="H547" s="63"/>
      <c r="I547" s="63"/>
      <c r="J547" s="63"/>
      <c r="K547" s="63"/>
      <c r="L547" s="95"/>
      <c r="N547" s="95"/>
      <c r="X547" s="63"/>
      <c r="Y547" s="63"/>
    </row>
    <row r="548" spans="1:14" ht="15">
      <c r="A548" s="3">
        <v>38</v>
      </c>
      <c r="B548" s="3"/>
      <c r="C548" s="3"/>
      <c r="L548" s="81"/>
      <c r="N548" s="81"/>
    </row>
    <row r="549" spans="1:14" ht="15">
      <c r="A549" s="3">
        <v>39</v>
      </c>
      <c r="B549" s="3"/>
      <c r="C549" s="3"/>
      <c r="F549" s="51" t="s">
        <v>129</v>
      </c>
      <c r="K549" s="5" t="s">
        <v>156</v>
      </c>
      <c r="L549" s="81"/>
      <c r="N549" s="81"/>
    </row>
    <row r="550" spans="1:14" ht="15">
      <c r="A550" s="3">
        <v>40</v>
      </c>
      <c r="B550" s="3"/>
      <c r="C550" s="3"/>
      <c r="K550" s="5" t="s">
        <v>157</v>
      </c>
      <c r="L550" s="81"/>
      <c r="N550" s="81"/>
    </row>
    <row r="551" spans="1:14" ht="15">
      <c r="A551" s="3">
        <v>41</v>
      </c>
      <c r="B551" s="3"/>
      <c r="C551" s="3"/>
      <c r="L551" s="81"/>
      <c r="N551" s="81"/>
    </row>
    <row r="552" spans="1:14" ht="15">
      <c r="A552" s="3">
        <v>42</v>
      </c>
      <c r="B552" s="3"/>
      <c r="C552" s="3"/>
      <c r="F552" s="5" t="s">
        <v>118</v>
      </c>
      <c r="K552" s="5" t="s">
        <v>145</v>
      </c>
      <c r="L552" s="81"/>
      <c r="N552" s="81"/>
    </row>
    <row r="553" spans="1:14" ht="15">
      <c r="A553" s="3"/>
      <c r="C553" s="43"/>
      <c r="K553" s="5" t="s">
        <v>146</v>
      </c>
      <c r="L553" s="81"/>
      <c r="N553" s="81"/>
    </row>
    <row r="554" spans="1:25" ht="15" thickBot="1">
      <c r="A554" s="16"/>
      <c r="B554" s="3"/>
      <c r="C554" s="3"/>
      <c r="D554" s="41"/>
      <c r="E554" s="41"/>
      <c r="F554" s="41"/>
      <c r="G554" s="41"/>
      <c r="H554" s="41"/>
      <c r="I554" s="41"/>
      <c r="J554" s="41"/>
      <c r="K554" s="41"/>
      <c r="L554" s="84"/>
      <c r="M554" s="41"/>
      <c r="N554" s="84"/>
      <c r="O554" s="41"/>
      <c r="X554" s="41"/>
      <c r="Y554" s="41"/>
    </row>
    <row r="555" spans="1:25" ht="15">
      <c r="A555" s="45" t="s">
        <v>31</v>
      </c>
      <c r="B555" s="14"/>
      <c r="C555" s="14"/>
      <c r="D555" s="45"/>
      <c r="E555" s="45"/>
      <c r="F555" s="45"/>
      <c r="G555" s="45"/>
      <c r="H555" s="45"/>
      <c r="I555" s="45"/>
      <c r="J555" s="45"/>
      <c r="K555" s="45" t="s">
        <v>32</v>
      </c>
      <c r="L555" s="85"/>
      <c r="M555" s="45"/>
      <c r="N555" s="85"/>
      <c r="O555" s="1"/>
      <c r="X555" s="45"/>
      <c r="Y555" s="45"/>
    </row>
    <row r="556" spans="1:25" ht="15" thickBot="1">
      <c r="A556" s="18">
        <v>1</v>
      </c>
      <c r="D556" s="24" t="s">
        <v>158</v>
      </c>
      <c r="E556" s="24"/>
      <c r="F556" s="24" t="s">
        <v>159</v>
      </c>
      <c r="G556" s="24"/>
      <c r="H556" s="24"/>
      <c r="I556" s="24"/>
      <c r="J556" s="24"/>
      <c r="K556" s="24"/>
      <c r="L556" s="96"/>
      <c r="M556" s="41"/>
      <c r="N556" s="96"/>
      <c r="X556" s="24"/>
      <c r="Y556" s="24"/>
    </row>
    <row r="557" spans="1:14" ht="15">
      <c r="A557" s="18">
        <v>2</v>
      </c>
      <c r="F557" s="34" t="s">
        <v>101</v>
      </c>
      <c r="L557" s="81"/>
      <c r="M557" s="41"/>
      <c r="N557" s="81"/>
    </row>
    <row r="558" spans="1:14" ht="15">
      <c r="A558" s="18">
        <v>3</v>
      </c>
      <c r="F558" s="5" t="s">
        <v>102</v>
      </c>
      <c r="L558" s="81"/>
      <c r="M558" s="41"/>
      <c r="N558" s="81"/>
    </row>
    <row r="559" spans="1:25" ht="15">
      <c r="A559" s="18">
        <v>4</v>
      </c>
      <c r="F559" s="5" t="s">
        <v>268</v>
      </c>
      <c r="I559" s="39">
        <v>5.05</v>
      </c>
      <c r="J559" s="39">
        <f aca="true" t="shared" si="82" ref="J559:J567">IF(X559="","",X559)</f>
      </c>
      <c r="K559" s="39">
        <f aca="true" t="shared" si="83" ref="K559:K567">SUM(I559:J559)</f>
        <v>5.05</v>
      </c>
      <c r="L559" s="39">
        <f aca="true" t="shared" si="84" ref="L559:L567">(K559-I559)</f>
        <v>0</v>
      </c>
      <c r="M559" s="41"/>
      <c r="N559" s="170">
        <f aca="true" t="shared" si="85" ref="N559:N567">L559/I559</f>
        <v>0</v>
      </c>
      <c r="P559">
        <f aca="true" t="shared" si="86" ref="P559:P567">IF($Q$7=1,TEXT(I559,"0.00"),"")</f>
      </c>
      <c r="Q559">
        <f aca="true" t="shared" si="87" ref="Q559:Q567">IF($Q$7=1,TEXT(VALUE(K559),"0.00"),"")</f>
      </c>
      <c r="R559" s="166" t="str">
        <f aca="true" t="shared" si="88" ref="R559:R567">IF($Q$7=2,TEXT(VALUE(K559),"0.00"),"")</f>
        <v>5.05</v>
      </c>
      <c r="X559" s="39"/>
      <c r="Y559" s="39">
        <f aca="true" t="shared" si="89" ref="Y559:Y567">SUM(X559:X559)</f>
        <v>0</v>
      </c>
    </row>
    <row r="560" spans="1:25" ht="15">
      <c r="A560" s="18">
        <v>5</v>
      </c>
      <c r="F560" s="5" t="s">
        <v>103</v>
      </c>
      <c r="I560" s="39">
        <v>5.16</v>
      </c>
      <c r="J560" s="39">
        <f t="shared" si="82"/>
      </c>
      <c r="K560" s="39">
        <f t="shared" si="83"/>
        <v>5.16</v>
      </c>
      <c r="L560" s="39">
        <f t="shared" si="84"/>
        <v>0</v>
      </c>
      <c r="M560" s="41"/>
      <c r="N560" s="170">
        <f t="shared" si="85"/>
        <v>0</v>
      </c>
      <c r="P560">
        <f t="shared" si="86"/>
      </c>
      <c r="Q560">
        <f t="shared" si="87"/>
      </c>
      <c r="R560" s="166" t="str">
        <f t="shared" si="88"/>
        <v>5.16</v>
      </c>
      <c r="X560" s="39"/>
      <c r="Y560" s="39">
        <f t="shared" si="89"/>
        <v>0</v>
      </c>
    </row>
    <row r="561" spans="1:25" ht="15">
      <c r="A561" s="18">
        <v>6</v>
      </c>
      <c r="F561" s="5" t="s">
        <v>104</v>
      </c>
      <c r="I561" s="39">
        <v>5.34</v>
      </c>
      <c r="J561" s="39">
        <f t="shared" si="82"/>
      </c>
      <c r="K561" s="39">
        <f t="shared" si="83"/>
        <v>5.34</v>
      </c>
      <c r="L561" s="39">
        <f t="shared" si="84"/>
        <v>0</v>
      </c>
      <c r="M561" s="41"/>
      <c r="N561" s="170">
        <f t="shared" si="85"/>
        <v>0</v>
      </c>
      <c r="P561">
        <f t="shared" si="86"/>
      </c>
      <c r="Q561">
        <f t="shared" si="87"/>
      </c>
      <c r="R561" s="166" t="str">
        <f t="shared" si="88"/>
        <v>5.34</v>
      </c>
      <c r="X561" s="39"/>
      <c r="Y561" s="39">
        <f t="shared" si="89"/>
        <v>0</v>
      </c>
    </row>
    <row r="562" spans="1:25" ht="15">
      <c r="A562" s="18">
        <v>7</v>
      </c>
      <c r="F562" s="5" t="s">
        <v>105</v>
      </c>
      <c r="I562" s="39">
        <v>7.77</v>
      </c>
      <c r="J562" s="39">
        <f t="shared" si="82"/>
      </c>
      <c r="K562" s="39">
        <f t="shared" si="83"/>
        <v>7.77</v>
      </c>
      <c r="L562" s="39">
        <f t="shared" si="84"/>
        <v>0</v>
      </c>
      <c r="M562" s="41"/>
      <c r="N562" s="170">
        <f t="shared" si="85"/>
        <v>0</v>
      </c>
      <c r="P562">
        <f t="shared" si="86"/>
      </c>
      <c r="Q562">
        <f t="shared" si="87"/>
      </c>
      <c r="R562" s="166" t="str">
        <f t="shared" si="88"/>
        <v>7.77</v>
      </c>
      <c r="X562" s="39"/>
      <c r="Y562" s="39">
        <f t="shared" si="89"/>
        <v>0</v>
      </c>
    </row>
    <row r="563" spans="1:25" ht="15">
      <c r="A563" s="18">
        <v>8</v>
      </c>
      <c r="F563" s="5" t="s">
        <v>106</v>
      </c>
      <c r="I563" s="39">
        <v>8.27</v>
      </c>
      <c r="J563" s="39">
        <f t="shared" si="82"/>
      </c>
      <c r="K563" s="39">
        <f t="shared" si="83"/>
        <v>8.27</v>
      </c>
      <c r="L563" s="39">
        <f t="shared" si="84"/>
        <v>0</v>
      </c>
      <c r="M563" s="41"/>
      <c r="N563" s="170">
        <f t="shared" si="85"/>
        <v>0</v>
      </c>
      <c r="P563">
        <f t="shared" si="86"/>
      </c>
      <c r="Q563">
        <f t="shared" si="87"/>
      </c>
      <c r="R563" s="166" t="str">
        <f t="shared" si="88"/>
        <v>8.27</v>
      </c>
      <c r="X563" s="39"/>
      <c r="Y563" s="39">
        <f t="shared" si="89"/>
        <v>0</v>
      </c>
    </row>
    <row r="564" spans="1:25" ht="15">
      <c r="A564" s="18">
        <v>9</v>
      </c>
      <c r="E564" s="18" t="s">
        <v>107</v>
      </c>
      <c r="F564" s="5" t="s">
        <v>160</v>
      </c>
      <c r="I564" s="39">
        <v>5.74</v>
      </c>
      <c r="J564" s="39">
        <f t="shared" si="82"/>
      </c>
      <c r="K564" s="39">
        <f t="shared" si="83"/>
        <v>5.74</v>
      </c>
      <c r="L564" s="39">
        <f t="shared" si="84"/>
        <v>0</v>
      </c>
      <c r="M564" s="41"/>
      <c r="N564" s="170">
        <f t="shared" si="85"/>
        <v>0</v>
      </c>
      <c r="P564">
        <f t="shared" si="86"/>
      </c>
      <c r="Q564">
        <f t="shared" si="87"/>
      </c>
      <c r="R564" s="166" t="str">
        <f t="shared" si="88"/>
        <v>5.74</v>
      </c>
      <c r="X564" s="39"/>
      <c r="Y564" s="39">
        <f t="shared" si="89"/>
        <v>0</v>
      </c>
    </row>
    <row r="565" spans="1:25" ht="15">
      <c r="A565" s="18">
        <v>10</v>
      </c>
      <c r="E565" s="18" t="s">
        <v>107</v>
      </c>
      <c r="F565" s="5" t="s">
        <v>111</v>
      </c>
      <c r="I565" s="39">
        <v>3.88</v>
      </c>
      <c r="J565" s="39">
        <f t="shared" si="82"/>
      </c>
      <c r="K565" s="39">
        <f t="shared" si="83"/>
        <v>3.88</v>
      </c>
      <c r="L565" s="39">
        <f t="shared" si="84"/>
        <v>0</v>
      </c>
      <c r="M565" s="41"/>
      <c r="N565" s="170">
        <f t="shared" si="85"/>
        <v>0</v>
      </c>
      <c r="P565">
        <f t="shared" si="86"/>
      </c>
      <c r="Q565">
        <f t="shared" si="87"/>
      </c>
      <c r="R565" s="166" t="str">
        <f t="shared" si="88"/>
        <v>3.88</v>
      </c>
      <c r="X565" s="39"/>
      <c r="Y565" s="39">
        <f t="shared" si="89"/>
        <v>0</v>
      </c>
    </row>
    <row r="566" spans="1:25" ht="15">
      <c r="A566" s="18">
        <v>11</v>
      </c>
      <c r="E566" s="18" t="s">
        <v>107</v>
      </c>
      <c r="F566" s="5" t="s">
        <v>112</v>
      </c>
      <c r="I566" s="39">
        <v>3.9</v>
      </c>
      <c r="J566" s="39">
        <f t="shared" si="82"/>
      </c>
      <c r="K566" s="39">
        <f t="shared" si="83"/>
        <v>3.9</v>
      </c>
      <c r="L566" s="39">
        <f t="shared" si="84"/>
        <v>0</v>
      </c>
      <c r="M566" s="41"/>
      <c r="N566" s="170">
        <f t="shared" si="85"/>
        <v>0</v>
      </c>
      <c r="P566">
        <f t="shared" si="86"/>
      </c>
      <c r="Q566">
        <f t="shared" si="87"/>
      </c>
      <c r="R566" s="166" t="str">
        <f t="shared" si="88"/>
        <v>3.90</v>
      </c>
      <c r="X566" s="39"/>
      <c r="Y566" s="39">
        <f t="shared" si="89"/>
        <v>0</v>
      </c>
    </row>
    <row r="567" spans="1:25" ht="15">
      <c r="A567" s="18">
        <v>12</v>
      </c>
      <c r="E567" s="18" t="s">
        <v>107</v>
      </c>
      <c r="F567" s="5" t="s">
        <v>114</v>
      </c>
      <c r="I567" s="39">
        <v>6.39</v>
      </c>
      <c r="J567" s="39">
        <f t="shared" si="82"/>
      </c>
      <c r="K567" s="39">
        <f t="shared" si="83"/>
        <v>6.39</v>
      </c>
      <c r="L567" s="39">
        <f t="shared" si="84"/>
        <v>0</v>
      </c>
      <c r="M567" s="41"/>
      <c r="N567" s="170">
        <f t="shared" si="85"/>
        <v>0</v>
      </c>
      <c r="P567">
        <f t="shared" si="86"/>
      </c>
      <c r="Q567">
        <f t="shared" si="87"/>
      </c>
      <c r="R567" s="166" t="str">
        <f t="shared" si="88"/>
        <v>6.39</v>
      </c>
      <c r="X567" s="39"/>
      <c r="Y567" s="39">
        <f t="shared" si="89"/>
        <v>0</v>
      </c>
    </row>
    <row r="568" spans="1:14" ht="15">
      <c r="A568" s="18">
        <v>13</v>
      </c>
      <c r="L568" s="81"/>
      <c r="M568" s="41"/>
      <c r="N568" s="81"/>
    </row>
    <row r="569" spans="1:15" ht="15">
      <c r="A569" s="18">
        <v>14</v>
      </c>
      <c r="F569" s="5" t="s">
        <v>118</v>
      </c>
      <c r="L569" s="81"/>
      <c r="M569" s="41"/>
      <c r="N569" s="81"/>
      <c r="O569" s="41"/>
    </row>
    <row r="570" spans="1:25" ht="15">
      <c r="A570" s="18">
        <v>15</v>
      </c>
      <c r="F570" s="5" t="s">
        <v>268</v>
      </c>
      <c r="I570" s="39">
        <v>1.85</v>
      </c>
      <c r="J570" s="39">
        <f aca="true" t="shared" si="90" ref="J570:J578">IF(X570="","",X570)</f>
      </c>
      <c r="K570" s="39">
        <f aca="true" t="shared" si="91" ref="K570:K578">SUM(I570:J570)</f>
        <v>1.85</v>
      </c>
      <c r="L570" s="39">
        <f aca="true" t="shared" si="92" ref="L570:L578">(K570-I570)</f>
        <v>0</v>
      </c>
      <c r="M570" s="41"/>
      <c r="N570" s="170">
        <f aca="true" t="shared" si="93" ref="N570:N578">L570/I570</f>
        <v>0</v>
      </c>
      <c r="O570" s="41"/>
      <c r="P570">
        <f aca="true" t="shared" si="94" ref="P570:P578">IF($Q$7=1,TEXT(I570,"0.00"),"")</f>
      </c>
      <c r="Q570">
        <f aca="true" t="shared" si="95" ref="Q570:Q578">IF($Q$7=1,TEXT(VALUE(K570),"0.00"),"")</f>
      </c>
      <c r="R570" s="166" t="str">
        <f aca="true" t="shared" si="96" ref="R570:R578">IF($Q$7=2,TEXT(VALUE(K570),"0.00"),"")</f>
        <v>1.85</v>
      </c>
      <c r="X570" s="39"/>
      <c r="Y570" s="39">
        <f aca="true" t="shared" si="97" ref="Y570:Y578">SUM(X570:X570)</f>
        <v>0</v>
      </c>
    </row>
    <row r="571" spans="1:25" ht="15">
      <c r="A571" s="18">
        <v>16</v>
      </c>
      <c r="F571" s="5" t="s">
        <v>103</v>
      </c>
      <c r="I571" s="39">
        <v>1.85</v>
      </c>
      <c r="J571" s="39">
        <f t="shared" si="90"/>
      </c>
      <c r="K571" s="39">
        <f t="shared" si="91"/>
        <v>1.85</v>
      </c>
      <c r="L571" s="39">
        <f t="shared" si="92"/>
        <v>0</v>
      </c>
      <c r="M571" s="41"/>
      <c r="N571" s="170">
        <f t="shared" si="93"/>
        <v>0</v>
      </c>
      <c r="O571" s="41"/>
      <c r="P571">
        <f t="shared" si="94"/>
      </c>
      <c r="Q571">
        <f t="shared" si="95"/>
      </c>
      <c r="R571" s="166" t="str">
        <f t="shared" si="96"/>
        <v>1.85</v>
      </c>
      <c r="X571" s="39"/>
      <c r="Y571" s="39">
        <f t="shared" si="97"/>
        <v>0</v>
      </c>
    </row>
    <row r="572" spans="1:25" ht="15">
      <c r="A572" s="18">
        <v>17</v>
      </c>
      <c r="F572" s="5" t="s">
        <v>104</v>
      </c>
      <c r="I572" s="39">
        <v>1.88</v>
      </c>
      <c r="J572" s="39">
        <f t="shared" si="90"/>
      </c>
      <c r="K572" s="39">
        <f t="shared" si="91"/>
        <v>1.88</v>
      </c>
      <c r="L572" s="39">
        <f t="shared" si="92"/>
        <v>0</v>
      </c>
      <c r="M572" s="41"/>
      <c r="N572" s="170">
        <f t="shared" si="93"/>
        <v>0</v>
      </c>
      <c r="O572" s="41"/>
      <c r="P572">
        <f t="shared" si="94"/>
      </c>
      <c r="Q572">
        <f t="shared" si="95"/>
      </c>
      <c r="R572" s="166" t="str">
        <f t="shared" si="96"/>
        <v>1.88</v>
      </c>
      <c r="X572" s="39"/>
      <c r="Y572" s="39">
        <f t="shared" si="97"/>
        <v>0</v>
      </c>
    </row>
    <row r="573" spans="1:25" ht="15">
      <c r="A573" s="18">
        <v>18</v>
      </c>
      <c r="F573" s="5" t="s">
        <v>105</v>
      </c>
      <c r="I573" s="39">
        <v>2.43</v>
      </c>
      <c r="J573" s="39">
        <f t="shared" si="90"/>
      </c>
      <c r="K573" s="39">
        <f t="shared" si="91"/>
        <v>2.43</v>
      </c>
      <c r="L573" s="39">
        <f t="shared" si="92"/>
        <v>0</v>
      </c>
      <c r="M573" s="41"/>
      <c r="N573" s="170">
        <f t="shared" si="93"/>
        <v>0</v>
      </c>
      <c r="O573" s="41"/>
      <c r="P573">
        <f t="shared" si="94"/>
      </c>
      <c r="Q573">
        <f t="shared" si="95"/>
      </c>
      <c r="R573" s="166" t="str">
        <f t="shared" si="96"/>
        <v>2.43</v>
      </c>
      <c r="X573" s="39"/>
      <c r="Y573" s="39">
        <f t="shared" si="97"/>
        <v>0</v>
      </c>
    </row>
    <row r="574" spans="1:25" ht="15">
      <c r="A574" s="18">
        <v>19</v>
      </c>
      <c r="F574" s="5" t="s">
        <v>106</v>
      </c>
      <c r="I574" s="39">
        <v>2.39</v>
      </c>
      <c r="J574" s="39">
        <f t="shared" si="90"/>
      </c>
      <c r="K574" s="39">
        <f t="shared" si="91"/>
        <v>2.39</v>
      </c>
      <c r="L574" s="39">
        <f t="shared" si="92"/>
        <v>0</v>
      </c>
      <c r="M574" s="41"/>
      <c r="N574" s="170">
        <f t="shared" si="93"/>
        <v>0</v>
      </c>
      <c r="O574" s="41"/>
      <c r="P574">
        <f t="shared" si="94"/>
      </c>
      <c r="Q574">
        <f t="shared" si="95"/>
      </c>
      <c r="R574" s="166" t="str">
        <f t="shared" si="96"/>
        <v>2.39</v>
      </c>
      <c r="X574" s="39"/>
      <c r="Y574" s="39">
        <f t="shared" si="97"/>
        <v>0</v>
      </c>
    </row>
    <row r="575" spans="1:25" ht="15">
      <c r="A575" s="18">
        <v>20</v>
      </c>
      <c r="E575" s="18" t="s">
        <v>107</v>
      </c>
      <c r="F575" s="5" t="s">
        <v>160</v>
      </c>
      <c r="I575" s="39">
        <v>2.15</v>
      </c>
      <c r="J575" s="39">
        <f t="shared" si="90"/>
      </c>
      <c r="K575" s="39">
        <f t="shared" si="91"/>
        <v>2.15</v>
      </c>
      <c r="L575" s="39">
        <f t="shared" si="92"/>
        <v>0</v>
      </c>
      <c r="M575" s="41"/>
      <c r="N575" s="170">
        <f t="shared" si="93"/>
        <v>0</v>
      </c>
      <c r="O575" s="41"/>
      <c r="P575">
        <f t="shared" si="94"/>
      </c>
      <c r="Q575">
        <f t="shared" si="95"/>
      </c>
      <c r="R575" s="166" t="str">
        <f t="shared" si="96"/>
        <v>2.15</v>
      </c>
      <c r="X575" s="39"/>
      <c r="Y575" s="39">
        <f t="shared" si="97"/>
        <v>0</v>
      </c>
    </row>
    <row r="576" spans="1:25" ht="15">
      <c r="A576" s="18">
        <v>21</v>
      </c>
      <c r="E576" s="18" t="s">
        <v>107</v>
      </c>
      <c r="F576" s="5" t="s">
        <v>111</v>
      </c>
      <c r="I576" s="39">
        <v>1.66</v>
      </c>
      <c r="J576" s="39">
        <f t="shared" si="90"/>
      </c>
      <c r="K576" s="39">
        <f t="shared" si="91"/>
        <v>1.66</v>
      </c>
      <c r="L576" s="39">
        <f t="shared" si="92"/>
        <v>0</v>
      </c>
      <c r="M576" s="41"/>
      <c r="N576" s="170">
        <f t="shared" si="93"/>
        <v>0</v>
      </c>
      <c r="O576" s="41"/>
      <c r="P576">
        <f t="shared" si="94"/>
      </c>
      <c r="Q576">
        <f t="shared" si="95"/>
      </c>
      <c r="R576" s="166" t="str">
        <f t="shared" si="96"/>
        <v>1.66</v>
      </c>
      <c r="X576" s="39"/>
      <c r="Y576" s="39">
        <f t="shared" si="97"/>
        <v>0</v>
      </c>
    </row>
    <row r="577" spans="1:25" ht="15">
      <c r="A577" s="18">
        <v>22</v>
      </c>
      <c r="E577" s="18" t="s">
        <v>107</v>
      </c>
      <c r="F577" s="5" t="s">
        <v>112</v>
      </c>
      <c r="I577" s="39">
        <v>1.66</v>
      </c>
      <c r="J577" s="39">
        <f t="shared" si="90"/>
      </c>
      <c r="K577" s="39">
        <f t="shared" si="91"/>
        <v>1.66</v>
      </c>
      <c r="L577" s="39">
        <f t="shared" si="92"/>
        <v>0</v>
      </c>
      <c r="M577" s="41"/>
      <c r="N577" s="170">
        <f t="shared" si="93"/>
        <v>0</v>
      </c>
      <c r="O577" s="41"/>
      <c r="P577">
        <f t="shared" si="94"/>
      </c>
      <c r="Q577">
        <f t="shared" si="95"/>
      </c>
      <c r="R577" s="166" t="str">
        <f t="shared" si="96"/>
        <v>1.66</v>
      </c>
      <c r="X577" s="39"/>
      <c r="Y577" s="39">
        <f t="shared" si="97"/>
        <v>0</v>
      </c>
    </row>
    <row r="578" spans="1:25" ht="15">
      <c r="A578" s="18">
        <v>23</v>
      </c>
      <c r="E578" s="18" t="s">
        <v>107</v>
      </c>
      <c r="F578" s="5" t="s">
        <v>114</v>
      </c>
      <c r="I578" s="39">
        <v>2.34</v>
      </c>
      <c r="J578" s="39">
        <f t="shared" si="90"/>
      </c>
      <c r="K578" s="39">
        <f t="shared" si="91"/>
        <v>2.34</v>
      </c>
      <c r="L578" s="39">
        <f t="shared" si="92"/>
        <v>0</v>
      </c>
      <c r="M578" s="41"/>
      <c r="N578" s="170">
        <f t="shared" si="93"/>
        <v>0</v>
      </c>
      <c r="O578" s="41"/>
      <c r="P578">
        <f t="shared" si="94"/>
      </c>
      <c r="Q578">
        <f t="shared" si="95"/>
      </c>
      <c r="R578" s="166" t="str">
        <f t="shared" si="96"/>
        <v>2.34</v>
      </c>
      <c r="X578" s="39"/>
      <c r="Y578" s="39">
        <f t="shared" si="97"/>
        <v>0</v>
      </c>
    </row>
    <row r="579" spans="1:34" ht="15">
      <c r="A579" s="18">
        <v>24</v>
      </c>
      <c r="I579" s="57"/>
      <c r="J579" s="57"/>
      <c r="K579" s="57"/>
      <c r="L579" s="81"/>
      <c r="M579" s="41"/>
      <c r="N579" s="81"/>
      <c r="X579" s="57"/>
      <c r="Y579" s="57"/>
      <c r="Z579" s="153" t="s">
        <v>270</v>
      </c>
      <c r="AA579" s="153"/>
      <c r="AB579" s="153"/>
      <c r="AC579" s="153"/>
      <c r="AE579" s="153" t="s">
        <v>272</v>
      </c>
      <c r="AF579" s="153"/>
      <c r="AG579" s="153"/>
      <c r="AH579" s="153"/>
    </row>
    <row r="580" spans="1:35" ht="15">
      <c r="A580" s="18">
        <v>25</v>
      </c>
      <c r="F580" s="5" t="s">
        <v>119</v>
      </c>
      <c r="H580" s="5" t="s">
        <v>243</v>
      </c>
      <c r="I580" s="57"/>
      <c r="J580" s="57"/>
      <c r="K580" s="57"/>
      <c r="L580" s="81"/>
      <c r="M580" s="41"/>
      <c r="N580" s="81"/>
      <c r="S580" s="109" t="s">
        <v>161</v>
      </c>
      <c r="T580" s="109"/>
      <c r="U580" s="109"/>
      <c r="X580" s="57"/>
      <c r="Y580" s="57"/>
      <c r="Z580" s="80" t="s">
        <v>243</v>
      </c>
      <c r="AA580" s="80" t="s">
        <v>244</v>
      </c>
      <c r="AB580" s="80" t="s">
        <v>245</v>
      </c>
      <c r="AC580" s="80" t="s">
        <v>246</v>
      </c>
      <c r="AE580" s="80" t="s">
        <v>243</v>
      </c>
      <c r="AF580" s="80" t="s">
        <v>244</v>
      </c>
      <c r="AG580" s="80" t="s">
        <v>245</v>
      </c>
      <c r="AH580" s="80" t="s">
        <v>279</v>
      </c>
      <c r="AI580" s="7" t="s">
        <v>273</v>
      </c>
    </row>
    <row r="581" spans="1:36" ht="15">
      <c r="A581" s="18">
        <v>26</v>
      </c>
      <c r="F581" s="5" t="s">
        <v>268</v>
      </c>
      <c r="H581" s="5">
        <v>29</v>
      </c>
      <c r="I581" s="39">
        <v>0.81</v>
      </c>
      <c r="J581" s="182" t="str">
        <f>+"Note:  The monthly Energy Non-Fuel charge is calculated by multiplying the kWh rating for each fixture by the Non-Fuel Energy Rate of "&amp;TEXT(K$625,"0.000")&amp;" ¢/kWh.  This avoids rounding issues caused by seperating the increases into the various components"</f>
        <v>Note:  The monthly Energy Non-Fuel charge is calculated by multiplying the kWh rating for each fixture by the Non-Fuel Energy Rate of 2.817 ¢/kWh.  This avoids rounding issues caused by seperating the increases into the various components</v>
      </c>
      <c r="K581" s="39">
        <f aca="true" t="shared" si="98" ref="K581:K589">ROUND(H581*K$625/100,2)</f>
        <v>0.82</v>
      </c>
      <c r="L581" s="39">
        <f aca="true" t="shared" si="99" ref="L581:L589">(K581-I581)</f>
        <v>0.009999999999999898</v>
      </c>
      <c r="M581" s="41"/>
      <c r="N581" s="170">
        <f aca="true" t="shared" si="100" ref="N581:N589">L581/I581</f>
        <v>0.012345679012345552</v>
      </c>
      <c r="P581">
        <f aca="true" t="shared" si="101" ref="P581:P589">IF($Q$7=1,TEXT(I581,"0.00"),"")</f>
      </c>
      <c r="Q581">
        <f aca="true" t="shared" si="102" ref="Q581:Q589">IF($Q$7=1,TEXT(VALUE(K581),"0.00"),"")</f>
      </c>
      <c r="R581" s="166" t="str">
        <f aca="true" t="shared" si="103" ref="R581:R589">IF($Q$7=2,TEXT(VALUE(K581),"0.00"),"")</f>
        <v>0.82</v>
      </c>
      <c r="S581" s="29">
        <f aca="true" t="shared" si="104" ref="S581:S589">IF($Q$7=1,TEXT((I581+I570+I559),"0.00"),"")</f>
      </c>
      <c r="T581" s="30">
        <f aca="true" t="shared" si="105" ref="T581:T589">IF($Q$7=1,TEXT(VALUE(K581+K570+K559),"0.00"),"")</f>
      </c>
      <c r="U581" s="31" t="str">
        <f aca="true" t="shared" si="106" ref="U581:U589">IF($Q$7=2,TEXT(VALUE(K581+K570+K559),"0.00"),"")</f>
        <v>7.72</v>
      </c>
      <c r="X581" s="75">
        <f>+AC581</f>
        <v>0.01</v>
      </c>
      <c r="Y581" s="75">
        <f aca="true" t="shared" si="107" ref="Y581:Y589">SUM(X581:X581)</f>
        <v>0.01</v>
      </c>
      <c r="Z581" s="64">
        <v>29</v>
      </c>
      <c r="AA581" s="12">
        <v>15</v>
      </c>
      <c r="AB581" s="180">
        <f>$J$625</f>
        <v>0.037</v>
      </c>
      <c r="AC581" s="64">
        <f aca="true" t="shared" si="108" ref="AC581:AC589">ROUND(AB581/100*Z581,2)</f>
        <v>0.01</v>
      </c>
      <c r="AE581" s="64">
        <v>29</v>
      </c>
      <c r="AF581" s="12">
        <v>15</v>
      </c>
      <c r="AG581" s="38">
        <f aca="true" t="shared" si="109" ref="AG581:AG589">K$625</f>
        <v>2.8169999999999997</v>
      </c>
      <c r="AH581" s="160">
        <f aca="true" t="shared" si="110" ref="AH581:AH589">ROUND(AG581/100*AE581,2)</f>
        <v>0.82</v>
      </c>
      <c r="AI581" s="49">
        <f aca="true" t="shared" si="111" ref="AI581:AI589">I581+Y581-AH581</f>
        <v>0</v>
      </c>
      <c r="AJ581" s="7" t="b">
        <f aca="true" t="shared" si="112" ref="AJ581:AJ589">K581=AH581</f>
        <v>1</v>
      </c>
    </row>
    <row r="582" spans="1:36" ht="15">
      <c r="A582" s="18">
        <v>27</v>
      </c>
      <c r="F582" s="5" t="s">
        <v>103</v>
      </c>
      <c r="H582" s="5">
        <v>41</v>
      </c>
      <c r="I582" s="39">
        <v>1.14</v>
      </c>
      <c r="J582" s="182"/>
      <c r="K582" s="39">
        <f t="shared" si="98"/>
        <v>1.15</v>
      </c>
      <c r="L582" s="39">
        <f t="shared" si="99"/>
        <v>0.010000000000000009</v>
      </c>
      <c r="M582" s="41"/>
      <c r="N582" s="170">
        <f t="shared" si="100"/>
        <v>0.008771929824561412</v>
      </c>
      <c r="P582">
        <f t="shared" si="101"/>
      </c>
      <c r="Q582">
        <f t="shared" si="102"/>
      </c>
      <c r="R582" s="166" t="str">
        <f t="shared" si="103"/>
        <v>1.15</v>
      </c>
      <c r="S582" s="29">
        <f t="shared" si="104"/>
      </c>
      <c r="T582" s="30">
        <f t="shared" si="105"/>
      </c>
      <c r="U582" s="31" t="str">
        <f t="shared" si="106"/>
        <v>8.16</v>
      </c>
      <c r="X582" s="75">
        <f aca="true" t="shared" si="113" ref="X582:X589">+AC582</f>
        <v>0.02</v>
      </c>
      <c r="Y582" s="75">
        <f t="shared" si="107"/>
        <v>0.02</v>
      </c>
      <c r="Z582" s="64">
        <v>41</v>
      </c>
      <c r="AA582" s="12">
        <v>15</v>
      </c>
      <c r="AB582" s="180">
        <f aca="true" t="shared" si="114" ref="AB582:AB589">$J$625</f>
        <v>0.037</v>
      </c>
      <c r="AC582" s="64">
        <f t="shared" si="108"/>
        <v>0.02</v>
      </c>
      <c r="AE582" s="64">
        <v>41</v>
      </c>
      <c r="AF582" s="12">
        <v>15</v>
      </c>
      <c r="AG582" s="38">
        <f t="shared" si="109"/>
        <v>2.8169999999999997</v>
      </c>
      <c r="AH582" s="160">
        <f t="shared" si="110"/>
        <v>1.15</v>
      </c>
      <c r="AI582" s="49">
        <f t="shared" si="111"/>
        <v>0.010000000000000009</v>
      </c>
      <c r="AJ582" s="7" t="b">
        <f t="shared" si="112"/>
        <v>1</v>
      </c>
    </row>
    <row r="583" spans="1:36" ht="15">
      <c r="A583" s="18">
        <v>28</v>
      </c>
      <c r="F583" s="5" t="s">
        <v>104</v>
      </c>
      <c r="H583" s="5">
        <v>60</v>
      </c>
      <c r="I583" s="39">
        <v>1.67</v>
      </c>
      <c r="J583" s="182"/>
      <c r="K583" s="39">
        <f t="shared" si="98"/>
        <v>1.69</v>
      </c>
      <c r="L583" s="39">
        <f t="shared" si="99"/>
        <v>0.020000000000000018</v>
      </c>
      <c r="M583" s="41"/>
      <c r="N583" s="170">
        <f t="shared" si="100"/>
        <v>0.011976047904191628</v>
      </c>
      <c r="P583">
        <f t="shared" si="101"/>
      </c>
      <c r="Q583">
        <f t="shared" si="102"/>
      </c>
      <c r="R583" s="166" t="str">
        <f t="shared" si="103"/>
        <v>1.69</v>
      </c>
      <c r="S583" s="29">
        <f t="shared" si="104"/>
      </c>
      <c r="T583" s="30">
        <f t="shared" si="105"/>
      </c>
      <c r="U583" s="31" t="str">
        <f t="shared" si="106"/>
        <v>8.91</v>
      </c>
      <c r="X583" s="75">
        <f t="shared" si="113"/>
        <v>0.02</v>
      </c>
      <c r="Y583" s="75">
        <f t="shared" si="107"/>
        <v>0.02</v>
      </c>
      <c r="Z583" s="64">
        <v>60</v>
      </c>
      <c r="AA583" s="12">
        <v>15</v>
      </c>
      <c r="AB583" s="180">
        <f t="shared" si="114"/>
        <v>0.037</v>
      </c>
      <c r="AC583" s="64">
        <f t="shared" si="108"/>
        <v>0.02</v>
      </c>
      <c r="AE583" s="64">
        <v>60</v>
      </c>
      <c r="AF583" s="12">
        <v>15</v>
      </c>
      <c r="AG583" s="38">
        <f t="shared" si="109"/>
        <v>2.8169999999999997</v>
      </c>
      <c r="AH583" s="160">
        <f t="shared" si="110"/>
        <v>1.69</v>
      </c>
      <c r="AI583" s="49">
        <f t="shared" si="111"/>
        <v>0</v>
      </c>
      <c r="AJ583" s="7" t="b">
        <f t="shared" si="112"/>
        <v>1</v>
      </c>
    </row>
    <row r="584" spans="1:36" ht="15">
      <c r="A584" s="18">
        <v>29</v>
      </c>
      <c r="F584" s="5" t="s">
        <v>105</v>
      </c>
      <c r="H584" s="5">
        <v>88</v>
      </c>
      <c r="I584" s="39">
        <v>2.45</v>
      </c>
      <c r="J584" s="182"/>
      <c r="K584" s="39">
        <f t="shared" si="98"/>
        <v>2.48</v>
      </c>
      <c r="L584" s="39">
        <f t="shared" si="99"/>
        <v>0.029999999999999805</v>
      </c>
      <c r="M584" s="41"/>
      <c r="N584" s="170">
        <f t="shared" si="100"/>
        <v>0.012244897959183593</v>
      </c>
      <c r="P584">
        <f t="shared" si="101"/>
      </c>
      <c r="Q584">
        <f t="shared" si="102"/>
      </c>
      <c r="R584" s="166" t="str">
        <f t="shared" si="103"/>
        <v>2.48</v>
      </c>
      <c r="S584" s="29">
        <f t="shared" si="104"/>
      </c>
      <c r="T584" s="30">
        <f t="shared" si="105"/>
      </c>
      <c r="U584" s="31" t="str">
        <f t="shared" si="106"/>
        <v>12.68</v>
      </c>
      <c r="X584" s="75">
        <f t="shared" si="113"/>
        <v>0.03</v>
      </c>
      <c r="Y584" s="75">
        <f t="shared" si="107"/>
        <v>0.03</v>
      </c>
      <c r="Z584" s="64">
        <v>88</v>
      </c>
      <c r="AA584" s="12">
        <v>15</v>
      </c>
      <c r="AB584" s="180">
        <f t="shared" si="114"/>
        <v>0.037</v>
      </c>
      <c r="AC584" s="64">
        <f t="shared" si="108"/>
        <v>0.03</v>
      </c>
      <c r="AE584" s="64">
        <v>88</v>
      </c>
      <c r="AF584" s="12">
        <v>15</v>
      </c>
      <c r="AG584" s="38">
        <f t="shared" si="109"/>
        <v>2.8169999999999997</v>
      </c>
      <c r="AH584" s="160">
        <f t="shared" si="110"/>
        <v>2.48</v>
      </c>
      <c r="AI584" s="49">
        <f t="shared" si="111"/>
        <v>0</v>
      </c>
      <c r="AJ584" s="7" t="b">
        <f t="shared" si="112"/>
        <v>1</v>
      </c>
    </row>
    <row r="585" spans="1:36" ht="15">
      <c r="A585" s="18">
        <v>30</v>
      </c>
      <c r="F585" s="5" t="s">
        <v>106</v>
      </c>
      <c r="H585" s="5">
        <v>168</v>
      </c>
      <c r="I585" s="39">
        <v>4.67</v>
      </c>
      <c r="J585" s="182"/>
      <c r="K585" s="39">
        <f t="shared" si="98"/>
        <v>4.73</v>
      </c>
      <c r="L585" s="39">
        <f t="shared" si="99"/>
        <v>0.0600000000000005</v>
      </c>
      <c r="M585" s="41"/>
      <c r="N585" s="170">
        <f t="shared" si="100"/>
        <v>0.012847965738758137</v>
      </c>
      <c r="P585">
        <f t="shared" si="101"/>
      </c>
      <c r="Q585">
        <f t="shared" si="102"/>
      </c>
      <c r="R585" s="166" t="str">
        <f t="shared" si="103"/>
        <v>4.73</v>
      </c>
      <c r="S585" s="29">
        <f t="shared" si="104"/>
      </c>
      <c r="T585" s="30">
        <f t="shared" si="105"/>
      </c>
      <c r="U585" s="31" t="str">
        <f t="shared" si="106"/>
        <v>15.39</v>
      </c>
      <c r="X585" s="75">
        <f t="shared" si="113"/>
        <v>0.06</v>
      </c>
      <c r="Y585" s="75">
        <f t="shared" si="107"/>
        <v>0.06</v>
      </c>
      <c r="Z585" s="64">
        <v>168</v>
      </c>
      <c r="AA585" s="12">
        <v>15</v>
      </c>
      <c r="AB585" s="180">
        <f t="shared" si="114"/>
        <v>0.037</v>
      </c>
      <c r="AC585" s="64">
        <f t="shared" si="108"/>
        <v>0.06</v>
      </c>
      <c r="AE585" s="64">
        <v>168</v>
      </c>
      <c r="AF585" s="12">
        <v>15</v>
      </c>
      <c r="AG585" s="38">
        <f t="shared" si="109"/>
        <v>2.8169999999999997</v>
      </c>
      <c r="AH585" s="160">
        <f t="shared" si="110"/>
        <v>4.73</v>
      </c>
      <c r="AI585" s="49">
        <f t="shared" si="111"/>
        <v>0</v>
      </c>
      <c r="AJ585" s="7" t="b">
        <f t="shared" si="112"/>
        <v>1</v>
      </c>
    </row>
    <row r="586" spans="1:36" ht="15">
      <c r="A586" s="18">
        <v>31</v>
      </c>
      <c r="E586" s="18" t="s">
        <v>107</v>
      </c>
      <c r="F586" s="5" t="s">
        <v>160</v>
      </c>
      <c r="H586" s="5">
        <v>60</v>
      </c>
      <c r="I586" s="39">
        <v>1.67</v>
      </c>
      <c r="J586" s="182"/>
      <c r="K586" s="39">
        <f t="shared" si="98"/>
        <v>1.69</v>
      </c>
      <c r="L586" s="39">
        <f t="shared" si="99"/>
        <v>0.020000000000000018</v>
      </c>
      <c r="M586" s="41"/>
      <c r="N586" s="170">
        <f t="shared" si="100"/>
        <v>0.011976047904191628</v>
      </c>
      <c r="P586">
        <f t="shared" si="101"/>
      </c>
      <c r="Q586">
        <f t="shared" si="102"/>
      </c>
      <c r="R586" s="166" t="str">
        <f t="shared" si="103"/>
        <v>1.69</v>
      </c>
      <c r="S586" s="29">
        <f t="shared" si="104"/>
      </c>
      <c r="T586" s="30">
        <f t="shared" si="105"/>
      </c>
      <c r="U586" s="31" t="str">
        <f t="shared" si="106"/>
        <v>9.58</v>
      </c>
      <c r="X586" s="75">
        <f t="shared" si="113"/>
        <v>0.02</v>
      </c>
      <c r="Y586" s="75">
        <f t="shared" si="107"/>
        <v>0.02</v>
      </c>
      <c r="Z586" s="64">
        <v>60</v>
      </c>
      <c r="AA586" s="12">
        <v>15</v>
      </c>
      <c r="AB586" s="180">
        <f t="shared" si="114"/>
        <v>0.037</v>
      </c>
      <c r="AC586" s="64">
        <f t="shared" si="108"/>
        <v>0.02</v>
      </c>
      <c r="AE586" s="64">
        <v>60</v>
      </c>
      <c r="AF586" s="12">
        <v>15</v>
      </c>
      <c r="AG586" s="38">
        <f t="shared" si="109"/>
        <v>2.8169999999999997</v>
      </c>
      <c r="AH586" s="160">
        <f t="shared" si="110"/>
        <v>1.69</v>
      </c>
      <c r="AI586" s="49">
        <f t="shared" si="111"/>
        <v>0</v>
      </c>
      <c r="AJ586" s="7" t="b">
        <f t="shared" si="112"/>
        <v>1</v>
      </c>
    </row>
    <row r="587" spans="1:36" ht="15">
      <c r="A587" s="18">
        <v>32</v>
      </c>
      <c r="E587" s="18" t="s">
        <v>107</v>
      </c>
      <c r="F587" s="5" t="s">
        <v>111</v>
      </c>
      <c r="H587" s="5">
        <v>62</v>
      </c>
      <c r="I587" s="39">
        <v>1.72</v>
      </c>
      <c r="J587" s="182"/>
      <c r="K587" s="39">
        <f t="shared" si="98"/>
        <v>1.75</v>
      </c>
      <c r="L587" s="39">
        <f t="shared" si="99"/>
        <v>0.030000000000000027</v>
      </c>
      <c r="M587" s="41"/>
      <c r="N587" s="170">
        <f t="shared" si="100"/>
        <v>0.017441860465116296</v>
      </c>
      <c r="P587">
        <f t="shared" si="101"/>
      </c>
      <c r="Q587">
        <f t="shared" si="102"/>
      </c>
      <c r="R587" s="166" t="str">
        <f t="shared" si="103"/>
        <v>1.75</v>
      </c>
      <c r="S587" s="29">
        <f t="shared" si="104"/>
      </c>
      <c r="T587" s="30">
        <f t="shared" si="105"/>
      </c>
      <c r="U587" s="31" t="str">
        <f t="shared" si="106"/>
        <v>7.29</v>
      </c>
      <c r="X587" s="75">
        <f t="shared" si="113"/>
        <v>0.02</v>
      </c>
      <c r="Y587" s="75">
        <f t="shared" si="107"/>
        <v>0.02</v>
      </c>
      <c r="Z587" s="64">
        <v>62</v>
      </c>
      <c r="AA587" s="12">
        <v>15</v>
      </c>
      <c r="AB587" s="180">
        <f t="shared" si="114"/>
        <v>0.037</v>
      </c>
      <c r="AC587" s="64">
        <f t="shared" si="108"/>
        <v>0.02</v>
      </c>
      <c r="AE587" s="64">
        <v>62</v>
      </c>
      <c r="AF587" s="12">
        <v>15</v>
      </c>
      <c r="AG587" s="38">
        <f t="shared" si="109"/>
        <v>2.8169999999999997</v>
      </c>
      <c r="AH587" s="160">
        <f t="shared" si="110"/>
        <v>1.75</v>
      </c>
      <c r="AI587" s="49">
        <f t="shared" si="111"/>
        <v>-0.010000000000000009</v>
      </c>
      <c r="AJ587" s="7" t="b">
        <f t="shared" si="112"/>
        <v>1</v>
      </c>
    </row>
    <row r="588" spans="1:36" ht="15">
      <c r="A588" s="18">
        <v>33</v>
      </c>
      <c r="E588" s="18" t="s">
        <v>107</v>
      </c>
      <c r="F588" s="5" t="s">
        <v>112</v>
      </c>
      <c r="H588" s="5">
        <v>77</v>
      </c>
      <c r="I588" s="39">
        <v>2.14</v>
      </c>
      <c r="J588" s="182"/>
      <c r="K588" s="39">
        <f t="shared" si="98"/>
        <v>2.17</v>
      </c>
      <c r="L588" s="39">
        <f t="shared" si="99"/>
        <v>0.029999999999999805</v>
      </c>
      <c r="M588" s="41"/>
      <c r="N588" s="170">
        <f t="shared" si="100"/>
        <v>0.014018691588784955</v>
      </c>
      <c r="P588">
        <f t="shared" si="101"/>
      </c>
      <c r="Q588">
        <f t="shared" si="102"/>
      </c>
      <c r="R588" s="166" t="str">
        <f t="shared" si="103"/>
        <v>2.17</v>
      </c>
      <c r="S588" s="29">
        <f t="shared" si="104"/>
      </c>
      <c r="T588" s="30">
        <f t="shared" si="105"/>
      </c>
      <c r="U588" s="31" t="str">
        <f t="shared" si="106"/>
        <v>7.73</v>
      </c>
      <c r="X588" s="75">
        <f t="shared" si="113"/>
        <v>0.03</v>
      </c>
      <c r="Y588" s="75">
        <f t="shared" si="107"/>
        <v>0.03</v>
      </c>
      <c r="Z588" s="64">
        <v>77</v>
      </c>
      <c r="AA588" s="12">
        <v>15</v>
      </c>
      <c r="AB588" s="180">
        <f t="shared" si="114"/>
        <v>0.037</v>
      </c>
      <c r="AC588" s="64">
        <f t="shared" si="108"/>
        <v>0.03</v>
      </c>
      <c r="AE588" s="64">
        <v>77</v>
      </c>
      <c r="AF588" s="12">
        <v>15</v>
      </c>
      <c r="AG588" s="38">
        <f t="shared" si="109"/>
        <v>2.8169999999999997</v>
      </c>
      <c r="AH588" s="160">
        <f t="shared" si="110"/>
        <v>2.17</v>
      </c>
      <c r="AI588" s="49">
        <f t="shared" si="111"/>
        <v>0</v>
      </c>
      <c r="AJ588" s="7" t="b">
        <f t="shared" si="112"/>
        <v>1</v>
      </c>
    </row>
    <row r="589" spans="1:36" ht="15">
      <c r="A589" s="18">
        <v>34</v>
      </c>
      <c r="E589" s="18" t="s">
        <v>107</v>
      </c>
      <c r="F589" s="5" t="s">
        <v>114</v>
      </c>
      <c r="H589" s="5">
        <v>160</v>
      </c>
      <c r="I589" s="39">
        <v>4.45</v>
      </c>
      <c r="J589" s="182"/>
      <c r="K589" s="39">
        <f t="shared" si="98"/>
        <v>4.51</v>
      </c>
      <c r="L589" s="39">
        <f t="shared" si="99"/>
        <v>0.05999999999999961</v>
      </c>
      <c r="M589" s="41"/>
      <c r="N589" s="170">
        <f t="shared" si="100"/>
        <v>0.013483146067415642</v>
      </c>
      <c r="P589">
        <f t="shared" si="101"/>
      </c>
      <c r="Q589">
        <f t="shared" si="102"/>
      </c>
      <c r="R589" s="166" t="str">
        <f t="shared" si="103"/>
        <v>4.51</v>
      </c>
      <c r="S589" s="29">
        <f t="shared" si="104"/>
      </c>
      <c r="T589" s="30">
        <f t="shared" si="105"/>
      </c>
      <c r="U589" s="31" t="str">
        <f t="shared" si="106"/>
        <v>13.24</v>
      </c>
      <c r="X589" s="75">
        <f t="shared" si="113"/>
        <v>0.06</v>
      </c>
      <c r="Y589" s="75">
        <f t="shared" si="107"/>
        <v>0.06</v>
      </c>
      <c r="Z589" s="64">
        <v>160</v>
      </c>
      <c r="AA589" s="12">
        <v>15</v>
      </c>
      <c r="AB589" s="180">
        <f t="shared" si="114"/>
        <v>0.037</v>
      </c>
      <c r="AC589" s="64">
        <f t="shared" si="108"/>
        <v>0.06</v>
      </c>
      <c r="AE589" s="64">
        <v>160</v>
      </c>
      <c r="AF589" s="12">
        <v>15</v>
      </c>
      <c r="AG589" s="38">
        <f t="shared" si="109"/>
        <v>2.8169999999999997</v>
      </c>
      <c r="AH589" s="160">
        <f t="shared" si="110"/>
        <v>4.51</v>
      </c>
      <c r="AI589" s="49">
        <f t="shared" si="111"/>
        <v>0</v>
      </c>
      <c r="AJ589" s="7" t="b">
        <f t="shared" si="112"/>
        <v>1</v>
      </c>
    </row>
    <row r="590" spans="1:14" ht="15">
      <c r="A590" s="18">
        <v>35</v>
      </c>
      <c r="L590" s="81"/>
      <c r="M590" s="41"/>
      <c r="N590" s="81"/>
    </row>
    <row r="591" spans="1:14" ht="15">
      <c r="A591" s="18">
        <v>36</v>
      </c>
      <c r="L591" s="81"/>
      <c r="M591" s="41"/>
      <c r="N591" s="81"/>
    </row>
    <row r="592" spans="1:14" ht="15">
      <c r="A592" s="18">
        <v>37</v>
      </c>
      <c r="L592" s="81"/>
      <c r="M592" s="41"/>
      <c r="N592" s="81"/>
    </row>
    <row r="593" spans="1:14" ht="15">
      <c r="A593" s="18">
        <v>38</v>
      </c>
      <c r="L593" s="81"/>
      <c r="M593" s="41"/>
      <c r="N593" s="81"/>
    </row>
    <row r="594" spans="1:14" ht="15">
      <c r="A594" s="18">
        <v>39</v>
      </c>
      <c r="D594" s="7"/>
      <c r="E594" s="7"/>
      <c r="L594" s="81"/>
      <c r="M594" s="41"/>
      <c r="N594" s="81"/>
    </row>
    <row r="595" spans="1:14" ht="15">
      <c r="A595" s="18">
        <v>40</v>
      </c>
      <c r="D595" s="7"/>
      <c r="E595" s="7"/>
      <c r="L595" s="81"/>
      <c r="M595" s="41"/>
      <c r="N595" s="81"/>
    </row>
    <row r="596" spans="1:14" ht="15">
      <c r="A596" s="18">
        <v>41</v>
      </c>
      <c r="D596" s="7"/>
      <c r="E596" s="7"/>
      <c r="L596" s="81"/>
      <c r="M596" s="41"/>
      <c r="N596" s="81"/>
    </row>
    <row r="597" spans="1:14" ht="15">
      <c r="A597" s="18">
        <v>42</v>
      </c>
      <c r="D597" s="7"/>
      <c r="E597" s="7"/>
      <c r="L597" s="81"/>
      <c r="M597" s="41"/>
      <c r="N597" s="81"/>
    </row>
    <row r="598" spans="3:14" ht="15">
      <c r="C598" s="43"/>
      <c r="D598" s="7"/>
      <c r="E598" s="7"/>
      <c r="L598" s="81"/>
      <c r="M598" s="41"/>
      <c r="N598" s="81"/>
    </row>
    <row r="599" spans="1:25" ht="15" thickBot="1">
      <c r="A599" s="16"/>
      <c r="B599" s="3"/>
      <c r="C599" s="3"/>
      <c r="D599" s="41"/>
      <c r="E599" s="41"/>
      <c r="F599" s="41"/>
      <c r="G599" s="41"/>
      <c r="H599" s="41"/>
      <c r="I599" s="41"/>
      <c r="J599" s="41"/>
      <c r="K599" s="41"/>
      <c r="L599" s="84"/>
      <c r="M599" s="41"/>
      <c r="N599" s="84"/>
      <c r="O599" s="41"/>
      <c r="X599" s="41"/>
      <c r="Y599" s="41"/>
    </row>
    <row r="600" spans="1:25" ht="15">
      <c r="A600" s="45" t="s">
        <v>31</v>
      </c>
      <c r="B600" s="14"/>
      <c r="C600" s="14"/>
      <c r="D600" s="45"/>
      <c r="E600" s="45"/>
      <c r="F600" s="45"/>
      <c r="G600" s="45"/>
      <c r="H600" s="45"/>
      <c r="I600" s="45"/>
      <c r="J600" s="45"/>
      <c r="K600" s="45" t="s">
        <v>32</v>
      </c>
      <c r="L600" s="85"/>
      <c r="M600" s="45"/>
      <c r="N600" s="85"/>
      <c r="O600" s="1"/>
      <c r="X600" s="45"/>
      <c r="Y600" s="45"/>
    </row>
    <row r="601" spans="1:25" ht="15" thickBot="1">
      <c r="A601" s="18">
        <v>1</v>
      </c>
      <c r="D601" s="24" t="s">
        <v>158</v>
      </c>
      <c r="E601" s="24"/>
      <c r="F601" s="24" t="s">
        <v>162</v>
      </c>
      <c r="G601" s="24"/>
      <c r="H601" s="24"/>
      <c r="I601" s="24"/>
      <c r="J601" s="24"/>
      <c r="K601" s="24"/>
      <c r="L601" s="96"/>
      <c r="M601" s="41"/>
      <c r="N601" s="96"/>
      <c r="X601" s="24"/>
      <c r="Y601" s="24"/>
    </row>
    <row r="602" spans="1:29" ht="15">
      <c r="A602" s="18">
        <v>2</v>
      </c>
      <c r="F602" s="34" t="s">
        <v>163</v>
      </c>
      <c r="H602" s="162" t="s">
        <v>282</v>
      </c>
      <c r="L602" s="81"/>
      <c r="M602" s="41"/>
      <c r="N602" s="81"/>
      <c r="Z602" s="153" t="s">
        <v>270</v>
      </c>
      <c r="AA602" s="153"/>
      <c r="AB602" s="153"/>
      <c r="AC602" s="153"/>
    </row>
    <row r="603" spans="1:34" ht="15">
      <c r="A603" s="18">
        <v>3</v>
      </c>
      <c r="F603" s="5" t="s">
        <v>164</v>
      </c>
      <c r="L603" s="81"/>
      <c r="M603" s="41"/>
      <c r="N603" s="81"/>
      <c r="O603" s="76"/>
      <c r="Z603" s="80" t="s">
        <v>243</v>
      </c>
      <c r="AA603" s="80" t="s">
        <v>244</v>
      </c>
      <c r="AB603" s="80" t="s">
        <v>245</v>
      </c>
      <c r="AC603" s="80" t="s">
        <v>246</v>
      </c>
      <c r="AD603" s="80"/>
      <c r="AE603" s="80"/>
      <c r="AF603" s="80"/>
      <c r="AG603" s="80"/>
      <c r="AH603" s="80"/>
    </row>
    <row r="604" spans="1:35" ht="15">
      <c r="A604" s="18">
        <v>4</v>
      </c>
      <c r="F604" s="7" t="s">
        <v>268</v>
      </c>
      <c r="G604" s="64"/>
      <c r="I604" s="39">
        <v>2.66</v>
      </c>
      <c r="J604" s="182" t="s">
        <v>281</v>
      </c>
      <c r="K604" s="39">
        <f aca="true" t="shared" si="115" ref="K604:K612">I604+H604+L615</f>
        <v>2.67</v>
      </c>
      <c r="L604" s="39">
        <f aca="true" t="shared" si="116" ref="L604:L612">(K604-I604)</f>
        <v>0.009999999999999787</v>
      </c>
      <c r="N604" s="170">
        <f aca="true" t="shared" si="117" ref="N604:N612">L604/I604</f>
        <v>0.003759398496240521</v>
      </c>
      <c r="P604">
        <f aca="true" t="shared" si="118" ref="P604:P612">IF($Q$7=1,TEXT(I604,"0.00"),"")</f>
      </c>
      <c r="Q604">
        <f aca="true" t="shared" si="119" ref="Q604:Q612">IF($Q$7=1,TEXT(VALUE(K604),"0.00"),"")</f>
      </c>
      <c r="R604" s="166" t="str">
        <f aca="true" t="shared" si="120" ref="R604:R612">IF($Q$7=2,TEXT(VALUE(K604),"0.00"),"")</f>
        <v>2.67</v>
      </c>
      <c r="X604" s="75">
        <f>+AC604</f>
        <v>0.01</v>
      </c>
      <c r="Y604" s="77">
        <f aca="true" t="shared" si="121" ref="Y604:Y612">SUM(X604:X604)</f>
        <v>0.01</v>
      </c>
      <c r="Z604" s="64">
        <v>29</v>
      </c>
      <c r="AA604" s="12">
        <v>15</v>
      </c>
      <c r="AB604" s="180">
        <f aca="true" t="shared" si="122" ref="AB604:AB612">$J$625</f>
        <v>0.037</v>
      </c>
      <c r="AC604" s="64">
        <f aca="true" t="shared" si="123" ref="AC604:AC612">ROUND(AB604/100*Z604,2)</f>
        <v>0.01</v>
      </c>
      <c r="AD604" s="49"/>
      <c r="AE604" s="64"/>
      <c r="AF604" s="12"/>
      <c r="AG604" s="38"/>
      <c r="AH604" s="64"/>
      <c r="AI604" s="49">
        <f>+AI615</f>
        <v>0</v>
      </c>
    </row>
    <row r="605" spans="1:35" ht="15">
      <c r="A605" s="18">
        <v>5</v>
      </c>
      <c r="F605" s="7" t="s">
        <v>103</v>
      </c>
      <c r="G605" s="64"/>
      <c r="I605" s="39">
        <v>2.99</v>
      </c>
      <c r="J605" s="182"/>
      <c r="K605" s="39">
        <f t="shared" si="115"/>
        <v>3</v>
      </c>
      <c r="L605" s="39">
        <f t="shared" si="116"/>
        <v>0.009999999999999787</v>
      </c>
      <c r="N605" s="170">
        <f t="shared" si="117"/>
        <v>0.003344481605351099</v>
      </c>
      <c r="P605">
        <f t="shared" si="118"/>
      </c>
      <c r="Q605">
        <f t="shared" si="119"/>
      </c>
      <c r="R605" s="166" t="str">
        <f t="shared" si="120"/>
        <v>3.00</v>
      </c>
      <c r="X605" s="75">
        <f aca="true" t="shared" si="124" ref="X605:X612">+AC605</f>
        <v>0.02</v>
      </c>
      <c r="Y605" s="77">
        <f t="shared" si="121"/>
        <v>0.02</v>
      </c>
      <c r="Z605" s="64">
        <v>41</v>
      </c>
      <c r="AA605" s="12">
        <v>15</v>
      </c>
      <c r="AB605" s="180">
        <f t="shared" si="122"/>
        <v>0.037</v>
      </c>
      <c r="AC605" s="64">
        <f t="shared" si="123"/>
        <v>0.02</v>
      </c>
      <c r="AD605" s="49"/>
      <c r="AE605" s="64"/>
      <c r="AF605" s="12"/>
      <c r="AG605" s="38"/>
      <c r="AH605" s="64"/>
      <c r="AI605" s="49">
        <f aca="true" t="shared" si="125" ref="AI605:AI612">+AI616</f>
        <v>0.010000000000000009</v>
      </c>
    </row>
    <row r="606" spans="1:35" ht="15">
      <c r="A606" s="18">
        <v>6</v>
      </c>
      <c r="F606" s="7" t="s">
        <v>104</v>
      </c>
      <c r="G606" s="64"/>
      <c r="I606" s="39">
        <v>3.55</v>
      </c>
      <c r="J606" s="182"/>
      <c r="K606" s="39">
        <f t="shared" si="115"/>
        <v>3.57</v>
      </c>
      <c r="L606" s="39">
        <f t="shared" si="116"/>
        <v>0.020000000000000018</v>
      </c>
      <c r="N606" s="170">
        <f t="shared" si="117"/>
        <v>0.005633802816901414</v>
      </c>
      <c r="P606">
        <f t="shared" si="118"/>
      </c>
      <c r="Q606">
        <f t="shared" si="119"/>
      </c>
      <c r="R606" s="166" t="str">
        <f t="shared" si="120"/>
        <v>3.57</v>
      </c>
      <c r="X606" s="75">
        <f t="shared" si="124"/>
        <v>0.02</v>
      </c>
      <c r="Y606" s="77">
        <f t="shared" si="121"/>
        <v>0.02</v>
      </c>
      <c r="Z606" s="64">
        <v>60</v>
      </c>
      <c r="AA606" s="12">
        <v>15</v>
      </c>
      <c r="AB606" s="180">
        <f t="shared" si="122"/>
        <v>0.037</v>
      </c>
      <c r="AC606" s="64">
        <f t="shared" si="123"/>
        <v>0.02</v>
      </c>
      <c r="AD606" s="49"/>
      <c r="AE606" s="64"/>
      <c r="AF606" s="12"/>
      <c r="AG606" s="38"/>
      <c r="AH606" s="64"/>
      <c r="AI606" s="49">
        <f t="shared" si="125"/>
        <v>0</v>
      </c>
    </row>
    <row r="607" spans="1:35" ht="15">
      <c r="A607" s="18">
        <v>7</v>
      </c>
      <c r="F607" s="7" t="s">
        <v>105</v>
      </c>
      <c r="G607" s="64"/>
      <c r="I607" s="39">
        <v>4.880000000000001</v>
      </c>
      <c r="J607" s="182"/>
      <c r="K607" s="39">
        <f t="shared" si="115"/>
        <v>4.91</v>
      </c>
      <c r="L607" s="39">
        <f t="shared" si="116"/>
        <v>0.02999999999999936</v>
      </c>
      <c r="N607" s="170">
        <f t="shared" si="117"/>
        <v>0.006147540983606425</v>
      </c>
      <c r="P607">
        <f t="shared" si="118"/>
      </c>
      <c r="Q607">
        <f t="shared" si="119"/>
      </c>
      <c r="R607" s="166" t="str">
        <f t="shared" si="120"/>
        <v>4.91</v>
      </c>
      <c r="X607" s="75">
        <f t="shared" si="124"/>
        <v>0.03</v>
      </c>
      <c r="Y607" s="77">
        <f t="shared" si="121"/>
        <v>0.03</v>
      </c>
      <c r="Z607" s="64">
        <v>88</v>
      </c>
      <c r="AA607" s="12">
        <v>15</v>
      </c>
      <c r="AB607" s="180">
        <f t="shared" si="122"/>
        <v>0.037</v>
      </c>
      <c r="AC607" s="64">
        <f t="shared" si="123"/>
        <v>0.03</v>
      </c>
      <c r="AD607" s="49"/>
      <c r="AE607" s="64"/>
      <c r="AF607" s="12"/>
      <c r="AG607" s="38"/>
      <c r="AH607" s="64"/>
      <c r="AI607" s="49">
        <f t="shared" si="125"/>
        <v>0</v>
      </c>
    </row>
    <row r="608" spans="1:35" ht="15">
      <c r="A608" s="18">
        <v>8</v>
      </c>
      <c r="F608" s="7" t="s">
        <v>106</v>
      </c>
      <c r="G608" s="64"/>
      <c r="I608" s="39">
        <v>7.0600000000000005</v>
      </c>
      <c r="J608" s="182"/>
      <c r="K608" s="39">
        <f t="shared" si="115"/>
        <v>7.120000000000001</v>
      </c>
      <c r="L608" s="39">
        <f t="shared" si="116"/>
        <v>0.0600000000000005</v>
      </c>
      <c r="N608" s="170">
        <f t="shared" si="117"/>
        <v>0.00849858356940517</v>
      </c>
      <c r="P608">
        <f t="shared" si="118"/>
      </c>
      <c r="Q608">
        <f t="shared" si="119"/>
      </c>
      <c r="R608" s="166" t="str">
        <f t="shared" si="120"/>
        <v>7.12</v>
      </c>
      <c r="X608" s="75">
        <f t="shared" si="124"/>
        <v>0.06</v>
      </c>
      <c r="Y608" s="77">
        <f t="shared" si="121"/>
        <v>0.06</v>
      </c>
      <c r="Z608" s="64">
        <v>168</v>
      </c>
      <c r="AA608" s="12">
        <v>15</v>
      </c>
      <c r="AB608" s="180">
        <f t="shared" si="122"/>
        <v>0.037</v>
      </c>
      <c r="AC608" s="64">
        <f t="shared" si="123"/>
        <v>0.06</v>
      </c>
      <c r="AD608" s="49"/>
      <c r="AE608" s="64"/>
      <c r="AF608" s="12"/>
      <c r="AG608" s="38"/>
      <c r="AH608" s="64"/>
      <c r="AI608" s="49">
        <f t="shared" si="125"/>
        <v>0</v>
      </c>
    </row>
    <row r="609" spans="1:35" ht="15">
      <c r="A609" s="18">
        <v>9</v>
      </c>
      <c r="E609" s="18" t="s">
        <v>107</v>
      </c>
      <c r="F609" s="7" t="s">
        <v>160</v>
      </c>
      <c r="G609" s="64"/>
      <c r="I609" s="39">
        <v>3.82</v>
      </c>
      <c r="J609" s="182"/>
      <c r="K609" s="39">
        <f t="shared" si="115"/>
        <v>3.84</v>
      </c>
      <c r="L609" s="39">
        <f t="shared" si="116"/>
        <v>0.020000000000000018</v>
      </c>
      <c r="N609" s="170">
        <f t="shared" si="117"/>
        <v>0.005235602094240842</v>
      </c>
      <c r="P609">
        <f t="shared" si="118"/>
      </c>
      <c r="Q609">
        <f t="shared" si="119"/>
      </c>
      <c r="R609" s="166" t="str">
        <f t="shared" si="120"/>
        <v>3.84</v>
      </c>
      <c r="X609" s="75">
        <f t="shared" si="124"/>
        <v>0.02</v>
      </c>
      <c r="Y609" s="77">
        <f t="shared" si="121"/>
        <v>0.02</v>
      </c>
      <c r="Z609" s="64">
        <v>60</v>
      </c>
      <c r="AA609" s="12">
        <v>15</v>
      </c>
      <c r="AB609" s="180">
        <f t="shared" si="122"/>
        <v>0.037</v>
      </c>
      <c r="AC609" s="64">
        <f t="shared" si="123"/>
        <v>0.02</v>
      </c>
      <c r="AD609" s="49"/>
      <c r="AE609" s="64"/>
      <c r="AF609" s="12"/>
      <c r="AG609" s="38"/>
      <c r="AH609" s="64"/>
      <c r="AI609" s="49">
        <f t="shared" si="125"/>
        <v>0</v>
      </c>
    </row>
    <row r="610" spans="1:35" ht="15">
      <c r="A610" s="18">
        <v>10</v>
      </c>
      <c r="E610" s="18" t="s">
        <v>107</v>
      </c>
      <c r="F610" s="7" t="s">
        <v>111</v>
      </c>
      <c r="G610" s="64"/>
      <c r="I610" s="39">
        <v>3.38</v>
      </c>
      <c r="J610" s="182"/>
      <c r="K610" s="39">
        <f t="shared" si="115"/>
        <v>3.41</v>
      </c>
      <c r="L610" s="39">
        <f t="shared" si="116"/>
        <v>0.03000000000000025</v>
      </c>
      <c r="N610" s="170">
        <f t="shared" si="117"/>
        <v>0.008875739644970487</v>
      </c>
      <c r="P610">
        <f t="shared" si="118"/>
      </c>
      <c r="Q610">
        <f t="shared" si="119"/>
      </c>
      <c r="R610" s="166" t="str">
        <f t="shared" si="120"/>
        <v>3.41</v>
      </c>
      <c r="X610" s="75">
        <f t="shared" si="124"/>
        <v>0.02</v>
      </c>
      <c r="Y610" s="77">
        <f t="shared" si="121"/>
        <v>0.02</v>
      </c>
      <c r="Z610" s="64">
        <v>62</v>
      </c>
      <c r="AA610" s="12">
        <v>15</v>
      </c>
      <c r="AB610" s="180">
        <f t="shared" si="122"/>
        <v>0.037</v>
      </c>
      <c r="AC610" s="64">
        <f t="shared" si="123"/>
        <v>0.02</v>
      </c>
      <c r="AD610" s="49"/>
      <c r="AE610" s="64"/>
      <c r="AF610" s="12"/>
      <c r="AG610" s="38"/>
      <c r="AH610" s="64"/>
      <c r="AI610" s="49">
        <f t="shared" si="125"/>
        <v>-0.010000000000000009</v>
      </c>
    </row>
    <row r="611" spans="1:35" ht="15">
      <c r="A611" s="18">
        <v>11</v>
      </c>
      <c r="E611" s="18" t="s">
        <v>107</v>
      </c>
      <c r="F611" s="7" t="s">
        <v>112</v>
      </c>
      <c r="G611" s="64"/>
      <c r="I611" s="39">
        <v>3.8</v>
      </c>
      <c r="J611" s="182"/>
      <c r="K611" s="39">
        <f t="shared" si="115"/>
        <v>3.8299999999999996</v>
      </c>
      <c r="L611" s="39">
        <f t="shared" si="116"/>
        <v>0.029999999999999805</v>
      </c>
      <c r="N611" s="170">
        <f t="shared" si="117"/>
        <v>0.007894736842105211</v>
      </c>
      <c r="P611">
        <f t="shared" si="118"/>
      </c>
      <c r="Q611">
        <f t="shared" si="119"/>
      </c>
      <c r="R611" s="166" t="str">
        <f t="shared" si="120"/>
        <v>3.83</v>
      </c>
      <c r="X611" s="75">
        <f t="shared" si="124"/>
        <v>0.03</v>
      </c>
      <c r="Y611" s="77">
        <f t="shared" si="121"/>
        <v>0.03</v>
      </c>
      <c r="Z611" s="64">
        <v>77</v>
      </c>
      <c r="AA611" s="12">
        <v>15</v>
      </c>
      <c r="AB611" s="180">
        <f t="shared" si="122"/>
        <v>0.037</v>
      </c>
      <c r="AC611" s="64">
        <f t="shared" si="123"/>
        <v>0.03</v>
      </c>
      <c r="AD611" s="49"/>
      <c r="AE611" s="64"/>
      <c r="AF611" s="12"/>
      <c r="AG611" s="38"/>
      <c r="AH611" s="64"/>
      <c r="AI611" s="49">
        <f t="shared" si="125"/>
        <v>0</v>
      </c>
    </row>
    <row r="612" spans="1:35" ht="15">
      <c r="A612" s="18">
        <v>12</v>
      </c>
      <c r="E612" s="18" t="s">
        <v>107</v>
      </c>
      <c r="F612" s="7" t="s">
        <v>114</v>
      </c>
      <c r="G612" s="64"/>
      <c r="I612" s="39">
        <v>6.79</v>
      </c>
      <c r="J612" s="182"/>
      <c r="K612" s="39">
        <f t="shared" si="115"/>
        <v>6.85</v>
      </c>
      <c r="L612" s="39">
        <f t="shared" si="116"/>
        <v>0.05999999999999961</v>
      </c>
      <c r="N612" s="170">
        <f t="shared" si="117"/>
        <v>0.008836524300441769</v>
      </c>
      <c r="P612">
        <f t="shared" si="118"/>
      </c>
      <c r="Q612">
        <f t="shared" si="119"/>
      </c>
      <c r="R612" s="166" t="str">
        <f t="shared" si="120"/>
        <v>6.85</v>
      </c>
      <c r="X612" s="75">
        <f t="shared" si="124"/>
        <v>0.06</v>
      </c>
      <c r="Y612" s="77">
        <f t="shared" si="121"/>
        <v>0.06</v>
      </c>
      <c r="Z612" s="64">
        <v>160</v>
      </c>
      <c r="AA612" s="12">
        <v>15</v>
      </c>
      <c r="AB612" s="180">
        <f t="shared" si="122"/>
        <v>0.037</v>
      </c>
      <c r="AC612" s="64">
        <f t="shared" si="123"/>
        <v>0.06</v>
      </c>
      <c r="AD612" s="49"/>
      <c r="AE612" s="64"/>
      <c r="AF612" s="12"/>
      <c r="AG612" s="38"/>
      <c r="AH612" s="64"/>
      <c r="AI612" s="49">
        <f t="shared" si="125"/>
        <v>0</v>
      </c>
    </row>
    <row r="613" spans="1:25" ht="15">
      <c r="A613" s="18">
        <v>13</v>
      </c>
      <c r="B613" s="5"/>
      <c r="C613" s="5"/>
      <c r="F613" s="7"/>
      <c r="G613" s="7"/>
      <c r="H613" s="7"/>
      <c r="I613" s="77"/>
      <c r="J613" s="77"/>
      <c r="K613" s="77"/>
      <c r="L613" s="81"/>
      <c r="N613" s="81"/>
      <c r="X613" s="77"/>
      <c r="Y613" s="77"/>
    </row>
    <row r="614" spans="1:34" s="42" customFormat="1" ht="15">
      <c r="A614" s="18">
        <v>14</v>
      </c>
      <c r="B614" s="3"/>
      <c r="C614" s="3"/>
      <c r="D614" s="18"/>
      <c r="E614" s="18"/>
      <c r="F614" s="7" t="s">
        <v>128</v>
      </c>
      <c r="G614" s="7"/>
      <c r="H614" s="5" t="s">
        <v>243</v>
      </c>
      <c r="I614" s="77"/>
      <c r="J614" s="77"/>
      <c r="K614" s="77"/>
      <c r="L614" s="81"/>
      <c r="M614" s="5"/>
      <c r="N614" s="81"/>
      <c r="O614" s="6"/>
      <c r="P614"/>
      <c r="Q614"/>
      <c r="R614" s="166"/>
      <c r="S614" s="6"/>
      <c r="T614" s="6"/>
      <c r="U614" s="6"/>
      <c r="V614" s="6"/>
      <c r="W614" s="78"/>
      <c r="X614" s="77"/>
      <c r="Y614" s="77"/>
      <c r="Z614" s="80" t="s">
        <v>243</v>
      </c>
      <c r="AA614" s="80" t="s">
        <v>244</v>
      </c>
      <c r="AB614" s="80" t="s">
        <v>245</v>
      </c>
      <c r="AC614" s="80" t="s">
        <v>246</v>
      </c>
      <c r="AE614" s="80" t="s">
        <v>243</v>
      </c>
      <c r="AF614" s="80" t="s">
        <v>244</v>
      </c>
      <c r="AG614" s="80" t="s">
        <v>245</v>
      </c>
      <c r="AH614" s="80" t="s">
        <v>246</v>
      </c>
    </row>
    <row r="615" spans="1:36" ht="15">
      <c r="A615" s="18">
        <v>15</v>
      </c>
      <c r="B615" s="5"/>
      <c r="F615" s="7" t="s">
        <v>268</v>
      </c>
      <c r="G615" s="7"/>
      <c r="H615" s="5">
        <v>29</v>
      </c>
      <c r="I615" s="39">
        <v>0.81</v>
      </c>
      <c r="J615" s="182" t="str">
        <f>+"Note:  The monthly Energy Non-Fuel charge is calculated by multiplying the kWh rating for each fixture by the Non-Fuel Energy Rate of "&amp;TEXT(K$625,"0.000")&amp;" ¢/kWh.  This avoids rounding issues caused by seperating the increases into the various components"</f>
        <v>Note:  The monthly Energy Non-Fuel charge is calculated by multiplying the kWh rating for each fixture by the Non-Fuel Energy Rate of 2.817 ¢/kWh.  This avoids rounding issues caused by seperating the increases into the various components</v>
      </c>
      <c r="K615" s="39">
        <f aca="true" t="shared" si="126" ref="K615:K623">ROUND(H615*K$625/100,2)</f>
        <v>0.82</v>
      </c>
      <c r="L615" s="39">
        <f aca="true" t="shared" si="127" ref="L615:L623">(K615-I615)</f>
        <v>0.009999999999999898</v>
      </c>
      <c r="N615" s="170">
        <f aca="true" t="shared" si="128" ref="N615:N623">L615/I615</f>
        <v>0.012345679012345552</v>
      </c>
      <c r="P615">
        <f aca="true" t="shared" si="129" ref="P615:P623">IF($Q$7=1,TEXT(I615,"0.00"),"")</f>
      </c>
      <c r="Q615">
        <f aca="true" t="shared" si="130" ref="Q615:Q623">IF($Q$7=1,TEXT(VALUE(K615),"0.00"),"")</f>
      </c>
      <c r="R615" s="166" t="str">
        <f aca="true" t="shared" si="131" ref="R615:R623">IF($Q$7=2,TEXT(VALUE(K615),"0.00"),"")</f>
        <v>0.82</v>
      </c>
      <c r="X615" s="75">
        <f>+AC615</f>
        <v>0.01</v>
      </c>
      <c r="Y615" s="77">
        <f aca="true" t="shared" si="132" ref="Y615:Y623">SUM(X615:X615)</f>
        <v>0.01</v>
      </c>
      <c r="Z615" s="64">
        <v>29</v>
      </c>
      <c r="AA615" s="12">
        <v>15</v>
      </c>
      <c r="AB615" s="180">
        <f aca="true" t="shared" si="133" ref="AB615:AB623">$J$625</f>
        <v>0.037</v>
      </c>
      <c r="AC615" s="64">
        <f aca="true" t="shared" si="134" ref="AC615:AC623">ROUND(AB615/100*Z615,2)</f>
        <v>0.01</v>
      </c>
      <c r="AE615" s="64">
        <v>29</v>
      </c>
      <c r="AF615" s="12">
        <v>15</v>
      </c>
      <c r="AG615" s="38">
        <f aca="true" t="shared" si="135" ref="AG615:AG623">K$625</f>
        <v>2.8169999999999997</v>
      </c>
      <c r="AH615" s="160">
        <f aca="true" t="shared" si="136" ref="AH615:AH623">ROUND(AG615/100*AE615,2)</f>
        <v>0.82</v>
      </c>
      <c r="AI615" s="49">
        <f aca="true" t="shared" si="137" ref="AI615:AI623">I615+Y615-AH615</f>
        <v>0</v>
      </c>
      <c r="AJ615" s="7" t="b">
        <f aca="true" t="shared" si="138" ref="AJ615:AJ623">K615=AH615</f>
        <v>1</v>
      </c>
    </row>
    <row r="616" spans="1:36" ht="15">
      <c r="A616" s="18">
        <v>16</v>
      </c>
      <c r="B616" s="65"/>
      <c r="C616" s="66"/>
      <c r="D616" s="66"/>
      <c r="F616" s="7" t="s">
        <v>103</v>
      </c>
      <c r="G616" s="7"/>
      <c r="H616" s="5">
        <v>41</v>
      </c>
      <c r="I616" s="39">
        <v>1.14</v>
      </c>
      <c r="J616" s="182"/>
      <c r="K616" s="39">
        <f t="shared" si="126"/>
        <v>1.15</v>
      </c>
      <c r="L616" s="39">
        <f t="shared" si="127"/>
        <v>0.010000000000000009</v>
      </c>
      <c r="N616" s="170">
        <f t="shared" si="128"/>
        <v>0.008771929824561412</v>
      </c>
      <c r="P616">
        <f t="shared" si="129"/>
      </c>
      <c r="Q616">
        <f t="shared" si="130"/>
      </c>
      <c r="R616" s="166" t="str">
        <f t="shared" si="131"/>
        <v>1.15</v>
      </c>
      <c r="X616" s="75">
        <f aca="true" t="shared" si="139" ref="X616:X623">+AC616</f>
        <v>0.02</v>
      </c>
      <c r="Y616" s="77">
        <f t="shared" si="132"/>
        <v>0.02</v>
      </c>
      <c r="Z616" s="64">
        <v>41</v>
      </c>
      <c r="AA616" s="12">
        <v>15</v>
      </c>
      <c r="AB616" s="180">
        <f t="shared" si="133"/>
        <v>0.037</v>
      </c>
      <c r="AC616" s="64">
        <f t="shared" si="134"/>
        <v>0.02</v>
      </c>
      <c r="AE616" s="64">
        <v>41</v>
      </c>
      <c r="AF616" s="12">
        <v>15</v>
      </c>
      <c r="AG616" s="38">
        <f t="shared" si="135"/>
        <v>2.8169999999999997</v>
      </c>
      <c r="AH616" s="160">
        <f t="shared" si="136"/>
        <v>1.15</v>
      </c>
      <c r="AI616" s="49">
        <f t="shared" si="137"/>
        <v>0.010000000000000009</v>
      </c>
      <c r="AJ616" s="7" t="b">
        <f t="shared" si="138"/>
        <v>1</v>
      </c>
    </row>
    <row r="617" spans="1:36" ht="15">
      <c r="A617" s="18">
        <v>17</v>
      </c>
      <c r="B617" s="5"/>
      <c r="F617" s="7" t="s">
        <v>104</v>
      </c>
      <c r="G617" s="7"/>
      <c r="H617" s="5">
        <v>60</v>
      </c>
      <c r="I617" s="39">
        <v>1.67</v>
      </c>
      <c r="J617" s="182"/>
      <c r="K617" s="39">
        <f t="shared" si="126"/>
        <v>1.69</v>
      </c>
      <c r="L617" s="39">
        <f t="shared" si="127"/>
        <v>0.020000000000000018</v>
      </c>
      <c r="N617" s="170">
        <f t="shared" si="128"/>
        <v>0.011976047904191628</v>
      </c>
      <c r="P617">
        <f t="shared" si="129"/>
      </c>
      <c r="Q617">
        <f t="shared" si="130"/>
      </c>
      <c r="R617" s="166" t="str">
        <f t="shared" si="131"/>
        <v>1.69</v>
      </c>
      <c r="X617" s="75">
        <f t="shared" si="139"/>
        <v>0.02</v>
      </c>
      <c r="Y617" s="77">
        <f t="shared" si="132"/>
        <v>0.02</v>
      </c>
      <c r="Z617" s="64">
        <v>60</v>
      </c>
      <c r="AA617" s="12">
        <v>15</v>
      </c>
      <c r="AB617" s="180">
        <f t="shared" si="133"/>
        <v>0.037</v>
      </c>
      <c r="AC617" s="64">
        <f t="shared" si="134"/>
        <v>0.02</v>
      </c>
      <c r="AE617" s="64">
        <v>60</v>
      </c>
      <c r="AF617" s="12">
        <v>15</v>
      </c>
      <c r="AG617" s="38">
        <f t="shared" si="135"/>
        <v>2.8169999999999997</v>
      </c>
      <c r="AH617" s="160">
        <f t="shared" si="136"/>
        <v>1.69</v>
      </c>
      <c r="AI617" s="49">
        <f t="shared" si="137"/>
        <v>0</v>
      </c>
      <c r="AJ617" s="7" t="b">
        <f t="shared" si="138"/>
        <v>1</v>
      </c>
    </row>
    <row r="618" spans="1:36" ht="15">
      <c r="A618" s="18">
        <v>18</v>
      </c>
      <c r="B618" s="65"/>
      <c r="C618" s="66"/>
      <c r="D618" s="66"/>
      <c r="F618" s="7" t="s">
        <v>105</v>
      </c>
      <c r="G618" s="7"/>
      <c r="H618" s="5">
        <v>88</v>
      </c>
      <c r="I618" s="39">
        <v>2.45</v>
      </c>
      <c r="J618" s="182"/>
      <c r="K618" s="39">
        <f t="shared" si="126"/>
        <v>2.48</v>
      </c>
      <c r="L618" s="39">
        <f t="shared" si="127"/>
        <v>0.029999999999999805</v>
      </c>
      <c r="N618" s="170">
        <f t="shared" si="128"/>
        <v>0.012244897959183593</v>
      </c>
      <c r="P618">
        <f t="shared" si="129"/>
      </c>
      <c r="Q618">
        <f t="shared" si="130"/>
      </c>
      <c r="R618" s="166" t="str">
        <f t="shared" si="131"/>
        <v>2.48</v>
      </c>
      <c r="X618" s="75">
        <f t="shared" si="139"/>
        <v>0.03</v>
      </c>
      <c r="Y618" s="77">
        <f t="shared" si="132"/>
        <v>0.03</v>
      </c>
      <c r="Z618" s="64">
        <v>88</v>
      </c>
      <c r="AA618" s="12">
        <v>15</v>
      </c>
      <c r="AB618" s="180">
        <f t="shared" si="133"/>
        <v>0.037</v>
      </c>
      <c r="AC618" s="64">
        <f t="shared" si="134"/>
        <v>0.03</v>
      </c>
      <c r="AE618" s="64">
        <v>88</v>
      </c>
      <c r="AF618" s="12">
        <v>15</v>
      </c>
      <c r="AG618" s="38">
        <f t="shared" si="135"/>
        <v>2.8169999999999997</v>
      </c>
      <c r="AH618" s="160">
        <f t="shared" si="136"/>
        <v>2.48</v>
      </c>
      <c r="AI618" s="49">
        <f t="shared" si="137"/>
        <v>0</v>
      </c>
      <c r="AJ618" s="7" t="b">
        <f t="shared" si="138"/>
        <v>1</v>
      </c>
    </row>
    <row r="619" spans="1:36" ht="15">
      <c r="A619" s="18">
        <v>19</v>
      </c>
      <c r="B619" s="5"/>
      <c r="F619" s="7" t="s">
        <v>106</v>
      </c>
      <c r="G619" s="7"/>
      <c r="H619" s="5">
        <v>168</v>
      </c>
      <c r="I619" s="39">
        <v>4.67</v>
      </c>
      <c r="J619" s="182"/>
      <c r="K619" s="39">
        <f t="shared" si="126"/>
        <v>4.73</v>
      </c>
      <c r="L619" s="39">
        <f t="shared" si="127"/>
        <v>0.0600000000000005</v>
      </c>
      <c r="N619" s="170">
        <f t="shared" si="128"/>
        <v>0.012847965738758137</v>
      </c>
      <c r="P619">
        <f t="shared" si="129"/>
      </c>
      <c r="Q619">
        <f t="shared" si="130"/>
      </c>
      <c r="R619" s="166" t="str">
        <f t="shared" si="131"/>
        <v>4.73</v>
      </c>
      <c r="X619" s="75">
        <f t="shared" si="139"/>
        <v>0.06</v>
      </c>
      <c r="Y619" s="77">
        <f t="shared" si="132"/>
        <v>0.06</v>
      </c>
      <c r="Z619" s="64">
        <v>168</v>
      </c>
      <c r="AA619" s="12">
        <v>15</v>
      </c>
      <c r="AB619" s="180">
        <f t="shared" si="133"/>
        <v>0.037</v>
      </c>
      <c r="AC619" s="64">
        <f t="shared" si="134"/>
        <v>0.06</v>
      </c>
      <c r="AE619" s="64">
        <v>168</v>
      </c>
      <c r="AF619" s="12">
        <v>15</v>
      </c>
      <c r="AG619" s="38">
        <f t="shared" si="135"/>
        <v>2.8169999999999997</v>
      </c>
      <c r="AH619" s="160">
        <f t="shared" si="136"/>
        <v>4.73</v>
      </c>
      <c r="AI619" s="49">
        <f t="shared" si="137"/>
        <v>0</v>
      </c>
      <c r="AJ619" s="7" t="b">
        <f t="shared" si="138"/>
        <v>1</v>
      </c>
    </row>
    <row r="620" spans="1:36" ht="15">
      <c r="A620" s="18">
        <v>20</v>
      </c>
      <c r="B620" s="5"/>
      <c r="E620" s="18" t="s">
        <v>107</v>
      </c>
      <c r="F620" s="7" t="s">
        <v>160</v>
      </c>
      <c r="G620" s="7"/>
      <c r="H620" s="5">
        <v>60</v>
      </c>
      <c r="I620" s="39">
        <v>1.67</v>
      </c>
      <c r="J620" s="182"/>
      <c r="K620" s="39">
        <f t="shared" si="126"/>
        <v>1.69</v>
      </c>
      <c r="L620" s="39">
        <f t="shared" si="127"/>
        <v>0.020000000000000018</v>
      </c>
      <c r="N620" s="170">
        <f t="shared" si="128"/>
        <v>0.011976047904191628</v>
      </c>
      <c r="P620">
        <f t="shared" si="129"/>
      </c>
      <c r="Q620">
        <f t="shared" si="130"/>
      </c>
      <c r="R620" s="166" t="str">
        <f t="shared" si="131"/>
        <v>1.69</v>
      </c>
      <c r="X620" s="75">
        <f t="shared" si="139"/>
        <v>0.02</v>
      </c>
      <c r="Y620" s="77">
        <f t="shared" si="132"/>
        <v>0.02</v>
      </c>
      <c r="Z620" s="64">
        <v>60</v>
      </c>
      <c r="AA620" s="12">
        <v>15</v>
      </c>
      <c r="AB620" s="180">
        <f t="shared" si="133"/>
        <v>0.037</v>
      </c>
      <c r="AC620" s="64">
        <f t="shared" si="134"/>
        <v>0.02</v>
      </c>
      <c r="AE620" s="64">
        <v>60</v>
      </c>
      <c r="AF620" s="12">
        <v>15</v>
      </c>
      <c r="AG620" s="38">
        <f t="shared" si="135"/>
        <v>2.8169999999999997</v>
      </c>
      <c r="AH620" s="160">
        <f t="shared" si="136"/>
        <v>1.69</v>
      </c>
      <c r="AI620" s="49">
        <f t="shared" si="137"/>
        <v>0</v>
      </c>
      <c r="AJ620" s="7" t="b">
        <f t="shared" si="138"/>
        <v>1</v>
      </c>
    </row>
    <row r="621" spans="1:36" ht="15">
      <c r="A621" s="18">
        <v>21</v>
      </c>
      <c r="B621" s="5"/>
      <c r="E621" s="18" t="s">
        <v>107</v>
      </c>
      <c r="F621" s="7" t="s">
        <v>111</v>
      </c>
      <c r="G621" s="7"/>
      <c r="H621" s="5">
        <v>62</v>
      </c>
      <c r="I621" s="39">
        <v>1.72</v>
      </c>
      <c r="J621" s="182"/>
      <c r="K621" s="39">
        <f t="shared" si="126"/>
        <v>1.75</v>
      </c>
      <c r="L621" s="39">
        <f t="shared" si="127"/>
        <v>0.030000000000000027</v>
      </c>
      <c r="N621" s="170">
        <f t="shared" si="128"/>
        <v>0.017441860465116296</v>
      </c>
      <c r="P621">
        <f t="shared" si="129"/>
      </c>
      <c r="Q621">
        <f t="shared" si="130"/>
      </c>
      <c r="R621" s="166" t="str">
        <f t="shared" si="131"/>
        <v>1.75</v>
      </c>
      <c r="X621" s="75">
        <f t="shared" si="139"/>
        <v>0.02</v>
      </c>
      <c r="Y621" s="77">
        <f t="shared" si="132"/>
        <v>0.02</v>
      </c>
      <c r="Z621" s="64">
        <v>62</v>
      </c>
      <c r="AA621" s="12">
        <v>15</v>
      </c>
      <c r="AB621" s="180">
        <f t="shared" si="133"/>
        <v>0.037</v>
      </c>
      <c r="AC621" s="64">
        <f t="shared" si="134"/>
        <v>0.02</v>
      </c>
      <c r="AE621" s="64">
        <v>62</v>
      </c>
      <c r="AF621" s="12">
        <v>15</v>
      </c>
      <c r="AG621" s="38">
        <f t="shared" si="135"/>
        <v>2.8169999999999997</v>
      </c>
      <c r="AH621" s="160">
        <f t="shared" si="136"/>
        <v>1.75</v>
      </c>
      <c r="AI621" s="49">
        <f t="shared" si="137"/>
        <v>-0.010000000000000009</v>
      </c>
      <c r="AJ621" s="7" t="b">
        <f t="shared" si="138"/>
        <v>1</v>
      </c>
    </row>
    <row r="622" spans="1:36" ht="15">
      <c r="A622" s="18">
        <v>22</v>
      </c>
      <c r="B622" s="5"/>
      <c r="E622" s="18" t="s">
        <v>107</v>
      </c>
      <c r="F622" s="7" t="s">
        <v>112</v>
      </c>
      <c r="G622" s="7"/>
      <c r="H622" s="5">
        <v>77</v>
      </c>
      <c r="I622" s="39">
        <v>2.14</v>
      </c>
      <c r="J622" s="182"/>
      <c r="K622" s="39">
        <f t="shared" si="126"/>
        <v>2.17</v>
      </c>
      <c r="L622" s="39">
        <f t="shared" si="127"/>
        <v>0.029999999999999805</v>
      </c>
      <c r="M622" s="7"/>
      <c r="N622" s="170">
        <f t="shared" si="128"/>
        <v>0.014018691588784955</v>
      </c>
      <c r="P622">
        <f t="shared" si="129"/>
      </c>
      <c r="Q622">
        <f t="shared" si="130"/>
      </c>
      <c r="R622" s="166" t="str">
        <f t="shared" si="131"/>
        <v>2.17</v>
      </c>
      <c r="X622" s="75">
        <f t="shared" si="139"/>
        <v>0.03</v>
      </c>
      <c r="Y622" s="77">
        <f t="shared" si="132"/>
        <v>0.03</v>
      </c>
      <c r="Z622" s="64">
        <v>77</v>
      </c>
      <c r="AA622" s="12">
        <v>15</v>
      </c>
      <c r="AB622" s="180">
        <f t="shared" si="133"/>
        <v>0.037</v>
      </c>
      <c r="AC622" s="64">
        <f t="shared" si="134"/>
        <v>0.03</v>
      </c>
      <c r="AE622" s="64">
        <v>77</v>
      </c>
      <c r="AF622" s="12">
        <v>15</v>
      </c>
      <c r="AG622" s="38">
        <f t="shared" si="135"/>
        <v>2.8169999999999997</v>
      </c>
      <c r="AH622" s="160">
        <f t="shared" si="136"/>
        <v>2.17</v>
      </c>
      <c r="AI622" s="49">
        <f t="shared" si="137"/>
        <v>0</v>
      </c>
      <c r="AJ622" s="7" t="b">
        <f t="shared" si="138"/>
        <v>1</v>
      </c>
    </row>
    <row r="623" spans="1:36" ht="15">
      <c r="A623" s="18">
        <v>23</v>
      </c>
      <c r="E623" s="18" t="s">
        <v>107</v>
      </c>
      <c r="F623" s="7" t="s">
        <v>114</v>
      </c>
      <c r="G623" s="7"/>
      <c r="H623" s="5">
        <v>160</v>
      </c>
      <c r="I623" s="39">
        <v>4.45</v>
      </c>
      <c r="J623" s="182"/>
      <c r="K623" s="39">
        <f t="shared" si="126"/>
        <v>4.51</v>
      </c>
      <c r="L623" s="39">
        <f t="shared" si="127"/>
        <v>0.05999999999999961</v>
      </c>
      <c r="M623" s="7"/>
      <c r="N623" s="170">
        <f t="shared" si="128"/>
        <v>0.013483146067415642</v>
      </c>
      <c r="P623">
        <f t="shared" si="129"/>
      </c>
      <c r="Q623">
        <f t="shared" si="130"/>
      </c>
      <c r="R623" s="166" t="str">
        <f t="shared" si="131"/>
        <v>4.51</v>
      </c>
      <c r="X623" s="75">
        <f t="shared" si="139"/>
        <v>0.06</v>
      </c>
      <c r="Y623" s="77">
        <f t="shared" si="132"/>
        <v>0.06</v>
      </c>
      <c r="Z623" s="64">
        <v>160</v>
      </c>
      <c r="AA623" s="12">
        <v>15</v>
      </c>
      <c r="AB623" s="180">
        <f t="shared" si="133"/>
        <v>0.037</v>
      </c>
      <c r="AC623" s="64">
        <f t="shared" si="134"/>
        <v>0.06</v>
      </c>
      <c r="AE623" s="64">
        <v>160</v>
      </c>
      <c r="AF623" s="12">
        <v>15</v>
      </c>
      <c r="AG623" s="38">
        <f t="shared" si="135"/>
        <v>2.8169999999999997</v>
      </c>
      <c r="AH623" s="160">
        <f t="shared" si="136"/>
        <v>4.51</v>
      </c>
      <c r="AI623" s="49">
        <f t="shared" si="137"/>
        <v>0</v>
      </c>
      <c r="AJ623" s="7" t="b">
        <f t="shared" si="138"/>
        <v>1</v>
      </c>
    </row>
    <row r="624" spans="1:25" ht="15">
      <c r="A624" s="18">
        <v>24</v>
      </c>
      <c r="B624" s="3"/>
      <c r="C624" s="3"/>
      <c r="F624" s="7"/>
      <c r="G624" s="7"/>
      <c r="H624" s="7"/>
      <c r="I624" s="7"/>
      <c r="J624" s="7"/>
      <c r="K624" s="7"/>
      <c r="L624" s="81"/>
      <c r="N624" s="81"/>
      <c r="X624" s="7"/>
      <c r="Y624" s="7"/>
    </row>
    <row r="625" spans="1:25" ht="15">
      <c r="A625" s="18">
        <v>25</v>
      </c>
      <c r="F625" s="7" t="s">
        <v>129</v>
      </c>
      <c r="G625" s="7"/>
      <c r="H625" s="7"/>
      <c r="I625" s="61">
        <v>2.78</v>
      </c>
      <c r="J625" s="61">
        <f>IF(X625="","",X625)</f>
        <v>0.037</v>
      </c>
      <c r="K625" s="61">
        <f>SUM(I625:J625)</f>
        <v>2.8169999999999997</v>
      </c>
      <c r="L625" s="61">
        <f>(K625-I625)</f>
        <v>0.03699999999999992</v>
      </c>
      <c r="M625" s="7"/>
      <c r="N625" s="170">
        <f>L625/I625</f>
        <v>0.013309352517985585</v>
      </c>
      <c r="P625">
        <f>IF($Q$7=1,TEXT(I625,"0.000"),"")</f>
      </c>
      <c r="Q625">
        <f>IF($Q$7=1,TEXT(VALUE(K625),"0.000"),"")</f>
      </c>
      <c r="R625" s="166" t="str">
        <f>IF($Q$7=2,TEXT(VALUE(K625),"0.000"),"")</f>
        <v>2.817</v>
      </c>
      <c r="W625" s="12">
        <v>15</v>
      </c>
      <c r="X625" s="61">
        <f>WCEC3!$J$17</f>
        <v>0.037</v>
      </c>
      <c r="Y625" s="61">
        <f>SUM(X625:X625)</f>
        <v>0.037</v>
      </c>
    </row>
    <row r="626" spans="1:25" ht="15">
      <c r="A626" s="18">
        <v>26</v>
      </c>
      <c r="B626" s="3"/>
      <c r="C626" s="3"/>
      <c r="F626" s="7"/>
      <c r="G626" s="7"/>
      <c r="H626" s="7"/>
      <c r="I626" s="7"/>
      <c r="J626" s="7"/>
      <c r="K626" s="7"/>
      <c r="L626" s="81"/>
      <c r="N626" s="81"/>
      <c r="X626" s="7"/>
      <c r="Y626" s="7"/>
    </row>
    <row r="627" spans="1:25" ht="15">
      <c r="A627" s="18">
        <v>27</v>
      </c>
      <c r="B627" s="3"/>
      <c r="C627" s="3"/>
      <c r="F627" s="67" t="s">
        <v>130</v>
      </c>
      <c r="G627" s="7"/>
      <c r="H627" s="7"/>
      <c r="I627" s="7"/>
      <c r="J627" s="7"/>
      <c r="K627" s="7"/>
      <c r="L627" s="81"/>
      <c r="M627" s="41"/>
      <c r="N627" s="81"/>
      <c r="X627" s="7"/>
      <c r="Y627" s="7"/>
    </row>
    <row r="628" spans="1:25" ht="15">
      <c r="A628" s="18">
        <v>28</v>
      </c>
      <c r="B628" s="3"/>
      <c r="C628" s="3"/>
      <c r="F628" s="7" t="s">
        <v>131</v>
      </c>
      <c r="G628" s="7"/>
      <c r="H628" s="7"/>
      <c r="I628" s="49">
        <v>9.69</v>
      </c>
      <c r="J628" s="49">
        <f>IF(X628="","",X628)</f>
      </c>
      <c r="K628" s="49">
        <f>I628+Y628</f>
        <v>9.69</v>
      </c>
      <c r="L628" s="39">
        <f>(K628-I628)</f>
        <v>0</v>
      </c>
      <c r="M628" s="41"/>
      <c r="N628" s="170">
        <f>L628/I628</f>
        <v>0</v>
      </c>
      <c r="P628">
        <f>IF($Q$7=1,TEXT(I628,"$0.00"),"")</f>
      </c>
      <c r="Q628">
        <f>IF($Q$7=1,TEXT(VALUE(K628),"$0.00"),"")</f>
      </c>
      <c r="R628" s="166" t="str">
        <f>IF($Q$7=2,TEXT(VALUE(K628),"$0.00"),"")</f>
        <v>$9.69</v>
      </c>
      <c r="X628" s="49"/>
      <c r="Y628" s="49">
        <f>SUM(X628:X628)</f>
        <v>0</v>
      </c>
    </row>
    <row r="629" spans="1:25" ht="15">
      <c r="A629" s="18">
        <v>29</v>
      </c>
      <c r="B629" s="3"/>
      <c r="C629" s="3"/>
      <c r="F629" s="7" t="s">
        <v>132</v>
      </c>
      <c r="G629" s="7"/>
      <c r="H629" s="7"/>
      <c r="I629" s="49">
        <v>13.08</v>
      </c>
      <c r="J629" s="49">
        <f>IF(X629="","",X629)</f>
      </c>
      <c r="K629" s="49">
        <f>I629+Y629</f>
        <v>13.08</v>
      </c>
      <c r="L629" s="39">
        <f>(K629-I629)</f>
        <v>0</v>
      </c>
      <c r="M629" s="41"/>
      <c r="N629" s="170">
        <f>L629/I629</f>
        <v>0</v>
      </c>
      <c r="P629">
        <f>IF($Q$7=1,TEXT(I629,"$0.00"),"")</f>
      </c>
      <c r="Q629">
        <f>IF($Q$7=1,TEXT(VALUE(K629),"$0.00"),"")</f>
      </c>
      <c r="R629" s="166" t="str">
        <f>IF($Q$7=2,TEXT(VALUE(K629),"$0.00"),"")</f>
        <v>$13.08</v>
      </c>
      <c r="X629" s="49"/>
      <c r="Y629" s="49">
        <f>SUM(X629:X629)</f>
        <v>0</v>
      </c>
    </row>
    <row r="630" spans="1:25" ht="15">
      <c r="A630" s="18">
        <v>30</v>
      </c>
      <c r="B630" s="3"/>
      <c r="C630" s="3"/>
      <c r="F630" s="7" t="s">
        <v>133</v>
      </c>
      <c r="G630" s="7"/>
      <c r="H630" s="7"/>
      <c r="I630" s="49">
        <v>15.38</v>
      </c>
      <c r="J630" s="49">
        <f>IF(X630="","",X630)</f>
      </c>
      <c r="K630" s="49">
        <f>I630+Y630</f>
        <v>15.38</v>
      </c>
      <c r="L630" s="39">
        <f>(K630-I630)</f>
        <v>0</v>
      </c>
      <c r="M630" s="41"/>
      <c r="N630" s="170">
        <f>L630/I630</f>
        <v>0</v>
      </c>
      <c r="P630">
        <f>IF($Q$7=1,TEXT(I630,"$0.00"),"")</f>
      </c>
      <c r="Q630">
        <f>IF($Q$7=1,TEXT(VALUE(K630),"$0.00"),"")</f>
      </c>
      <c r="R630" s="166" t="str">
        <f>IF($Q$7=2,TEXT(VALUE(K630),"$0.00"),"")</f>
        <v>$15.38</v>
      </c>
      <c r="X630" s="49"/>
      <c r="Y630" s="49">
        <f>SUM(X630:X630)</f>
        <v>0</v>
      </c>
    </row>
    <row r="631" spans="1:25" ht="15">
      <c r="A631" s="18">
        <v>31</v>
      </c>
      <c r="B631" s="3"/>
      <c r="C631" s="3"/>
      <c r="F631" s="7" t="s">
        <v>165</v>
      </c>
      <c r="G631" s="7"/>
      <c r="H631" s="7"/>
      <c r="I631" s="7"/>
      <c r="J631" s="7"/>
      <c r="K631" s="7"/>
      <c r="L631" s="81"/>
      <c r="M631" s="41"/>
      <c r="N631" s="81"/>
      <c r="X631" s="7"/>
      <c r="Y631" s="7"/>
    </row>
    <row r="632" spans="1:25" ht="15">
      <c r="A632" s="18">
        <v>32</v>
      </c>
      <c r="B632" s="3"/>
      <c r="C632" s="3"/>
      <c r="F632" s="7" t="s">
        <v>166</v>
      </c>
      <c r="G632" s="7"/>
      <c r="H632" s="7"/>
      <c r="I632" s="68">
        <v>0.078</v>
      </c>
      <c r="J632" s="68">
        <f>IF(X632="","",X632)</f>
      </c>
      <c r="K632" s="68">
        <f>I632+Y632</f>
        <v>0.078</v>
      </c>
      <c r="L632" s="68">
        <f>(K632-I632)</f>
        <v>0</v>
      </c>
      <c r="M632" s="41"/>
      <c r="N632" s="170">
        <f>L632/I632</f>
        <v>0</v>
      </c>
      <c r="P632">
        <f>IF($Q$7=1,TEXT(I632,"$0.000"),"")</f>
      </c>
      <c r="Q632">
        <f>IF($Q$7=1,TEXT(VALUE(K632),"$0.000"),"")</f>
      </c>
      <c r="R632" s="166" t="str">
        <f>IF($Q$7=2,TEXT(VALUE(K632),"$0.000"),"")</f>
        <v>$0.078</v>
      </c>
      <c r="X632" s="68"/>
      <c r="Y632" s="68">
        <f>SUM(X632:X632)</f>
        <v>0</v>
      </c>
    </row>
    <row r="633" spans="1:25" ht="15">
      <c r="A633" s="18">
        <v>33</v>
      </c>
      <c r="B633" s="3"/>
      <c r="C633" s="3"/>
      <c r="F633" s="7" t="s">
        <v>167</v>
      </c>
      <c r="G633" s="7"/>
      <c r="H633" s="7"/>
      <c r="I633" s="49">
        <v>9.34</v>
      </c>
      <c r="J633" s="49">
        <f>IF(X633="","",X633)</f>
      </c>
      <c r="K633" s="49">
        <f>I633+Y633</f>
        <v>9.34</v>
      </c>
      <c r="L633" s="49">
        <f>(K633-I633)</f>
        <v>0</v>
      </c>
      <c r="M633" s="41"/>
      <c r="N633" s="170">
        <f>L633/I633</f>
        <v>0</v>
      </c>
      <c r="P633">
        <f>IF($Q$7=1,TEXT(I633,"$0.00"),"")</f>
      </c>
      <c r="Q633">
        <f>IF($Q$7=1,TEXT(VALUE(K633),"$0.00"),"")</f>
      </c>
      <c r="R633" s="166" t="str">
        <f>IF($Q$7=2,TEXT(VALUE(K633),"$0.00"),"")</f>
        <v>$9.34</v>
      </c>
      <c r="X633" s="49"/>
      <c r="Y633" s="49">
        <f>SUM(X633:X633)</f>
        <v>0</v>
      </c>
    </row>
    <row r="634" spans="1:25" ht="15">
      <c r="A634" s="18">
        <v>34</v>
      </c>
      <c r="B634" s="3"/>
      <c r="C634" s="3"/>
      <c r="D634" s="7"/>
      <c r="E634" s="7"/>
      <c r="F634" s="105" t="s">
        <v>237</v>
      </c>
      <c r="G634" s="7"/>
      <c r="H634" s="7"/>
      <c r="I634" s="7"/>
      <c r="J634" s="7"/>
      <c r="K634" s="7"/>
      <c r="L634" s="88"/>
      <c r="M634" s="41"/>
      <c r="N634" s="88"/>
      <c r="X634" s="7"/>
      <c r="Y634" s="7"/>
    </row>
    <row r="635" spans="1:25" ht="15">
      <c r="A635" s="18">
        <v>35</v>
      </c>
      <c r="B635" s="3"/>
      <c r="C635" s="3"/>
      <c r="D635" s="7"/>
      <c r="E635" s="7"/>
      <c r="F635" s="7"/>
      <c r="G635" s="7"/>
      <c r="H635" s="7"/>
      <c r="I635" s="7"/>
      <c r="J635" s="7"/>
      <c r="K635" s="7"/>
      <c r="L635" s="88"/>
      <c r="M635" s="41"/>
      <c r="N635" s="88"/>
      <c r="X635" s="7"/>
      <c r="Y635" s="7"/>
    </row>
    <row r="636" spans="1:25" ht="15" thickBot="1">
      <c r="A636" s="18">
        <v>36</v>
      </c>
      <c r="B636" s="3"/>
      <c r="C636" s="3"/>
      <c r="D636" s="24" t="s">
        <v>168</v>
      </c>
      <c r="E636" s="24"/>
      <c r="F636" s="25" t="s">
        <v>169</v>
      </c>
      <c r="G636" s="63"/>
      <c r="H636" s="63"/>
      <c r="I636" s="25"/>
      <c r="J636" s="25"/>
      <c r="K636" s="25"/>
      <c r="L636" s="82"/>
      <c r="M636" s="41"/>
      <c r="N636" s="82"/>
      <c r="X636" s="25"/>
      <c r="Y636" s="25"/>
    </row>
    <row r="637" spans="1:25" ht="15">
      <c r="A637" s="18">
        <v>37</v>
      </c>
      <c r="B637" s="3"/>
      <c r="C637" s="3"/>
      <c r="F637" s="7" t="s">
        <v>18</v>
      </c>
      <c r="G637" s="7"/>
      <c r="H637" s="7"/>
      <c r="I637" s="61">
        <v>4.507</v>
      </c>
      <c r="J637" s="61">
        <f>IF(X637="","",X637)</f>
        <v>0.094</v>
      </c>
      <c r="K637" s="61">
        <f>I637+Y637</f>
        <v>4.601</v>
      </c>
      <c r="L637" s="61">
        <f>(K637-I637)</f>
        <v>0.0940000000000003</v>
      </c>
      <c r="M637" s="41"/>
      <c r="N637" s="170">
        <f>L637/I637</f>
        <v>0.020856445529176905</v>
      </c>
      <c r="P637">
        <f>IF($Q$7=1,TEXT(I637,"0.000"),"")</f>
      </c>
      <c r="Q637">
        <f>IF($Q$7=1,TEXT(VALUE(K637),"0.000"),"")</f>
      </c>
      <c r="R637" s="166" t="str">
        <f>IF($Q$7=2,TEXT(VALUE(K637),"0.000"),"")</f>
        <v>4.601</v>
      </c>
      <c r="W637" s="12">
        <v>16</v>
      </c>
      <c r="X637" s="61">
        <f>WCEC3!J21</f>
        <v>0.094</v>
      </c>
      <c r="Y637" s="61">
        <f>SUM(X637:X637)</f>
        <v>0.094</v>
      </c>
    </row>
    <row r="638" spans="1:25" ht="15">
      <c r="A638" s="18">
        <v>38</v>
      </c>
      <c r="B638" s="3"/>
      <c r="C638" s="3"/>
      <c r="F638" s="7" t="s">
        <v>170</v>
      </c>
      <c r="G638" s="7"/>
      <c r="I638" s="49">
        <v>3.24</v>
      </c>
      <c r="J638" s="49">
        <f>IF(X638="","",X638)</f>
      </c>
      <c r="K638" s="49">
        <f>I638+Y638</f>
        <v>3.24</v>
      </c>
      <c r="L638" s="49">
        <f>(K638-I638)</f>
        <v>0</v>
      </c>
      <c r="M638" s="41"/>
      <c r="N638" s="170">
        <f>L638/I638</f>
        <v>0</v>
      </c>
      <c r="P638">
        <f>IF($Q$7=1,TEXT(I638,"$0.00"),"")</f>
      </c>
      <c r="Q638">
        <f>IF($Q$7=1,TEXT(VALUE(K638),"$0.00"),"")</f>
      </c>
      <c r="R638" s="166" t="str">
        <f>IF($Q$7=2,TEXT(VALUE(K638),"$0.00"),"")</f>
        <v>$3.24</v>
      </c>
      <c r="X638" s="49"/>
      <c r="Y638" s="49">
        <f>SUM(X638:X638)</f>
        <v>0</v>
      </c>
    </row>
    <row r="639" spans="1:14" ht="15">
      <c r="A639" s="18">
        <v>39</v>
      </c>
      <c r="B639" s="3"/>
      <c r="C639" s="3"/>
      <c r="L639" s="81"/>
      <c r="M639" s="41"/>
      <c r="N639" s="81"/>
    </row>
    <row r="640" spans="1:14" ht="15">
      <c r="A640" s="18">
        <v>40</v>
      </c>
      <c r="B640" s="3"/>
      <c r="C640" s="3"/>
      <c r="L640" s="81"/>
      <c r="M640" s="41"/>
      <c r="N640" s="81"/>
    </row>
    <row r="641" spans="1:25" ht="15">
      <c r="A641" s="18">
        <v>41</v>
      </c>
      <c r="B641" s="3"/>
      <c r="C641" s="3"/>
      <c r="D641" s="41"/>
      <c r="E641" s="41"/>
      <c r="F641" s="41"/>
      <c r="G641" s="41"/>
      <c r="H641" s="41"/>
      <c r="I641" s="41"/>
      <c r="J641" s="41"/>
      <c r="K641" s="41"/>
      <c r="L641" s="84"/>
      <c r="M641" s="41"/>
      <c r="N641" s="84"/>
      <c r="X641" s="41"/>
      <c r="Y641" s="41"/>
    </row>
    <row r="642" spans="1:25" ht="15">
      <c r="A642" s="18">
        <v>42</v>
      </c>
      <c r="B642" s="3"/>
      <c r="C642" s="3"/>
      <c r="D642" s="41"/>
      <c r="E642" s="41"/>
      <c r="F642" s="41"/>
      <c r="G642" s="41"/>
      <c r="H642" s="41"/>
      <c r="I642" s="41"/>
      <c r="J642" s="41"/>
      <c r="K642" s="41"/>
      <c r="L642" s="84"/>
      <c r="M642" s="41"/>
      <c r="N642" s="84"/>
      <c r="X642" s="41"/>
      <c r="Y642" s="41"/>
    </row>
    <row r="643" spans="2:25" ht="15">
      <c r="B643" s="3"/>
      <c r="C643" s="43"/>
      <c r="D643" s="41"/>
      <c r="E643" s="41"/>
      <c r="F643" s="41"/>
      <c r="G643" s="41"/>
      <c r="H643" s="41"/>
      <c r="I643" s="41"/>
      <c r="J643" s="41"/>
      <c r="K643" s="41"/>
      <c r="L643" s="84"/>
      <c r="M643" s="41"/>
      <c r="N643" s="84"/>
      <c r="X643" s="41"/>
      <c r="Y643" s="41"/>
    </row>
    <row r="644" spans="1:25" ht="15" thickBot="1">
      <c r="A644" s="16"/>
      <c r="B644" s="3"/>
      <c r="C644" s="3"/>
      <c r="D644" s="41"/>
      <c r="E644" s="41"/>
      <c r="F644" s="41"/>
      <c r="G644" s="41"/>
      <c r="H644" s="41"/>
      <c r="I644" s="41"/>
      <c r="J644" s="41"/>
      <c r="K644" s="41"/>
      <c r="L644" s="84"/>
      <c r="M644" s="41"/>
      <c r="N644" s="84"/>
      <c r="O644" s="41"/>
      <c r="X644" s="41"/>
      <c r="Y644" s="41"/>
    </row>
    <row r="645" spans="1:25" ht="15">
      <c r="A645" s="45" t="s">
        <v>31</v>
      </c>
      <c r="B645" s="14"/>
      <c r="C645" s="14"/>
      <c r="D645" s="45"/>
      <c r="E645" s="45"/>
      <c r="F645" s="45"/>
      <c r="G645" s="45"/>
      <c r="H645" s="45"/>
      <c r="I645" s="45"/>
      <c r="J645" s="45"/>
      <c r="K645" s="45" t="s">
        <v>32</v>
      </c>
      <c r="L645" s="85"/>
      <c r="M645" s="45"/>
      <c r="N645" s="85"/>
      <c r="O645" s="1"/>
      <c r="X645" s="45"/>
      <c r="Y645" s="45"/>
    </row>
    <row r="646" spans="1:25" ht="15" thickBot="1">
      <c r="A646" s="18">
        <v>1</v>
      </c>
      <c r="D646" s="24" t="s">
        <v>171</v>
      </c>
      <c r="E646" s="24"/>
      <c r="F646" s="25" t="s">
        <v>172</v>
      </c>
      <c r="G646" s="63"/>
      <c r="H646" s="63"/>
      <c r="I646" s="25"/>
      <c r="J646" s="25"/>
      <c r="K646" s="25"/>
      <c r="L646" s="82"/>
      <c r="M646" s="7"/>
      <c r="N646" s="82"/>
      <c r="X646" s="25"/>
      <c r="Y646" s="25"/>
    </row>
    <row r="647" spans="1:14" ht="15">
      <c r="A647" s="18">
        <v>2</v>
      </c>
      <c r="F647" s="5" t="s">
        <v>35</v>
      </c>
      <c r="L647" s="81"/>
      <c r="M647" s="7"/>
      <c r="N647" s="81"/>
    </row>
    <row r="648" spans="1:25" ht="15">
      <c r="A648" s="18">
        <v>3</v>
      </c>
      <c r="F648" s="5" t="s">
        <v>173</v>
      </c>
      <c r="I648" s="27">
        <v>112.42</v>
      </c>
      <c r="J648" s="27">
        <f>IF(X648="","",X648)</f>
      </c>
      <c r="K648" s="27">
        <f>I648+Y648</f>
        <v>112.42</v>
      </c>
      <c r="L648" s="27">
        <f>(K648-I648)</f>
        <v>0</v>
      </c>
      <c r="M648" s="7"/>
      <c r="N648" s="170">
        <f>L648/I648</f>
        <v>0</v>
      </c>
      <c r="P648">
        <f>IF($Q$7=1,TEXT(I648,"$0.00"),"")</f>
      </c>
      <c r="Q648">
        <f>IF($Q$7=1,TEXT(VALUE(K648),"$0.00"),"")</f>
      </c>
      <c r="R648" s="166" t="str">
        <f>IF($Q$7=2,TEXT(VALUE(K648),"$0.00"),"")</f>
        <v>$112.42</v>
      </c>
      <c r="X648" s="27"/>
      <c r="Y648" s="27">
        <f>SUM(X648:X648)</f>
        <v>0</v>
      </c>
    </row>
    <row r="649" spans="1:25" ht="15">
      <c r="A649" s="18">
        <v>4</v>
      </c>
      <c r="F649" s="5" t="s">
        <v>174</v>
      </c>
      <c r="I649" s="27">
        <v>112.42</v>
      </c>
      <c r="J649" s="27">
        <f>IF(X649="","",X649)</f>
      </c>
      <c r="K649" s="27">
        <f>I649+Y649</f>
        <v>112.42</v>
      </c>
      <c r="L649" s="27">
        <f>(K649-I649)</f>
        <v>0</v>
      </c>
      <c r="N649" s="170">
        <f>L649/I649</f>
        <v>0</v>
      </c>
      <c r="P649">
        <f>IF($Q$7=1,TEXT(I649,"$0.00"),"")</f>
      </c>
      <c r="Q649">
        <f>IF($Q$7=1,TEXT(VALUE(K649),"$0.00"),"")</f>
      </c>
      <c r="R649" s="166" t="str">
        <f>IF($Q$7=2,TEXT(VALUE(K649),"$0.00"),"")</f>
        <v>$112.42</v>
      </c>
      <c r="X649" s="27"/>
      <c r="Y649" s="27">
        <f>SUM(X649:X649)</f>
        <v>0</v>
      </c>
    </row>
    <row r="650" spans="1:25" ht="15">
      <c r="A650" s="18">
        <v>5</v>
      </c>
      <c r="F650" s="5" t="s">
        <v>175</v>
      </c>
      <c r="I650" s="27">
        <v>421.57</v>
      </c>
      <c r="J650" s="27">
        <f>IF(X650="","",X650)</f>
      </c>
      <c r="K650" s="27">
        <f>I650+Y650</f>
        <v>421.57</v>
      </c>
      <c r="L650" s="27">
        <f>(K650-I650)</f>
        <v>0</v>
      </c>
      <c r="N650" s="170">
        <f>L650/I650</f>
        <v>0</v>
      </c>
      <c r="P650">
        <f>IF($Q$7=1,TEXT(I650,"$0.00"),"")</f>
      </c>
      <c r="Q650">
        <f>IF($Q$7=1,TEXT(VALUE(K650),"$0.00"),"")</f>
      </c>
      <c r="R650" s="166" t="str">
        <f>IF($Q$7=2,TEXT(VALUE(K650),"$0.00"),"")</f>
        <v>$421.57</v>
      </c>
      <c r="X650" s="27"/>
      <c r="Y650" s="27">
        <f>SUM(X650:X650)</f>
        <v>0</v>
      </c>
    </row>
    <row r="651" spans="1:25" ht="15">
      <c r="A651" s="18">
        <v>6</v>
      </c>
      <c r="F651" s="5" t="s">
        <v>176</v>
      </c>
      <c r="I651" s="27">
        <v>1631.99</v>
      </c>
      <c r="J651" s="27">
        <f>IF(X651="","",X651)</f>
      </c>
      <c r="K651" s="27">
        <f>I651+Y651</f>
        <v>1631.99</v>
      </c>
      <c r="L651" s="27">
        <f>(K651-I651)</f>
        <v>0</v>
      </c>
      <c r="N651" s="170">
        <f>L651/I651</f>
        <v>0</v>
      </c>
      <c r="P651">
        <f>IF($Q$7=1,TEXT(I651,"$0.00"),"")</f>
      </c>
      <c r="Q651">
        <f>IF($Q$7=1,TEXT(VALUE(K651),"$0,000.00"),"")</f>
      </c>
      <c r="R651" s="166" t="str">
        <f>IF($Q$7=2,TEXT(VALUE(K651),"$0,000.00"),"")</f>
        <v>$1,631.99</v>
      </c>
      <c r="X651" s="27"/>
      <c r="Y651" s="27">
        <f>SUM(X651:X651)</f>
        <v>0</v>
      </c>
    </row>
    <row r="652" spans="1:25" ht="15">
      <c r="A652" s="18">
        <v>7</v>
      </c>
      <c r="I652" s="27"/>
      <c r="J652" s="27"/>
      <c r="K652" s="27"/>
      <c r="L652" s="27"/>
      <c r="N652" s="27"/>
      <c r="X652" s="27"/>
      <c r="Y652" s="27"/>
    </row>
    <row r="653" spans="1:25" ht="15">
      <c r="A653" s="18">
        <v>8</v>
      </c>
      <c r="F653" s="5" t="s">
        <v>177</v>
      </c>
      <c r="I653" s="27"/>
      <c r="J653" s="27"/>
      <c r="K653" s="27"/>
      <c r="L653" s="27"/>
      <c r="N653" s="27"/>
      <c r="X653" s="27"/>
      <c r="Y653" s="27"/>
    </row>
    <row r="654" spans="1:25" ht="15">
      <c r="A654" s="18">
        <v>9</v>
      </c>
      <c r="F654" s="5" t="s">
        <v>173</v>
      </c>
      <c r="I654" s="27">
        <v>3.03</v>
      </c>
      <c r="J654" s="27">
        <f>IF(X654="","",X654)</f>
      </c>
      <c r="K654" s="27">
        <f>I654+Y654</f>
        <v>3.03</v>
      </c>
      <c r="L654" s="27">
        <f>(K654-I654)</f>
        <v>0</v>
      </c>
      <c r="N654" s="170">
        <f>L654/I654</f>
        <v>0</v>
      </c>
      <c r="P654">
        <f>IF($Q$7=1,TEXT(I654,"$0.00"),"")</f>
      </c>
      <c r="Q654">
        <f>IF($Q$7=1,TEXT(VALUE(K654),"$0.00"),"")</f>
      </c>
      <c r="R654" s="166" t="str">
        <f>IF($Q$7=2,TEXT(VALUE(K654),"$0.00"),"")</f>
        <v>$3.03</v>
      </c>
      <c r="X654" s="27"/>
      <c r="Y654" s="27">
        <f>SUM(X654:X654)</f>
        <v>0</v>
      </c>
    </row>
    <row r="655" spans="1:25" ht="15">
      <c r="A655" s="18">
        <v>10</v>
      </c>
      <c r="F655" s="5" t="s">
        <v>174</v>
      </c>
      <c r="I655" s="27">
        <v>3.03</v>
      </c>
      <c r="J655" s="27">
        <f>IF(X655="","",X655)</f>
      </c>
      <c r="K655" s="27">
        <f>I655+Y655</f>
        <v>3.03</v>
      </c>
      <c r="L655" s="27">
        <f>(K655-I655)</f>
        <v>0</v>
      </c>
      <c r="N655" s="170">
        <f>L655/I655</f>
        <v>0</v>
      </c>
      <c r="P655">
        <f>IF($Q$7=1,TEXT(I655,"$0.00"),"")</f>
      </c>
      <c r="Q655">
        <f>IF($Q$7=1,TEXT(VALUE(K655),"$0.00"),"")</f>
      </c>
      <c r="R655" s="166" t="str">
        <f>IF($Q$7=2,TEXT(VALUE(K655),"$0.00"),"")</f>
        <v>$3.03</v>
      </c>
      <c r="X655" s="27"/>
      <c r="Y655" s="27">
        <f>SUM(X655:X655)</f>
        <v>0</v>
      </c>
    </row>
    <row r="656" spans="1:25" ht="15">
      <c r="A656" s="18">
        <v>11</v>
      </c>
      <c r="F656" s="5" t="s">
        <v>175</v>
      </c>
      <c r="I656" s="27">
        <v>3.03</v>
      </c>
      <c r="J656" s="27">
        <f>IF(X656="","",X656)</f>
      </c>
      <c r="K656" s="27">
        <f>I656+Y656</f>
        <v>3.03</v>
      </c>
      <c r="L656" s="27">
        <f>(K656-I656)</f>
        <v>0</v>
      </c>
      <c r="N656" s="170">
        <f>L656/I656</f>
        <v>0</v>
      </c>
      <c r="P656">
        <f>IF($Q$7=1,TEXT(I656,"$0.00"),"")</f>
      </c>
      <c r="Q656">
        <f>IF($Q$7=1,TEXT(VALUE(K656),"$0.00"),"")</f>
      </c>
      <c r="R656" s="166" t="str">
        <f>IF($Q$7=2,TEXT(VALUE(K656),"$0.00"),"")</f>
        <v>$3.03</v>
      </c>
      <c r="X656" s="27"/>
      <c r="Y656" s="27">
        <f>SUM(X656:X656)</f>
        <v>0</v>
      </c>
    </row>
    <row r="657" spans="1:25" ht="15">
      <c r="A657" s="18">
        <v>12</v>
      </c>
      <c r="F657" s="5" t="s">
        <v>176</v>
      </c>
      <c r="I657" s="69" t="s">
        <v>78</v>
      </c>
      <c r="J657" s="69"/>
      <c r="K657" s="69" t="s">
        <v>78</v>
      </c>
      <c r="L657" s="69" t="s">
        <v>78</v>
      </c>
      <c r="N657" s="69"/>
      <c r="X657" s="69"/>
      <c r="Y657" s="69"/>
    </row>
    <row r="658" spans="1:14" ht="15">
      <c r="A658" s="18">
        <v>13</v>
      </c>
      <c r="D658" s="7"/>
      <c r="E658" s="7"/>
      <c r="L658" s="81"/>
      <c r="M658" s="9"/>
      <c r="N658" s="81"/>
    </row>
    <row r="659" spans="1:25" ht="15">
      <c r="A659" s="18">
        <v>14</v>
      </c>
      <c r="D659" s="7"/>
      <c r="E659" s="7"/>
      <c r="F659" s="5" t="s">
        <v>178</v>
      </c>
      <c r="I659" s="39"/>
      <c r="J659" s="39"/>
      <c r="K659" s="39"/>
      <c r="L659" s="81"/>
      <c r="N659" s="81"/>
      <c r="X659" s="39"/>
      <c r="Y659" s="39"/>
    </row>
    <row r="660" spans="1:25" ht="15">
      <c r="A660" s="18">
        <v>15</v>
      </c>
      <c r="D660" s="7"/>
      <c r="E660" s="7"/>
      <c r="F660" s="5" t="s">
        <v>173</v>
      </c>
      <c r="I660" s="27">
        <v>1.17</v>
      </c>
      <c r="J660" s="27">
        <f>IF(X660="","",X660)</f>
        <v>0.06</v>
      </c>
      <c r="K660" s="27">
        <f>I660+Y660</f>
        <v>1.23</v>
      </c>
      <c r="L660" s="27">
        <f>(K660-I660)</f>
        <v>0.06000000000000005</v>
      </c>
      <c r="N660" s="170">
        <f>L660/I660</f>
        <v>0.05128205128205133</v>
      </c>
      <c r="P660">
        <f>IF($Q$7=1,TEXT(I660,"$0.00"),"")</f>
      </c>
      <c r="Q660">
        <f>IF($Q$7=1,TEXT(VALUE(K660),"$0.00"),"")</f>
      </c>
      <c r="R660" s="166" t="str">
        <f>IF($Q$7=2,TEXT(VALUE(K660),"$0.00"),"")</f>
        <v>$1.23</v>
      </c>
      <c r="X660" s="27">
        <f>WCEC3!$L$22</f>
        <v>0.06</v>
      </c>
      <c r="Y660" s="27">
        <f>SUM(X660:X660)</f>
        <v>0.06</v>
      </c>
    </row>
    <row r="661" spans="1:25" ht="15">
      <c r="A661" s="18">
        <v>16</v>
      </c>
      <c r="D661" s="7"/>
      <c r="E661" s="7"/>
      <c r="F661" s="5" t="s">
        <v>174</v>
      </c>
      <c r="I661" s="27">
        <v>1.17</v>
      </c>
      <c r="J661" s="27">
        <f>IF(X661="","",X661)</f>
        <v>0.06</v>
      </c>
      <c r="K661" s="27">
        <f>I661+Y661</f>
        <v>1.23</v>
      </c>
      <c r="L661" s="27">
        <f>(K661-I661)</f>
        <v>0.06000000000000005</v>
      </c>
      <c r="N661" s="170">
        <f>L661/I661</f>
        <v>0.05128205128205133</v>
      </c>
      <c r="P661">
        <f>IF($Q$7=1,TEXT(I661,"$0.00"),"")</f>
      </c>
      <c r="Q661">
        <f>IF($Q$7=1,TEXT(VALUE(K661),"$0.00"),"")</f>
      </c>
      <c r="R661" s="166" t="str">
        <f>IF($Q$7=2,TEXT(VALUE(K661),"$0.00"),"")</f>
        <v>$1.23</v>
      </c>
      <c r="X661" s="27">
        <f>WCEC3!$L$22</f>
        <v>0.06</v>
      </c>
      <c r="Y661" s="27">
        <f>SUM(X661:X661)</f>
        <v>0.06</v>
      </c>
    </row>
    <row r="662" spans="1:25" ht="15">
      <c r="A662" s="18">
        <v>17</v>
      </c>
      <c r="F662" s="5" t="s">
        <v>175</v>
      </c>
      <c r="I662" s="27">
        <v>1.17</v>
      </c>
      <c r="J662" s="27">
        <f>IF(X662="","",X662)</f>
        <v>0.06</v>
      </c>
      <c r="K662" s="27">
        <f>I662+Y662</f>
        <v>1.23</v>
      </c>
      <c r="L662" s="27">
        <f>(K662-I662)</f>
        <v>0.06000000000000005</v>
      </c>
      <c r="N662" s="170">
        <f>L662/I662</f>
        <v>0.05128205128205133</v>
      </c>
      <c r="P662">
        <f>IF($Q$7=1,TEXT(I662,"$0.00"),"")</f>
      </c>
      <c r="Q662">
        <f>IF($Q$7=1,TEXT(VALUE(K662),"$0.00"),"")</f>
      </c>
      <c r="R662" s="166" t="str">
        <f>IF($Q$7=2,TEXT(VALUE(K662),"$0.00"),"")</f>
        <v>$1.23</v>
      </c>
      <c r="X662" s="27">
        <f>WCEC3!$L$22</f>
        <v>0.06</v>
      </c>
      <c r="Y662" s="27">
        <f>SUM(X662:X662)</f>
        <v>0.06</v>
      </c>
    </row>
    <row r="663" spans="1:25" ht="15">
      <c r="A663" s="18">
        <v>18</v>
      </c>
      <c r="F663" s="5" t="s">
        <v>176</v>
      </c>
      <c r="I663" s="27">
        <v>1.22</v>
      </c>
      <c r="J663" s="27">
        <f>IF(X663="","",X663)</f>
        <v>0.06</v>
      </c>
      <c r="K663" s="27">
        <f>I663+Y663</f>
        <v>1.28</v>
      </c>
      <c r="L663" s="27">
        <f>(K663-I663)</f>
        <v>0.06000000000000005</v>
      </c>
      <c r="N663" s="170">
        <f>L663/I663</f>
        <v>0.04918032786885251</v>
      </c>
      <c r="P663">
        <f>IF($Q$7=1,TEXT(I663,"$0.00"),"")</f>
      </c>
      <c r="Q663">
        <f>IF($Q$7=1,TEXT(VALUE(K663),"$0.00"),"")</f>
      </c>
      <c r="R663" s="166" t="str">
        <f>IF($Q$7=2,TEXT(VALUE(K663),"$0.00"),"")</f>
        <v>$1.28</v>
      </c>
      <c r="X663" s="27">
        <f>WCEC3!L23</f>
        <v>0.06</v>
      </c>
      <c r="Y663" s="27">
        <f>SUM(X663:X663)</f>
        <v>0.06</v>
      </c>
    </row>
    <row r="664" spans="1:25" ht="15">
      <c r="A664" s="18">
        <v>19</v>
      </c>
      <c r="I664" s="39"/>
      <c r="J664" s="39"/>
      <c r="K664" s="39"/>
      <c r="L664" s="81"/>
      <c r="N664" s="81"/>
      <c r="X664" s="39"/>
      <c r="Y664" s="39"/>
    </row>
    <row r="665" spans="1:25" ht="15">
      <c r="A665" s="18">
        <v>20</v>
      </c>
      <c r="F665" s="5" t="s">
        <v>179</v>
      </c>
      <c r="I665" s="39"/>
      <c r="J665" s="39"/>
      <c r="K665" s="39"/>
      <c r="L665" s="81"/>
      <c r="N665" s="81"/>
      <c r="X665" s="39"/>
      <c r="Y665" s="39"/>
    </row>
    <row r="666" spans="1:25" ht="15">
      <c r="A666" s="18">
        <v>21</v>
      </c>
      <c r="F666" s="5" t="s">
        <v>173</v>
      </c>
      <c r="I666" s="27">
        <v>0.57</v>
      </c>
      <c r="J666" s="27">
        <f>IF(X666="","",X666)</f>
        <v>0.03</v>
      </c>
      <c r="K666" s="27">
        <f>I666+Y666</f>
        <v>0.6</v>
      </c>
      <c r="L666" s="27">
        <f>(K666-I666)</f>
        <v>0.030000000000000027</v>
      </c>
      <c r="N666" s="170">
        <f>L666/I666</f>
        <v>0.052631578947368474</v>
      </c>
      <c r="P666">
        <f>IF($Q$7=1,TEXT(I666,"$0.00"),"")</f>
      </c>
      <c r="Q666">
        <f>IF($Q$7=1,TEXT(VALUE(K666),"$0.00"),"")</f>
      </c>
      <c r="R666" s="166" t="str">
        <f>IF($Q$7=2,TEXT(VALUE(K666),"$0.00"),"")</f>
        <v>$0.60</v>
      </c>
      <c r="X666" s="27">
        <f>WCEC3!$M$22</f>
        <v>0.03</v>
      </c>
      <c r="Y666" s="27">
        <f>SUM(X666:X666)</f>
        <v>0.03</v>
      </c>
    </row>
    <row r="667" spans="1:25" ht="15">
      <c r="A667" s="18">
        <v>22</v>
      </c>
      <c r="F667" s="5" t="s">
        <v>174</v>
      </c>
      <c r="I667" s="27">
        <v>0.57</v>
      </c>
      <c r="J667" s="27">
        <f>IF(X667="","",X667)</f>
        <v>0.03</v>
      </c>
      <c r="K667" s="27">
        <f>I667+Y667</f>
        <v>0.6</v>
      </c>
      <c r="L667" s="27">
        <f>(K667-I667)</f>
        <v>0.030000000000000027</v>
      </c>
      <c r="N667" s="170">
        <f>L667/I667</f>
        <v>0.052631578947368474</v>
      </c>
      <c r="P667">
        <f>IF($Q$7=1,TEXT(I667,"$0.00"),"")</f>
      </c>
      <c r="Q667">
        <f>IF($Q$7=1,TEXT(VALUE(K667),"$0.00"),"")</f>
      </c>
      <c r="R667" s="166" t="str">
        <f>IF($Q$7=2,TEXT(VALUE(K667),"$0.00"),"")</f>
        <v>$0.60</v>
      </c>
      <c r="X667" s="27">
        <f>WCEC3!$M$22</f>
        <v>0.03</v>
      </c>
      <c r="Y667" s="27">
        <f>SUM(X667:X667)</f>
        <v>0.03</v>
      </c>
    </row>
    <row r="668" spans="1:25" ht="15">
      <c r="A668" s="18">
        <v>23</v>
      </c>
      <c r="F668" s="5" t="s">
        <v>175</v>
      </c>
      <c r="I668" s="27">
        <v>0.57</v>
      </c>
      <c r="J668" s="27">
        <f>IF(X668="","",X668)</f>
        <v>0.03</v>
      </c>
      <c r="K668" s="27">
        <f>I668+Y668</f>
        <v>0.6</v>
      </c>
      <c r="L668" s="27">
        <f>(K668-I668)</f>
        <v>0.030000000000000027</v>
      </c>
      <c r="N668" s="170">
        <f>L668/I668</f>
        <v>0.052631578947368474</v>
      </c>
      <c r="P668">
        <f>IF($Q$7=1,TEXT(I668,"$0.00"),"")</f>
      </c>
      <c r="Q668">
        <f>IF($Q$7=1,TEXT(VALUE(K668),"$0.00"),"")</f>
      </c>
      <c r="R668" s="166" t="str">
        <f>IF($Q$7=2,TEXT(VALUE(K668),"$0.00"),"")</f>
        <v>$0.60</v>
      </c>
      <c r="X668" s="27">
        <f>WCEC3!$M$22</f>
        <v>0.03</v>
      </c>
      <c r="Y668" s="27">
        <f>SUM(X668:X668)</f>
        <v>0.03</v>
      </c>
    </row>
    <row r="669" spans="1:25" ht="15">
      <c r="A669" s="18">
        <v>24</v>
      </c>
      <c r="F669" s="5" t="s">
        <v>176</v>
      </c>
      <c r="I669" s="27">
        <v>0.34</v>
      </c>
      <c r="J669" s="27">
        <f>IF(X669="","",X669)</f>
        <v>0.03</v>
      </c>
      <c r="K669" s="27">
        <f>I669+Y669</f>
        <v>0.37</v>
      </c>
      <c r="L669" s="27">
        <f>(K669-I669)</f>
        <v>0.02999999999999997</v>
      </c>
      <c r="N669" s="170">
        <f>L669/I669</f>
        <v>0.08823529411764697</v>
      </c>
      <c r="P669">
        <f>IF($Q$7=1,TEXT(I669,"$0.00"),"")</f>
      </c>
      <c r="Q669">
        <f>IF($Q$7=1,TEXT(VALUE(K669),"$0.00"),"")</f>
      </c>
      <c r="R669" s="166" t="str">
        <f>IF($Q$7=2,TEXT(VALUE(K669),"$0.00"),"")</f>
        <v>$0.37</v>
      </c>
      <c r="X669" s="27">
        <f>WCEC3!M23</f>
        <v>0.03</v>
      </c>
      <c r="Y669" s="27">
        <f>SUM(X669:X669)</f>
        <v>0.03</v>
      </c>
    </row>
    <row r="670" spans="1:25" ht="15">
      <c r="A670" s="18">
        <v>25</v>
      </c>
      <c r="I670" s="39"/>
      <c r="J670" s="39"/>
      <c r="K670" s="39"/>
      <c r="L670" s="81"/>
      <c r="N670" s="81"/>
      <c r="X670" s="39"/>
      <c r="Y670" s="39"/>
    </row>
    <row r="671" spans="1:25" ht="15">
      <c r="A671" s="18">
        <v>26</v>
      </c>
      <c r="F671" s="5" t="s">
        <v>180</v>
      </c>
      <c r="I671" s="39"/>
      <c r="J671" s="39"/>
      <c r="K671" s="39"/>
      <c r="L671" s="81"/>
      <c r="N671" s="81"/>
      <c r="X671" s="39"/>
      <c r="Y671" s="39"/>
    </row>
    <row r="672" spans="1:25" ht="15">
      <c r="A672" s="18">
        <v>27</v>
      </c>
      <c r="F672" s="5" t="s">
        <v>0</v>
      </c>
      <c r="I672" s="39" t="s">
        <v>90</v>
      </c>
      <c r="J672" s="39"/>
      <c r="K672" s="39" t="s">
        <v>90</v>
      </c>
      <c r="L672" s="81"/>
      <c r="N672" s="81"/>
      <c r="X672" s="39"/>
      <c r="Y672" s="39"/>
    </row>
    <row r="673" spans="1:25" ht="15">
      <c r="A673" s="18">
        <v>28</v>
      </c>
      <c r="F673" s="5" t="s">
        <v>1</v>
      </c>
      <c r="I673" s="39" t="s">
        <v>90</v>
      </c>
      <c r="J673" s="39"/>
      <c r="K673" s="39" t="s">
        <v>90</v>
      </c>
      <c r="L673" s="81"/>
      <c r="N673" s="81"/>
      <c r="X673" s="39"/>
      <c r="Y673" s="39"/>
    </row>
    <row r="674" spans="1:25" ht="15">
      <c r="A674" s="18">
        <v>29</v>
      </c>
      <c r="I674" s="39"/>
      <c r="J674" s="39"/>
      <c r="K674" s="39"/>
      <c r="L674" s="81"/>
      <c r="N674" s="81"/>
      <c r="X674" s="39"/>
      <c r="Y674" s="39"/>
    </row>
    <row r="675" spans="1:14" ht="15">
      <c r="A675" s="18">
        <v>30</v>
      </c>
      <c r="F675" s="5" t="s">
        <v>181</v>
      </c>
      <c r="L675" s="81"/>
      <c r="N675" s="81"/>
    </row>
    <row r="676" spans="1:25" ht="15">
      <c r="A676" s="18">
        <v>31</v>
      </c>
      <c r="F676" s="5" t="s">
        <v>173</v>
      </c>
      <c r="I676" s="38">
        <v>0.984</v>
      </c>
      <c r="J676" s="38">
        <f>IF(X676="","",X676)</f>
        <v>0</v>
      </c>
      <c r="K676" s="38">
        <f>I676+Y676</f>
        <v>0.984</v>
      </c>
      <c r="L676" s="38">
        <f>(K676-I676)</f>
        <v>0</v>
      </c>
      <c r="N676" s="170">
        <f>L676/I676</f>
        <v>0</v>
      </c>
      <c r="P676">
        <f>IF($Q$7=1,TEXT(I676,"0.000"),"")</f>
      </c>
      <c r="Q676">
        <f>IF($Q$7=1,TEXT(VALUE(K676),"0.000"),"")</f>
      </c>
      <c r="R676" s="166" t="str">
        <f>IF($Q$7=2,TEXT(VALUE(K676),"0.000"),"")</f>
        <v>0.984</v>
      </c>
      <c r="W676" s="12">
        <v>11</v>
      </c>
      <c r="X676" s="38">
        <f>WCEC3!J$22</f>
        <v>0</v>
      </c>
      <c r="Y676" s="38">
        <f>SUM(X676:X676)</f>
        <v>0</v>
      </c>
    </row>
    <row r="677" spans="1:25" ht="15">
      <c r="A677" s="18">
        <v>32</v>
      </c>
      <c r="F677" s="5" t="s">
        <v>174</v>
      </c>
      <c r="I677" s="38">
        <v>0.984</v>
      </c>
      <c r="J677" s="38">
        <f>IF(X677="","",X677)</f>
        <v>0</v>
      </c>
      <c r="K677" s="38">
        <f>I677+Y677</f>
        <v>0.984</v>
      </c>
      <c r="L677" s="38">
        <f>(K677-I677)</f>
        <v>0</v>
      </c>
      <c r="N677" s="170">
        <f>L677/I677</f>
        <v>0</v>
      </c>
      <c r="P677">
        <f>IF($Q$7=1,TEXT(I677,"0.000"),"")</f>
      </c>
      <c r="Q677">
        <f>IF($Q$7=1,TEXT(VALUE(K677),"0.000"),"")</f>
      </c>
      <c r="R677" s="166" t="str">
        <f>IF($Q$7=2,TEXT(VALUE(K677),"0.000"),"")</f>
        <v>0.984</v>
      </c>
      <c r="W677" s="12">
        <v>11</v>
      </c>
      <c r="X677" s="38">
        <f>WCEC3!J$22</f>
        <v>0</v>
      </c>
      <c r="Y677" s="38">
        <f>SUM(X677:X677)</f>
        <v>0</v>
      </c>
    </row>
    <row r="678" spans="1:25" ht="15">
      <c r="A678" s="18">
        <v>33</v>
      </c>
      <c r="F678" s="5" t="s">
        <v>175</v>
      </c>
      <c r="I678" s="38">
        <v>0.984</v>
      </c>
      <c r="J678" s="38">
        <f>IF(X678="","",X678)</f>
        <v>0</v>
      </c>
      <c r="K678" s="38">
        <f>I678+Y678</f>
        <v>0.984</v>
      </c>
      <c r="L678" s="38">
        <f>(K678-I678)</f>
        <v>0</v>
      </c>
      <c r="M678" s="9"/>
      <c r="N678" s="170">
        <f>L678/I678</f>
        <v>0</v>
      </c>
      <c r="P678">
        <f>IF($Q$7=1,TEXT(I678,"0.000"),"")</f>
      </c>
      <c r="Q678">
        <f>IF($Q$7=1,TEXT(VALUE(K678),"0.000"),"")</f>
      </c>
      <c r="R678" s="166" t="str">
        <f>IF($Q$7=2,TEXT(VALUE(K678),"0.000"),"")</f>
        <v>0.984</v>
      </c>
      <c r="W678" s="12">
        <v>11</v>
      </c>
      <c r="X678" s="38">
        <f>WCEC3!J$22</f>
        <v>0</v>
      </c>
      <c r="Y678" s="38">
        <f>SUM(X678:X678)</f>
        <v>0</v>
      </c>
    </row>
    <row r="679" spans="1:25" ht="15">
      <c r="A679" s="18">
        <v>34</v>
      </c>
      <c r="B679" s="5"/>
      <c r="C679" s="5"/>
      <c r="F679" s="5" t="s">
        <v>176</v>
      </c>
      <c r="I679" s="38">
        <v>0.957</v>
      </c>
      <c r="J679" s="38">
        <f>IF(X679="","",X679)</f>
        <v>0</v>
      </c>
      <c r="K679" s="38">
        <f>I679+Y679</f>
        <v>0.957</v>
      </c>
      <c r="L679" s="38">
        <f>(K679-I679)</f>
        <v>0</v>
      </c>
      <c r="N679" s="170">
        <f>L679/I679</f>
        <v>0</v>
      </c>
      <c r="P679">
        <f>IF($Q$7=1,TEXT(I679,"0.000"),"")</f>
      </c>
      <c r="Q679">
        <f>IF($Q$7=1,TEXT(VALUE(K679),"0.000"),"")</f>
      </c>
      <c r="R679" s="166" t="str">
        <f>IF($Q$7=2,TEXT(VALUE(K679),"0.000"),"")</f>
        <v>0.957</v>
      </c>
      <c r="W679" s="12">
        <v>10</v>
      </c>
      <c r="X679" s="38">
        <f>WCEC3!J$23</f>
        <v>0</v>
      </c>
      <c r="Y679" s="38">
        <f>SUM(X679:X679)</f>
        <v>0</v>
      </c>
    </row>
    <row r="680" spans="1:14" ht="15">
      <c r="A680" s="18">
        <v>35</v>
      </c>
      <c r="B680" s="5"/>
      <c r="C680" s="5"/>
      <c r="F680" s="5" t="s">
        <v>182</v>
      </c>
      <c r="L680" s="5"/>
      <c r="N680" s="5"/>
    </row>
    <row r="681" spans="1:25" ht="15">
      <c r="A681" s="18">
        <v>36</v>
      </c>
      <c r="F681" s="5" t="s">
        <v>173</v>
      </c>
      <c r="I681" s="38">
        <v>0.984</v>
      </c>
      <c r="J681" s="38">
        <f>IF(X681="","",X681)</f>
        <v>0</v>
      </c>
      <c r="K681" s="38">
        <f>I681+Y681</f>
        <v>0.984</v>
      </c>
      <c r="L681" s="38">
        <f>(K681-I681)</f>
        <v>0</v>
      </c>
      <c r="N681" s="170">
        <f>L681/I681</f>
        <v>0</v>
      </c>
      <c r="P681">
        <f>IF($Q$7=1,TEXT(I681,"0.000"),"")</f>
      </c>
      <c r="Q681">
        <f>IF($Q$7=1,TEXT(VALUE(K681),"0.000"),"")</f>
      </c>
      <c r="R681" s="166" t="str">
        <f>IF($Q$7=2,TEXT(VALUE(K681),"0.000"),"")</f>
        <v>0.984</v>
      </c>
      <c r="W681" s="12">
        <v>11</v>
      </c>
      <c r="X681" s="38">
        <f>WCEC3!J$22</f>
        <v>0</v>
      </c>
      <c r="Y681" s="38">
        <f>SUM(X681:X681)</f>
        <v>0</v>
      </c>
    </row>
    <row r="682" spans="1:25" ht="15">
      <c r="A682" s="18">
        <v>37</v>
      </c>
      <c r="F682" s="5" t="s">
        <v>174</v>
      </c>
      <c r="I682" s="38">
        <v>0.984</v>
      </c>
      <c r="J682" s="38">
        <f>IF(X682="","",X682)</f>
        <v>0</v>
      </c>
      <c r="K682" s="38">
        <f>I682+Y682</f>
        <v>0.984</v>
      </c>
      <c r="L682" s="38">
        <f>(K682-I682)</f>
        <v>0</v>
      </c>
      <c r="N682" s="170">
        <f>L682/I682</f>
        <v>0</v>
      </c>
      <c r="P682">
        <f>IF($Q$7=1,TEXT(I682,"0.000"),"")</f>
      </c>
      <c r="Q682">
        <f>IF($Q$7=1,TEXT(VALUE(K682),"0.000"),"")</f>
      </c>
      <c r="R682" s="166" t="str">
        <f>IF($Q$7=2,TEXT(VALUE(K682),"0.000"),"")</f>
        <v>0.984</v>
      </c>
      <c r="W682" s="12">
        <v>11</v>
      </c>
      <c r="X682" s="38">
        <f>WCEC3!J$22</f>
        <v>0</v>
      </c>
      <c r="Y682" s="38">
        <f>SUM(X682:X682)</f>
        <v>0</v>
      </c>
    </row>
    <row r="683" spans="1:25" ht="15">
      <c r="A683" s="18">
        <v>38</v>
      </c>
      <c r="F683" s="5" t="s">
        <v>175</v>
      </c>
      <c r="I683" s="38">
        <v>0.984</v>
      </c>
      <c r="J683" s="38">
        <f>IF(X683="","",X683)</f>
        <v>0</v>
      </c>
      <c r="K683" s="38">
        <f>I683+Y683</f>
        <v>0.984</v>
      </c>
      <c r="L683" s="38">
        <f>(K683-I683)</f>
        <v>0</v>
      </c>
      <c r="N683" s="170">
        <f>L683/I683</f>
        <v>0</v>
      </c>
      <c r="P683">
        <f>IF($Q$7=1,TEXT(I683,"0.000"),"")</f>
      </c>
      <c r="Q683">
        <f>IF($Q$7=1,TEXT(VALUE(K683),"0.000"),"")</f>
      </c>
      <c r="R683" s="166" t="str">
        <f>IF($Q$7=2,TEXT(VALUE(K683),"0.000"),"")</f>
        <v>0.984</v>
      </c>
      <c r="W683" s="12">
        <v>11</v>
      </c>
      <c r="X683" s="38">
        <f>WCEC3!J$22</f>
        <v>0</v>
      </c>
      <c r="Y683" s="38">
        <f>SUM(X683:X683)</f>
        <v>0</v>
      </c>
    </row>
    <row r="684" spans="1:25" ht="15">
      <c r="A684" s="18">
        <v>39</v>
      </c>
      <c r="F684" s="5" t="s">
        <v>176</v>
      </c>
      <c r="I684" s="38">
        <v>0.957</v>
      </c>
      <c r="J684" s="38">
        <f>IF(X684="","",X684)</f>
        <v>0</v>
      </c>
      <c r="K684" s="38">
        <f>I684+Y684</f>
        <v>0.957</v>
      </c>
      <c r="L684" s="38">
        <f>(K684-I684)</f>
        <v>0</v>
      </c>
      <c r="N684" s="170">
        <f>L684/I684</f>
        <v>0</v>
      </c>
      <c r="P684">
        <f>IF($Q$7=1,TEXT(I684,"0.000"),"")</f>
      </c>
      <c r="Q684">
        <f>IF($Q$7=1,TEXT(VALUE(K684),"0.000"),"")</f>
      </c>
      <c r="R684" s="166" t="str">
        <f>IF($Q$7=2,TEXT(VALUE(K684),"0.000"),"")</f>
        <v>0.957</v>
      </c>
      <c r="W684" s="12">
        <v>10</v>
      </c>
      <c r="X684" s="38">
        <f>WCEC3!J$23</f>
        <v>0</v>
      </c>
      <c r="Y684" s="38">
        <f>SUM(X684:X684)</f>
        <v>0</v>
      </c>
    </row>
    <row r="685" spans="1:14" ht="15">
      <c r="A685" s="18">
        <v>40</v>
      </c>
      <c r="L685" s="81"/>
      <c r="N685" s="81"/>
    </row>
    <row r="686" spans="1:14" ht="15">
      <c r="A686" s="18">
        <v>41</v>
      </c>
      <c r="L686" s="81"/>
      <c r="N686" s="81"/>
    </row>
    <row r="687" spans="1:25" ht="15">
      <c r="A687" s="18">
        <v>42</v>
      </c>
      <c r="F687" s="7"/>
      <c r="G687" s="7"/>
      <c r="H687" s="7"/>
      <c r="I687" s="7"/>
      <c r="J687" s="7"/>
      <c r="K687" s="7"/>
      <c r="L687" s="88"/>
      <c r="N687" s="88"/>
      <c r="X687" s="7"/>
      <c r="Y687" s="7"/>
    </row>
    <row r="688" spans="3:25" ht="15">
      <c r="C688" s="43"/>
      <c r="F688" s="7"/>
      <c r="G688" s="7"/>
      <c r="H688" s="7"/>
      <c r="I688" s="7"/>
      <c r="J688" s="7"/>
      <c r="K688" s="7"/>
      <c r="L688" s="88"/>
      <c r="N688" s="88"/>
      <c r="X688" s="7"/>
      <c r="Y688" s="7"/>
    </row>
    <row r="689" spans="1:25" ht="15" thickBot="1">
      <c r="A689" s="16"/>
      <c r="B689" s="3"/>
      <c r="C689" s="3"/>
      <c r="D689" s="41"/>
      <c r="E689" s="41"/>
      <c r="F689" s="41"/>
      <c r="G689" s="41"/>
      <c r="H689" s="41"/>
      <c r="I689" s="41"/>
      <c r="J689" s="41"/>
      <c r="K689" s="41"/>
      <c r="L689" s="84"/>
      <c r="M689" s="41"/>
      <c r="N689" s="84"/>
      <c r="O689" s="41"/>
      <c r="X689" s="41"/>
      <c r="Y689" s="41"/>
    </row>
    <row r="690" spans="1:25" ht="15">
      <c r="A690" s="45" t="s">
        <v>31</v>
      </c>
      <c r="B690" s="14"/>
      <c r="C690" s="14"/>
      <c r="D690" s="45"/>
      <c r="E690" s="45"/>
      <c r="F690" s="45"/>
      <c r="G690" s="45"/>
      <c r="H690" s="45"/>
      <c r="I690" s="45"/>
      <c r="J690" s="45"/>
      <c r="K690" s="45" t="s">
        <v>32</v>
      </c>
      <c r="L690" s="85"/>
      <c r="M690" s="45"/>
      <c r="N690" s="85"/>
      <c r="O690" s="1"/>
      <c r="X690" s="45"/>
      <c r="Y690" s="45"/>
    </row>
    <row r="691" spans="1:25" ht="15" thickBot="1">
      <c r="A691" s="18">
        <v>1</v>
      </c>
      <c r="D691" s="24" t="s">
        <v>183</v>
      </c>
      <c r="E691" s="24"/>
      <c r="F691" s="70" t="s">
        <v>184</v>
      </c>
      <c r="G691" s="24"/>
      <c r="H691" s="24"/>
      <c r="I691" s="24"/>
      <c r="J691" s="24"/>
      <c r="K691" s="24"/>
      <c r="L691" s="82"/>
      <c r="N691" s="82"/>
      <c r="X691" s="24"/>
      <c r="Y691" s="24"/>
    </row>
    <row r="692" spans="1:25" ht="15">
      <c r="A692" s="18">
        <v>2</v>
      </c>
      <c r="F692" s="28" t="s">
        <v>35</v>
      </c>
      <c r="G692" s="28"/>
      <c r="H692" s="28"/>
      <c r="I692" s="28"/>
      <c r="J692" s="28"/>
      <c r="K692" s="28"/>
      <c r="L692" s="81"/>
      <c r="N692" s="81"/>
      <c r="X692" s="28"/>
      <c r="Y692" s="28"/>
    </row>
    <row r="693" spans="1:25" ht="15">
      <c r="A693" s="18">
        <v>3</v>
      </c>
      <c r="F693" s="28" t="s">
        <v>185</v>
      </c>
      <c r="G693" s="28"/>
      <c r="H693" s="28"/>
      <c r="I693" s="27">
        <v>421.57</v>
      </c>
      <c r="J693" s="27">
        <f>IF(X693="","",X693)</f>
      </c>
      <c r="K693" s="27">
        <f>I693+Y693</f>
        <v>421.57</v>
      </c>
      <c r="L693" s="27">
        <f>(K693-I693)</f>
        <v>0</v>
      </c>
      <c r="N693" s="170">
        <f>L693/I693</f>
        <v>0</v>
      </c>
      <c r="P693">
        <f>IF($Q$7=1,TEXT(I693,"$0.00"),"")</f>
      </c>
      <c r="Q693">
        <f>IF($Q$7=1,TEXT(VALUE(K693),"$0.00"),"")</f>
      </c>
      <c r="R693" s="166" t="str">
        <f>IF($Q$7=2,TEXT(VALUE(K693),"$0.00"),"")</f>
        <v>$421.57</v>
      </c>
      <c r="X693" s="27"/>
      <c r="Y693" s="27">
        <f>SUM(X693:X693)</f>
        <v>0</v>
      </c>
    </row>
    <row r="694" spans="1:25" ht="15">
      <c r="A694" s="18">
        <v>4</v>
      </c>
      <c r="F694" s="28" t="s">
        <v>186</v>
      </c>
      <c r="G694" s="28"/>
      <c r="H694" s="28"/>
      <c r="I694" s="27">
        <v>2125.83</v>
      </c>
      <c r="J694" s="27">
        <f>IF(X694="","",X694)</f>
      </c>
      <c r="K694" s="27">
        <f>I694+Y694</f>
        <v>2125.83</v>
      </c>
      <c r="L694" s="27">
        <f>(K694-I694)</f>
        <v>0</v>
      </c>
      <c r="N694" s="170">
        <f>L694/I694</f>
        <v>0</v>
      </c>
      <c r="P694">
        <f>IF($Q$7=1,TEXT(I694,"$0.00"),"")</f>
      </c>
      <c r="Q694">
        <f>IF($Q$7=1,TEXT(VALUE(K694),"$0,000.00"),"")</f>
      </c>
      <c r="R694" s="166" t="str">
        <f>IF($Q$7=2,TEXT(VALUE(K694),"$0,000.00"),"")</f>
        <v>$2,125.83</v>
      </c>
      <c r="X694" s="27"/>
      <c r="Y694" s="27">
        <f>SUM(X694:X694)</f>
        <v>0</v>
      </c>
    </row>
    <row r="695" spans="1:25" ht="15">
      <c r="A695" s="18">
        <v>5</v>
      </c>
      <c r="F695" s="28"/>
      <c r="G695" s="28"/>
      <c r="H695" s="28"/>
      <c r="I695" s="28"/>
      <c r="J695" s="28"/>
      <c r="K695" s="28"/>
      <c r="M695" s="41"/>
      <c r="X695" s="28"/>
      <c r="Y695" s="28"/>
    </row>
    <row r="696" spans="1:25" ht="15">
      <c r="A696" s="18">
        <v>6</v>
      </c>
      <c r="F696" s="28" t="s">
        <v>187</v>
      </c>
      <c r="G696" s="28"/>
      <c r="H696" s="28"/>
      <c r="I696" s="28"/>
      <c r="J696" s="28"/>
      <c r="K696" s="28"/>
      <c r="X696" s="28"/>
      <c r="Y696" s="28"/>
    </row>
    <row r="697" spans="1:25" ht="15">
      <c r="A697" s="18">
        <v>7</v>
      </c>
      <c r="F697" s="28" t="s">
        <v>185</v>
      </c>
      <c r="G697" s="28"/>
      <c r="H697" s="28"/>
      <c r="I697" s="27">
        <v>3.03</v>
      </c>
      <c r="J697" s="27">
        <f>IF(X697="","",X697)</f>
      </c>
      <c r="K697" s="27">
        <f>I697+Y697</f>
        <v>3.03</v>
      </c>
      <c r="L697" s="27">
        <f>(K697-I697)</f>
        <v>0</v>
      </c>
      <c r="N697" s="170">
        <f>L697/I697</f>
        <v>0</v>
      </c>
      <c r="P697">
        <f>IF($Q$7=1,TEXT(I697,"$0.00"),"")</f>
      </c>
      <c r="Q697">
        <f>IF($Q$7=1,TEXT(VALUE(K697),"$0.00"),"")</f>
      </c>
      <c r="R697" s="166" t="str">
        <f>IF($Q$7=2,TEXT(VALUE(K697),"$0.00"),"")</f>
        <v>$3.03</v>
      </c>
      <c r="X697" s="27"/>
      <c r="Y697" s="27">
        <f>SUM(X697:X697)</f>
        <v>0</v>
      </c>
    </row>
    <row r="698" spans="1:25" ht="15">
      <c r="A698" s="18">
        <v>8</v>
      </c>
      <c r="F698" s="28" t="s">
        <v>186</v>
      </c>
      <c r="G698" s="28"/>
      <c r="H698" s="28"/>
      <c r="I698" s="55" t="s">
        <v>78</v>
      </c>
      <c r="J698" s="55"/>
      <c r="K698" s="55" t="s">
        <v>78</v>
      </c>
      <c r="L698" s="55" t="s">
        <v>78</v>
      </c>
      <c r="N698" s="55"/>
      <c r="X698" s="55"/>
      <c r="Y698" s="55"/>
    </row>
    <row r="699" spans="1:25" ht="15">
      <c r="A699" s="18">
        <v>9</v>
      </c>
      <c r="F699" s="28"/>
      <c r="G699" s="28"/>
      <c r="H699" s="28"/>
      <c r="I699" s="28"/>
      <c r="J699" s="28"/>
      <c r="K699" s="28"/>
      <c r="X699" s="28"/>
      <c r="Y699" s="28"/>
    </row>
    <row r="700" spans="1:25" ht="15">
      <c r="A700" s="18">
        <v>10</v>
      </c>
      <c r="F700" s="28" t="s">
        <v>188</v>
      </c>
      <c r="G700" s="28"/>
      <c r="H700" s="28"/>
      <c r="I700" s="28"/>
      <c r="J700" s="28"/>
      <c r="K700" s="28"/>
      <c r="X700" s="28"/>
      <c r="Y700" s="28"/>
    </row>
    <row r="701" spans="1:25" ht="15">
      <c r="A701" s="18">
        <v>11</v>
      </c>
      <c r="F701" s="28" t="s">
        <v>185</v>
      </c>
      <c r="G701" s="28"/>
      <c r="H701" s="28"/>
      <c r="I701" s="27">
        <v>0.16</v>
      </c>
      <c r="J701" s="27">
        <f>IF(X701="","",X701)</f>
        <v>0.06</v>
      </c>
      <c r="K701" s="27">
        <f>I701+Y701</f>
        <v>0.22</v>
      </c>
      <c r="L701" s="27">
        <f>(K701-I701)</f>
        <v>0.06</v>
      </c>
      <c r="N701" s="170">
        <f>L701/I701</f>
        <v>0.375</v>
      </c>
      <c r="P701">
        <f>IF($Q$7=1,TEXT(I701,"$0.00"),"")</f>
      </c>
      <c r="Q701">
        <f>IF($Q$7=1,TEXT(VALUE(K701),"$0.00"),"")</f>
      </c>
      <c r="R701" s="166" t="str">
        <f>IF($Q$7=2,TEXT(VALUE(K701),"$0.00"),"")</f>
        <v>$0.22</v>
      </c>
      <c r="X701" s="27">
        <f>WCEC3!L22</f>
        <v>0.06</v>
      </c>
      <c r="Y701" s="27">
        <f>SUM(X701:X701)</f>
        <v>0.06</v>
      </c>
    </row>
    <row r="702" spans="1:25" ht="15">
      <c r="A702" s="18">
        <v>12</v>
      </c>
      <c r="F702" s="28" t="s">
        <v>186</v>
      </c>
      <c r="G702" s="28"/>
      <c r="H702" s="28"/>
      <c r="I702" s="27">
        <v>0.24</v>
      </c>
      <c r="J702" s="27">
        <f>IF(X702="","",X702)</f>
        <v>0.06</v>
      </c>
      <c r="K702" s="27">
        <f>I702+Y702</f>
        <v>0.3</v>
      </c>
      <c r="L702" s="27">
        <f>(K702-I702)</f>
        <v>0.06</v>
      </c>
      <c r="N702" s="170">
        <f>L702/I702</f>
        <v>0.25</v>
      </c>
      <c r="P702">
        <f>IF($Q$7=1,TEXT(I702,"$0.00"),"")</f>
      </c>
      <c r="Q702">
        <f>IF($Q$7=1,TEXT(VALUE(K702),"$0.00"),"")</f>
      </c>
      <c r="R702" s="166" t="str">
        <f>IF($Q$7=2,TEXT(VALUE(K702),"$0.00"),"")</f>
        <v>$0.30</v>
      </c>
      <c r="X702" s="27">
        <f>WCEC3!L23</f>
        <v>0.06</v>
      </c>
      <c r="Y702" s="27">
        <f>SUM(X702:X702)</f>
        <v>0.06</v>
      </c>
    </row>
    <row r="703" spans="1:25" ht="15">
      <c r="A703" s="18">
        <v>13</v>
      </c>
      <c r="F703" s="28"/>
      <c r="G703" s="28"/>
      <c r="H703" s="28"/>
      <c r="I703" s="28"/>
      <c r="J703" s="28"/>
      <c r="K703" s="28"/>
      <c r="X703" s="28"/>
      <c r="Y703" s="28"/>
    </row>
    <row r="704" spans="1:25" ht="15">
      <c r="A704" s="18">
        <v>14</v>
      </c>
      <c r="F704" s="28" t="s">
        <v>189</v>
      </c>
      <c r="G704" s="28"/>
      <c r="H704" s="28"/>
      <c r="I704" s="28"/>
      <c r="J704" s="28"/>
      <c r="K704" s="28"/>
      <c r="M704" s="7"/>
      <c r="X704" s="28"/>
      <c r="Y704" s="28"/>
    </row>
    <row r="705" spans="1:25" ht="15">
      <c r="A705" s="18">
        <v>15</v>
      </c>
      <c r="F705" s="28" t="s">
        <v>185</v>
      </c>
      <c r="G705" s="28"/>
      <c r="H705" s="28"/>
      <c r="I705" s="27">
        <v>1.17</v>
      </c>
      <c r="J705" s="27">
        <f>IF(X705="","",X705)</f>
        <v>0.06</v>
      </c>
      <c r="K705" s="27">
        <f>I705+Y705</f>
        <v>1.23</v>
      </c>
      <c r="L705" s="27">
        <f>(K705-I705)</f>
        <v>0.06000000000000005</v>
      </c>
      <c r="N705" s="170">
        <f>L705/I705</f>
        <v>0.05128205128205133</v>
      </c>
      <c r="P705">
        <f>IF($Q$7=1,TEXT(I705,"$0.00"),"")</f>
      </c>
      <c r="Q705">
        <f>IF($Q$7=1,TEXT(VALUE(K705),"$0.00"),"")</f>
      </c>
      <c r="R705" s="166" t="str">
        <f>IF($Q$7=2,TEXT(VALUE(K705),"$0.00"),"")</f>
        <v>$1.23</v>
      </c>
      <c r="X705" s="27">
        <f>WCEC3!L22</f>
        <v>0.06</v>
      </c>
      <c r="Y705" s="27">
        <f>SUM(X705:X705)</f>
        <v>0.06</v>
      </c>
    </row>
    <row r="706" spans="1:25" ht="15">
      <c r="A706" s="18">
        <v>16</v>
      </c>
      <c r="D706" s="41"/>
      <c r="E706" s="41"/>
      <c r="F706" s="28" t="s">
        <v>186</v>
      </c>
      <c r="G706" s="28"/>
      <c r="H706" s="28"/>
      <c r="I706" s="27">
        <v>0.97</v>
      </c>
      <c r="J706" s="27">
        <f>IF(X706="","",X706)</f>
        <v>0.06</v>
      </c>
      <c r="K706" s="27">
        <f>I706+Y706</f>
        <v>1.03</v>
      </c>
      <c r="L706" s="27">
        <f>(K706-I706)</f>
        <v>0.06000000000000005</v>
      </c>
      <c r="M706" s="7"/>
      <c r="N706" s="170">
        <f>L706/I706</f>
        <v>0.06185567010309284</v>
      </c>
      <c r="P706">
        <f>IF($Q$7=1,TEXT(I706,"$0.00"),"")</f>
      </c>
      <c r="Q706">
        <f>IF($Q$7=1,TEXT(VALUE(K706),"$0.00"),"")</f>
      </c>
      <c r="R706" s="166" t="str">
        <f>IF($Q$7=2,TEXT(VALUE(K706),"$0.00"),"")</f>
        <v>$1.03</v>
      </c>
      <c r="X706" s="27">
        <f>WCEC3!L23</f>
        <v>0.06</v>
      </c>
      <c r="Y706" s="27">
        <f>SUM(X706:X706)</f>
        <v>0.06</v>
      </c>
    </row>
    <row r="707" spans="1:25" s="42" customFormat="1" ht="15">
      <c r="A707" s="18">
        <v>17</v>
      </c>
      <c r="B707" s="3"/>
      <c r="C707" s="3"/>
      <c r="D707" s="18"/>
      <c r="E707" s="18"/>
      <c r="F707" s="28"/>
      <c r="G707" s="28"/>
      <c r="H707" s="28"/>
      <c r="I707" s="28"/>
      <c r="J707" s="28"/>
      <c r="K707" s="28"/>
      <c r="L707" s="84"/>
      <c r="M707" s="7"/>
      <c r="N707" s="84"/>
      <c r="O707" s="6"/>
      <c r="P707"/>
      <c r="Q707"/>
      <c r="R707" s="166"/>
      <c r="S707" s="6"/>
      <c r="T707" s="6"/>
      <c r="U707" s="6"/>
      <c r="V707" s="6"/>
      <c r="W707" s="78"/>
      <c r="X707" s="28"/>
      <c r="Y707" s="28"/>
    </row>
    <row r="708" spans="1:25" ht="15">
      <c r="A708" s="18">
        <v>18</v>
      </c>
      <c r="F708" s="28" t="s">
        <v>180</v>
      </c>
      <c r="G708" s="28"/>
      <c r="H708" s="28"/>
      <c r="I708" s="28"/>
      <c r="J708" s="28"/>
      <c r="K708" s="28"/>
      <c r="L708" s="81"/>
      <c r="N708" s="81"/>
      <c r="X708" s="28"/>
      <c r="Y708" s="28"/>
    </row>
    <row r="709" spans="1:25" ht="15">
      <c r="A709" s="18">
        <v>19</v>
      </c>
      <c r="F709" s="28" t="s">
        <v>0</v>
      </c>
      <c r="G709" s="28"/>
      <c r="H709" s="28"/>
      <c r="I709" s="28" t="s">
        <v>90</v>
      </c>
      <c r="J709" s="28"/>
      <c r="K709" s="28" t="s">
        <v>90</v>
      </c>
      <c r="L709" s="81"/>
      <c r="N709" s="81"/>
      <c r="X709" s="28"/>
      <c r="Y709" s="28"/>
    </row>
    <row r="710" spans="1:25" ht="15">
      <c r="A710" s="18">
        <v>20</v>
      </c>
      <c r="F710" s="28" t="s">
        <v>1</v>
      </c>
      <c r="G710" s="28"/>
      <c r="H710" s="28"/>
      <c r="I710" s="28" t="s">
        <v>90</v>
      </c>
      <c r="J710" s="28"/>
      <c r="K710" s="28" t="s">
        <v>90</v>
      </c>
      <c r="L710" s="81"/>
      <c r="N710" s="81"/>
      <c r="X710" s="28"/>
      <c r="Y710" s="28"/>
    </row>
    <row r="711" spans="1:25" ht="15">
      <c r="A711" s="18">
        <v>21</v>
      </c>
      <c r="F711" s="28"/>
      <c r="G711" s="28"/>
      <c r="H711" s="28"/>
      <c r="I711" s="28"/>
      <c r="J711" s="28"/>
      <c r="K711" s="28"/>
      <c r="L711" s="81"/>
      <c r="N711" s="81"/>
      <c r="X711" s="28"/>
      <c r="Y711" s="28"/>
    </row>
    <row r="712" spans="1:25" ht="15">
      <c r="A712" s="18">
        <v>22</v>
      </c>
      <c r="F712" s="28" t="s">
        <v>190</v>
      </c>
      <c r="G712" s="28"/>
      <c r="H712" s="28"/>
      <c r="I712" s="28"/>
      <c r="J712" s="28"/>
      <c r="K712" s="28"/>
      <c r="L712" s="81"/>
      <c r="M712" s="9"/>
      <c r="N712" s="81"/>
      <c r="X712" s="28"/>
      <c r="Y712" s="28"/>
    </row>
    <row r="713" spans="1:25" ht="15">
      <c r="A713" s="18">
        <v>23</v>
      </c>
      <c r="F713" s="28" t="s">
        <v>185</v>
      </c>
      <c r="G713" s="28"/>
      <c r="H713" s="28"/>
      <c r="I713" s="55">
        <v>0.57</v>
      </c>
      <c r="J713" s="55">
        <f>IF(X713="","",X713)</f>
        <v>0.03</v>
      </c>
      <c r="K713" s="55">
        <f>I713+Y713</f>
        <v>0.6</v>
      </c>
      <c r="L713" s="27">
        <f>(K713-I713)</f>
        <v>0.030000000000000027</v>
      </c>
      <c r="N713" s="170">
        <f>L713/I713</f>
        <v>0.052631578947368474</v>
      </c>
      <c r="P713">
        <f>IF($Q$7=1,TEXT(I713,"$0.00"),"")</f>
      </c>
      <c r="Q713">
        <f>IF($Q$7=1,TEXT(VALUE(K713),"$0.00"),"")</f>
      </c>
      <c r="R713" s="166" t="str">
        <f>IF($Q$7=2,TEXT(VALUE(K713),"$0.00"),"")</f>
        <v>$0.60</v>
      </c>
      <c r="X713" s="55">
        <f>WCEC3!M22</f>
        <v>0.03</v>
      </c>
      <c r="Y713" s="55">
        <f>SUM(X713:X713)</f>
        <v>0.03</v>
      </c>
    </row>
    <row r="714" spans="1:25" ht="15">
      <c r="A714" s="18">
        <v>24</v>
      </c>
      <c r="D714" s="7"/>
      <c r="E714" s="7"/>
      <c r="F714" s="28" t="s">
        <v>186</v>
      </c>
      <c r="G714" s="28"/>
      <c r="H714" s="28"/>
      <c r="I714" s="55">
        <v>0.45</v>
      </c>
      <c r="J714" s="55">
        <f>IF(X714="","",X714)</f>
        <v>0.03</v>
      </c>
      <c r="K714" s="55">
        <f>I714+Y714</f>
        <v>0.48</v>
      </c>
      <c r="L714" s="27">
        <f>(K714-I714)</f>
        <v>0.02999999999999997</v>
      </c>
      <c r="N714" s="170">
        <f>L714/I714</f>
        <v>0.0666666666666666</v>
      </c>
      <c r="P714">
        <f>IF($Q$7=1,TEXT(I714,"$0.00"),"")</f>
      </c>
      <c r="Q714">
        <f>IF($Q$7=1,TEXT(VALUE(K714),"$0.00"),"")</f>
      </c>
      <c r="R714" s="166" t="str">
        <f>IF($Q$7=2,TEXT(VALUE(K714),"$0.00"),"")</f>
        <v>$0.48</v>
      </c>
      <c r="X714" s="55">
        <f>WCEC3!M23</f>
        <v>0.03</v>
      </c>
      <c r="Y714" s="55">
        <f>SUM(X714:X714)</f>
        <v>0.03</v>
      </c>
    </row>
    <row r="715" spans="1:25" ht="15">
      <c r="A715" s="18">
        <v>25</v>
      </c>
      <c r="F715" s="28"/>
      <c r="G715" s="28"/>
      <c r="H715" s="28"/>
      <c r="I715" s="28"/>
      <c r="J715" s="28"/>
      <c r="K715" s="28"/>
      <c r="L715" s="83"/>
      <c r="N715" s="83"/>
      <c r="X715" s="28"/>
      <c r="Y715" s="28"/>
    </row>
    <row r="716" spans="1:25" ht="15">
      <c r="A716" s="18">
        <v>26</v>
      </c>
      <c r="D716" s="7"/>
      <c r="E716" s="7"/>
      <c r="F716" s="28" t="s">
        <v>191</v>
      </c>
      <c r="G716" s="28"/>
      <c r="H716" s="28"/>
      <c r="I716" s="28"/>
      <c r="J716" s="28"/>
      <c r="K716" s="28"/>
      <c r="L716" s="81"/>
      <c r="N716" s="81"/>
      <c r="X716" s="28"/>
      <c r="Y716" s="28"/>
    </row>
    <row r="717" spans="1:25" ht="15">
      <c r="A717" s="18">
        <v>27</v>
      </c>
      <c r="D717" s="7"/>
      <c r="E717" s="7"/>
      <c r="F717" s="28" t="s">
        <v>185</v>
      </c>
      <c r="G717" s="28"/>
      <c r="H717" s="28"/>
      <c r="I717" s="27">
        <v>0.07</v>
      </c>
      <c r="J717" s="27">
        <f>IF(X717="","",X717)</f>
        <v>0.03</v>
      </c>
      <c r="K717" s="27">
        <f>I717+Y717</f>
        <v>0.1</v>
      </c>
      <c r="L717" s="27">
        <f>(K717-I717)</f>
        <v>0.03</v>
      </c>
      <c r="N717" s="170">
        <f>L717/I717</f>
        <v>0.4285714285714285</v>
      </c>
      <c r="P717">
        <f>IF($Q$7=1,TEXT(I717,"$0.00"),"")</f>
      </c>
      <c r="Q717">
        <f>IF($Q$7=1,TEXT(VALUE(K717),"$0.00"),"")</f>
      </c>
      <c r="R717" s="166" t="str">
        <f>IF($Q$7=2,TEXT(VALUE(K717),"$0.00"),"")</f>
        <v>$0.10</v>
      </c>
      <c r="X717" s="27">
        <f>WCEC3!M22</f>
        <v>0.03</v>
      </c>
      <c r="Y717" s="27">
        <f>SUM(X717:X717)</f>
        <v>0.03</v>
      </c>
    </row>
    <row r="718" spans="1:25" ht="15">
      <c r="A718" s="18">
        <v>28</v>
      </c>
      <c r="F718" s="28" t="s">
        <v>186</v>
      </c>
      <c r="G718" s="28"/>
      <c r="H718" s="28"/>
      <c r="I718" s="27">
        <v>0.09</v>
      </c>
      <c r="J718" s="27">
        <f>IF(X718="","",X718)</f>
        <v>0.03</v>
      </c>
      <c r="K718" s="27">
        <f>I718+Y718</f>
        <v>0.12</v>
      </c>
      <c r="L718" s="27">
        <f>(K718-I718)</f>
        <v>0.03</v>
      </c>
      <c r="N718" s="170">
        <f>L718/I718</f>
        <v>0.3333333333333333</v>
      </c>
      <c r="P718">
        <f>IF($Q$7=1,TEXT(I718,"$0.00"),"")</f>
      </c>
      <c r="Q718">
        <f>IF($Q$7=1,TEXT(VALUE(K718),"$0.00"),"")</f>
      </c>
      <c r="R718" s="166" t="str">
        <f>IF($Q$7=2,TEXT(VALUE(K718),"$0.00"),"")</f>
        <v>$0.12</v>
      </c>
      <c r="X718" s="27">
        <f>WCEC3!M23</f>
        <v>0.03</v>
      </c>
      <c r="Y718" s="27">
        <f>SUM(X718:X718)</f>
        <v>0.03</v>
      </c>
    </row>
    <row r="719" spans="1:25" ht="15">
      <c r="A719" s="18">
        <v>29</v>
      </c>
      <c r="F719" s="28"/>
      <c r="G719" s="28"/>
      <c r="H719" s="28"/>
      <c r="I719" s="28"/>
      <c r="J719" s="28"/>
      <c r="K719" s="28"/>
      <c r="L719" s="81"/>
      <c r="N719" s="81"/>
      <c r="X719" s="28"/>
      <c r="Y719" s="28"/>
    </row>
    <row r="720" spans="1:25" ht="15">
      <c r="A720" s="18">
        <v>30</v>
      </c>
      <c r="F720" s="28" t="s">
        <v>181</v>
      </c>
      <c r="G720" s="28"/>
      <c r="H720" s="28"/>
      <c r="I720" s="28"/>
      <c r="J720" s="28"/>
      <c r="K720" s="28"/>
      <c r="L720" s="81"/>
      <c r="N720" s="81"/>
      <c r="O720" s="71"/>
      <c r="X720" s="28"/>
      <c r="Y720" s="28"/>
    </row>
    <row r="721" spans="1:25" ht="15">
      <c r="A721" s="18">
        <v>31</v>
      </c>
      <c r="F721" s="28" t="s">
        <v>185</v>
      </c>
      <c r="G721" s="28"/>
      <c r="H721" s="28"/>
      <c r="I721" s="38">
        <v>0.984</v>
      </c>
      <c r="J721" s="38">
        <f>IF(X721="","",X721)</f>
        <v>0</v>
      </c>
      <c r="K721" s="38">
        <f>I721+Y721</f>
        <v>0.984</v>
      </c>
      <c r="L721" s="38">
        <f>(K721-I721)</f>
        <v>0</v>
      </c>
      <c r="N721" s="170">
        <f>L721/I721</f>
        <v>0</v>
      </c>
      <c r="P721">
        <f>IF($Q$7=1,TEXT(I721,"0.000"),"")</f>
      </c>
      <c r="Q721">
        <f>IF($Q$7=1,TEXT(VALUE(K721),"0.000"),"")</f>
      </c>
      <c r="R721" s="166" t="str">
        <f>IF($Q$7=2,TEXT(VALUE(K721),"0.000"),"")</f>
        <v>0.984</v>
      </c>
      <c r="W721" s="12">
        <v>8</v>
      </c>
      <c r="X721" s="38">
        <f>WCEC3!J$22</f>
        <v>0</v>
      </c>
      <c r="Y721" s="38">
        <f>SUM(X721:X721)</f>
        <v>0</v>
      </c>
    </row>
    <row r="722" spans="1:25" ht="15">
      <c r="A722" s="18">
        <v>32</v>
      </c>
      <c r="F722" s="28" t="s">
        <v>186</v>
      </c>
      <c r="G722" s="28"/>
      <c r="H722" s="28"/>
      <c r="I722" s="38">
        <v>0.9</v>
      </c>
      <c r="J722" s="38">
        <f>IF(X722="","",X722)</f>
        <v>0</v>
      </c>
      <c r="K722" s="38">
        <f>I722+Y722</f>
        <v>0.9</v>
      </c>
      <c r="L722" s="38">
        <f>(K722-I722)</f>
        <v>0</v>
      </c>
      <c r="N722" s="170">
        <f>L722/I722</f>
        <v>0</v>
      </c>
      <c r="P722">
        <f>IF($Q$7=1,TEXT(I722,"0.000"),"")</f>
      </c>
      <c r="Q722">
        <f>IF($Q$7=1,TEXT(VALUE(K722),"0.000"),"")</f>
      </c>
      <c r="R722" s="166" t="str">
        <f>IF($Q$7=2,TEXT(VALUE(K722),"0.000"),"")</f>
        <v>0.900</v>
      </c>
      <c r="W722" s="12">
        <v>8</v>
      </c>
      <c r="X722" s="38">
        <f>WCEC3!J$23</f>
        <v>0</v>
      </c>
      <c r="Y722" s="38">
        <f>SUM(X722:X722)</f>
        <v>0</v>
      </c>
    </row>
    <row r="723" spans="1:25" ht="15">
      <c r="A723" s="18">
        <v>33</v>
      </c>
      <c r="F723" s="28" t="s">
        <v>182</v>
      </c>
      <c r="G723" s="28"/>
      <c r="H723" s="28"/>
      <c r="I723" s="28"/>
      <c r="J723" s="28"/>
      <c r="K723" s="28"/>
      <c r="L723" s="81"/>
      <c r="M723" s="7"/>
      <c r="N723" s="81"/>
      <c r="X723" s="28"/>
      <c r="Y723" s="28"/>
    </row>
    <row r="724" spans="1:25" ht="15">
      <c r="A724" s="18">
        <v>34</v>
      </c>
      <c r="F724" s="28" t="s">
        <v>185</v>
      </c>
      <c r="G724" s="28"/>
      <c r="H724" s="28"/>
      <c r="I724" s="38">
        <v>0.984</v>
      </c>
      <c r="J724" s="38">
        <f>IF(X724="","",X724)</f>
        <v>0</v>
      </c>
      <c r="K724" s="38">
        <f>I724+Y724</f>
        <v>0.984</v>
      </c>
      <c r="L724" s="38">
        <f>(K724-I724)</f>
        <v>0</v>
      </c>
      <c r="N724" s="170">
        <f>L724/I724</f>
        <v>0</v>
      </c>
      <c r="P724">
        <f>IF($Q$7=1,TEXT(I724,"0.000"),"")</f>
      </c>
      <c r="Q724">
        <f>IF($Q$7=1,TEXT(VALUE(K724),"0.000"),"")</f>
      </c>
      <c r="R724" s="166" t="str">
        <f>IF($Q$7=2,TEXT(VALUE(K724),"0.000"),"")</f>
        <v>0.984</v>
      </c>
      <c r="W724" s="12">
        <v>8</v>
      </c>
      <c r="X724" s="38">
        <f>WCEC3!J$22</f>
        <v>0</v>
      </c>
      <c r="Y724" s="38">
        <f>SUM(X724:X724)</f>
        <v>0</v>
      </c>
    </row>
    <row r="725" spans="1:25" ht="15">
      <c r="A725" s="18">
        <v>35</v>
      </c>
      <c r="F725" s="28" t="s">
        <v>186</v>
      </c>
      <c r="G725" s="28"/>
      <c r="H725" s="28"/>
      <c r="I725" s="38">
        <v>0.9</v>
      </c>
      <c r="J725" s="38">
        <f>IF(X725="","",X725)</f>
        <v>0</v>
      </c>
      <c r="K725" s="38">
        <f>I725+Y725</f>
        <v>0.9</v>
      </c>
      <c r="L725" s="38">
        <f>(K725-I725)</f>
        <v>0</v>
      </c>
      <c r="N725" s="170">
        <f>L725/I725</f>
        <v>0</v>
      </c>
      <c r="P725">
        <f>IF($Q$7=1,TEXT(I725,"0.000"),"")</f>
      </c>
      <c r="Q725">
        <f>IF($Q$7=1,TEXT(VALUE(K725),"0.000"),"")</f>
      </c>
      <c r="R725" s="166" t="str">
        <f>IF($Q$7=2,TEXT(VALUE(K725),"0.000"),"")</f>
        <v>0.900</v>
      </c>
      <c r="W725" s="12">
        <v>8</v>
      </c>
      <c r="X725" s="38">
        <f>WCEC3!J$23</f>
        <v>0</v>
      </c>
      <c r="Y725" s="38">
        <f>SUM(X725:X725)</f>
        <v>0</v>
      </c>
    </row>
    <row r="726" spans="1:14" ht="15">
      <c r="A726" s="18">
        <v>36</v>
      </c>
      <c r="L726" s="81"/>
      <c r="N726" s="81"/>
    </row>
    <row r="727" spans="1:14" ht="15">
      <c r="A727" s="18">
        <v>37</v>
      </c>
      <c r="F727" s="5" t="s">
        <v>192</v>
      </c>
      <c r="L727" s="81"/>
      <c r="N727" s="81"/>
    </row>
    <row r="728" spans="1:14" ht="15">
      <c r="A728" s="18">
        <v>38</v>
      </c>
      <c r="F728" s="5" t="s">
        <v>82</v>
      </c>
      <c r="I728" s="5" t="s">
        <v>193</v>
      </c>
      <c r="K728" s="5" t="s">
        <v>193</v>
      </c>
      <c r="L728" s="81"/>
      <c r="N728" s="81"/>
    </row>
    <row r="729" spans="1:14" ht="15">
      <c r="A729" s="18">
        <v>39</v>
      </c>
      <c r="I729" s="5" t="s">
        <v>194</v>
      </c>
      <c r="K729" s="5" t="s">
        <v>194</v>
      </c>
      <c r="L729" s="81"/>
      <c r="N729" s="81"/>
    </row>
    <row r="730" spans="1:14" ht="15">
      <c r="A730" s="18">
        <v>40</v>
      </c>
      <c r="I730" s="5" t="s">
        <v>195</v>
      </c>
      <c r="K730" s="5" t="s">
        <v>195</v>
      </c>
      <c r="L730" s="81"/>
      <c r="N730" s="81"/>
    </row>
    <row r="731" spans="1:25" ht="15">
      <c r="A731" s="18">
        <v>41</v>
      </c>
      <c r="L731" s="81"/>
      <c r="M731" s="1"/>
      <c r="N731" s="81"/>
      <c r="Y731" s="5">
        <f>SUM(X731:X731)</f>
        <v>0</v>
      </c>
    </row>
    <row r="732" spans="1:25" ht="15">
      <c r="A732" s="18">
        <v>42</v>
      </c>
      <c r="F732" s="5" t="s">
        <v>196</v>
      </c>
      <c r="I732" s="27">
        <v>1.08</v>
      </c>
      <c r="J732" s="39">
        <f>IF(X732="","",X732)</f>
      </c>
      <c r="K732" s="39">
        <f>I732+Y732</f>
        <v>1.08</v>
      </c>
      <c r="L732" s="27">
        <f>(K732-I732)</f>
        <v>0</v>
      </c>
      <c r="M732" s="1"/>
      <c r="N732" s="170">
        <f>L732/I732</f>
        <v>0</v>
      </c>
      <c r="P732">
        <f>IF($Q$7=1,TEXT(I732,"$0.00"),"")</f>
      </c>
      <c r="Q732">
        <f>IF($Q$7=1,TEXT(VALUE(K732),"$0.00"),"")</f>
      </c>
      <c r="R732" s="166" t="str">
        <f>IF($Q$7=2,TEXT(VALUE(K732),"$0.00"),"")</f>
        <v>$1.08</v>
      </c>
      <c r="X732" s="39"/>
      <c r="Y732" s="39"/>
    </row>
    <row r="733" spans="3:25" ht="15">
      <c r="C733" s="43"/>
      <c r="D733" s="7"/>
      <c r="E733" s="7"/>
      <c r="F733" s="7"/>
      <c r="G733" s="7"/>
      <c r="H733" s="7"/>
      <c r="I733" s="7"/>
      <c r="J733" s="7"/>
      <c r="K733" s="7"/>
      <c r="L733" s="88"/>
      <c r="M733" s="1"/>
      <c r="N733" s="88"/>
      <c r="X733" s="7"/>
      <c r="Y733" s="7"/>
    </row>
    <row r="734" spans="1:25" ht="15" thickBot="1">
      <c r="A734" s="16"/>
      <c r="B734" s="3"/>
      <c r="C734" s="3"/>
      <c r="D734" s="41"/>
      <c r="E734" s="41"/>
      <c r="F734" s="41"/>
      <c r="G734" s="41"/>
      <c r="H734" s="41"/>
      <c r="I734" s="41"/>
      <c r="J734" s="41"/>
      <c r="K734" s="41"/>
      <c r="L734" s="84"/>
      <c r="M734" s="41"/>
      <c r="N734" s="84"/>
      <c r="O734" s="41"/>
      <c r="X734" s="41"/>
      <c r="Y734" s="41"/>
    </row>
    <row r="735" spans="1:25" ht="15">
      <c r="A735" s="45" t="s">
        <v>31</v>
      </c>
      <c r="B735" s="14"/>
      <c r="C735" s="14"/>
      <c r="D735" s="45"/>
      <c r="E735" s="45"/>
      <c r="F735" s="45"/>
      <c r="G735" s="45"/>
      <c r="H735" s="45"/>
      <c r="I735" s="45"/>
      <c r="J735" s="45"/>
      <c r="K735" s="45" t="s">
        <v>32</v>
      </c>
      <c r="L735" s="85"/>
      <c r="M735" s="45"/>
      <c r="N735" s="85"/>
      <c r="O735" s="1"/>
      <c r="X735" s="45"/>
      <c r="Y735" s="45"/>
    </row>
    <row r="736" spans="1:25" ht="15" thickBot="1">
      <c r="A736" s="18">
        <v>1</v>
      </c>
      <c r="D736" s="24" t="s">
        <v>197</v>
      </c>
      <c r="E736" s="24"/>
      <c r="F736" s="25" t="s">
        <v>306</v>
      </c>
      <c r="G736" s="63"/>
      <c r="H736" s="63"/>
      <c r="I736" s="72"/>
      <c r="J736" s="72"/>
      <c r="K736" s="72"/>
      <c r="L736" s="97"/>
      <c r="N736" s="97"/>
      <c r="X736" s="72"/>
      <c r="Y736" s="72"/>
    </row>
    <row r="737" spans="1:25" ht="15">
      <c r="A737" s="18">
        <v>2</v>
      </c>
      <c r="F737" s="5" t="s">
        <v>129</v>
      </c>
      <c r="I737" s="50"/>
      <c r="J737" s="50"/>
      <c r="K737" s="50">
        <f>I737+Y737</f>
        <v>0</v>
      </c>
      <c r="L737" s="50">
        <f>(K737-I737)</f>
        <v>0</v>
      </c>
      <c r="N737" s="50"/>
      <c r="P737">
        <f>IF($Q$7=1,TEXT(I737,"0.000"),"")</f>
      </c>
      <c r="Q737">
        <f>IF($Q$7=1,TEXT(VALUE(K737),"0.000"),"")</f>
      </c>
      <c r="R737" s="166" t="str">
        <f>IF($Q$7=2,TEXT(VALUE(K737),"0.000"),"")</f>
        <v>0.000</v>
      </c>
      <c r="W737" s="12">
        <v>2</v>
      </c>
      <c r="X737" s="50"/>
      <c r="Y737" s="50"/>
    </row>
    <row r="738" spans="1:14" ht="15">
      <c r="A738" s="18">
        <v>3</v>
      </c>
      <c r="F738" s="5" t="s">
        <v>198</v>
      </c>
      <c r="L738" s="81"/>
      <c r="N738" s="81"/>
    </row>
    <row r="739" spans="1:14" ht="15">
      <c r="A739" s="18">
        <v>4</v>
      </c>
      <c r="L739" s="81"/>
      <c r="N739" s="81"/>
    </row>
    <row r="740" spans="1:25" ht="15">
      <c r="A740" s="18">
        <v>5</v>
      </c>
      <c r="I740" s="39"/>
      <c r="J740" s="39"/>
      <c r="K740" s="39"/>
      <c r="L740" s="81"/>
      <c r="N740" s="81"/>
      <c r="X740" s="39"/>
      <c r="Y740" s="39"/>
    </row>
    <row r="741" spans="1:25" ht="15" thickBot="1">
      <c r="A741" s="18">
        <v>6</v>
      </c>
      <c r="D741" s="24" t="s">
        <v>199</v>
      </c>
      <c r="E741" s="24"/>
      <c r="F741" s="25" t="s">
        <v>200</v>
      </c>
      <c r="G741" s="63"/>
      <c r="H741" s="63"/>
      <c r="I741" s="72"/>
      <c r="J741" s="72"/>
      <c r="K741" s="72"/>
      <c r="L741" s="97"/>
      <c r="N741" s="97"/>
      <c r="X741" s="72"/>
      <c r="Y741" s="72"/>
    </row>
    <row r="742" spans="1:14" ht="15">
      <c r="A742" s="18">
        <v>7</v>
      </c>
      <c r="F742" s="5" t="s">
        <v>201</v>
      </c>
      <c r="L742" s="93"/>
      <c r="N742" s="93"/>
    </row>
    <row r="743" spans="1:25" ht="15">
      <c r="A743" s="18">
        <v>8</v>
      </c>
      <c r="F743" s="5" t="s">
        <v>202</v>
      </c>
      <c r="I743" s="69">
        <v>-0.3</v>
      </c>
      <c r="J743" s="69">
        <f>IF(X743="","",X743)</f>
      </c>
      <c r="K743" s="69">
        <f>I743+Y743</f>
        <v>-0.3</v>
      </c>
      <c r="L743" s="27">
        <f>(K743-I743)</f>
        <v>0</v>
      </c>
      <c r="N743" s="170">
        <f>L743/I743</f>
        <v>0</v>
      </c>
      <c r="P743">
        <f>IF($Q$7=1,TEXT(-I743,"$0.00"),"")</f>
      </c>
      <c r="Q743">
        <f>IF($Q$7=1,TEXT(VALUE(-K743),"$0.00"),"")</f>
      </c>
      <c r="R743" s="166" t="str">
        <f>IF($Q$7=2,TEXT(VALUE(-K743),"$0.00"),"")</f>
        <v>$0.30</v>
      </c>
      <c r="X743" s="69"/>
      <c r="Y743" s="69">
        <f>SUM(X743:X743)</f>
        <v>0</v>
      </c>
    </row>
    <row r="744" spans="1:14" ht="15">
      <c r="A744" s="18">
        <v>9</v>
      </c>
      <c r="L744" s="81"/>
      <c r="N744" s="81"/>
    </row>
    <row r="745" spans="1:14" ht="15">
      <c r="A745" s="18">
        <v>10</v>
      </c>
      <c r="L745" s="81"/>
      <c r="N745" s="81"/>
    </row>
    <row r="746" spans="1:25" ht="15" thickBot="1">
      <c r="A746" s="18">
        <v>11</v>
      </c>
      <c r="D746" s="24" t="s">
        <v>203</v>
      </c>
      <c r="E746" s="24"/>
      <c r="F746" s="25" t="s">
        <v>204</v>
      </c>
      <c r="G746" s="63"/>
      <c r="H746" s="63"/>
      <c r="I746" s="72"/>
      <c r="J746" s="72"/>
      <c r="K746" s="72"/>
      <c r="L746" s="97"/>
      <c r="N746" s="97"/>
      <c r="X746" s="72"/>
      <c r="Y746" s="72"/>
    </row>
    <row r="747" spans="1:25" ht="15">
      <c r="A747" s="18">
        <v>12</v>
      </c>
      <c r="D747" s="16"/>
      <c r="E747" s="16"/>
      <c r="F747" s="5" t="s">
        <v>205</v>
      </c>
      <c r="I747" s="69">
        <v>13.5</v>
      </c>
      <c r="J747" s="69">
        <f>IF(X747="","",X747)</f>
      </c>
      <c r="K747" s="69">
        <f>I747+Y747</f>
        <v>13.5</v>
      </c>
      <c r="L747" s="27">
        <f>(K747-I747)</f>
        <v>0</v>
      </c>
      <c r="N747" s="170">
        <f>L747/I747</f>
        <v>0</v>
      </c>
      <c r="P747">
        <f>IF($Q$7=1,TEXT(I747,"$0.00"),"")</f>
      </c>
      <c r="Q747">
        <f>IF($Q$7=1,TEXT(VALUE(K747),"$0.00"),"")</f>
      </c>
      <c r="R747" s="166" t="str">
        <f>IF($Q$7=2,TEXT(VALUE(K747),"$0.00"),"")</f>
        <v>$13.50</v>
      </c>
      <c r="X747" s="69"/>
      <c r="Y747" s="69">
        <f>SUM(X747:X747)</f>
        <v>0</v>
      </c>
    </row>
    <row r="748" spans="1:14" ht="15">
      <c r="A748" s="18">
        <v>13</v>
      </c>
      <c r="D748" s="16"/>
      <c r="E748" s="16"/>
      <c r="L748" s="81"/>
      <c r="N748" s="81"/>
    </row>
    <row r="749" spans="1:14" ht="15">
      <c r="A749" s="18">
        <v>14</v>
      </c>
      <c r="D749" s="16"/>
      <c r="E749" s="16"/>
      <c r="F749" s="5" t="s">
        <v>206</v>
      </c>
      <c r="L749" s="81"/>
      <c r="N749" s="81"/>
    </row>
    <row r="750" spans="1:25" ht="15">
      <c r="A750" s="18">
        <v>15</v>
      </c>
      <c r="D750" s="16"/>
      <c r="E750" s="16"/>
      <c r="F750" s="5" t="s">
        <v>207</v>
      </c>
      <c r="I750" s="73">
        <v>3.352</v>
      </c>
      <c r="J750" s="73">
        <f>IF(X750="","",X750)</f>
        <v>0.094</v>
      </c>
      <c r="K750" s="73">
        <f>I750+Y750</f>
        <v>3.4459999999999997</v>
      </c>
      <c r="L750" s="50">
        <f>(K750-I750)</f>
        <v>0.09399999999999986</v>
      </c>
      <c r="N750" s="170">
        <f>L750/I750</f>
        <v>0.0280429594272076</v>
      </c>
      <c r="P750">
        <f>IF($Q$7=1,TEXT(I750,"0.000"),"")</f>
      </c>
      <c r="Q750">
        <f>IF($Q$7=1,TEXT(VALUE(K750),"0.000"),"")</f>
      </c>
      <c r="R750" s="166" t="str">
        <f>IF($Q$7=2,TEXT(VALUE(K750),"0.000"),"")</f>
        <v>3.446</v>
      </c>
      <c r="W750" s="12">
        <v>16</v>
      </c>
      <c r="X750" s="73">
        <f>WCEC3!J11</f>
        <v>0.094</v>
      </c>
      <c r="Y750" s="73">
        <f>SUM(X750:X750)</f>
        <v>0.094</v>
      </c>
    </row>
    <row r="751" spans="1:25" ht="15">
      <c r="A751" s="18">
        <v>16</v>
      </c>
      <c r="D751" s="16"/>
      <c r="E751" s="16"/>
      <c r="F751" s="5" t="s">
        <v>208</v>
      </c>
      <c r="I751" s="58"/>
      <c r="J751" s="58"/>
      <c r="K751" s="58"/>
      <c r="L751" s="91"/>
      <c r="N751" s="91"/>
      <c r="X751" s="58"/>
      <c r="Y751" s="58"/>
    </row>
    <row r="752" spans="1:25" ht="15">
      <c r="A752" s="18">
        <v>17</v>
      </c>
      <c r="D752" s="16"/>
      <c r="E752" s="16"/>
      <c r="I752" s="58"/>
      <c r="J752" s="58"/>
      <c r="K752" s="58"/>
      <c r="L752" s="91"/>
      <c r="N752" s="91"/>
      <c r="X752" s="58"/>
      <c r="Y752" s="58"/>
    </row>
    <row r="753" spans="1:25" ht="15">
      <c r="A753" s="18">
        <v>18</v>
      </c>
      <c r="D753" s="16"/>
      <c r="E753" s="16"/>
      <c r="I753" s="58"/>
      <c r="J753" s="58"/>
      <c r="K753" s="58"/>
      <c r="L753" s="91"/>
      <c r="N753" s="91"/>
      <c r="X753" s="58"/>
      <c r="Y753" s="58"/>
    </row>
    <row r="754" spans="1:25" ht="15" thickBot="1">
      <c r="A754" s="18">
        <v>19</v>
      </c>
      <c r="D754" s="24" t="s">
        <v>96</v>
      </c>
      <c r="E754" s="24"/>
      <c r="F754" s="25" t="s">
        <v>209</v>
      </c>
      <c r="G754" s="63"/>
      <c r="H754" s="63"/>
      <c r="I754" s="72"/>
      <c r="J754" s="72"/>
      <c r="K754" s="72"/>
      <c r="L754" s="97"/>
      <c r="N754" s="97"/>
      <c r="X754" s="72"/>
      <c r="Y754" s="72"/>
    </row>
    <row r="755" spans="1:14" ht="15">
      <c r="A755" s="18">
        <v>20</v>
      </c>
      <c r="D755" s="7"/>
      <c r="E755" s="7"/>
      <c r="F755" s="5" t="s">
        <v>205</v>
      </c>
      <c r="L755" s="81"/>
      <c r="N755" s="81"/>
    </row>
    <row r="756" spans="1:25" ht="15">
      <c r="A756" s="18">
        <v>21</v>
      </c>
      <c r="D756" s="16"/>
      <c r="E756" s="16"/>
      <c r="F756" s="5" t="s">
        <v>210</v>
      </c>
      <c r="I756" s="39">
        <v>26.97</v>
      </c>
      <c r="J756" s="39">
        <f>IF(X756="","",X756)</f>
      </c>
      <c r="K756" s="39">
        <f>I756+Y756</f>
        <v>26.97</v>
      </c>
      <c r="L756" s="39">
        <f>(K756-I756)</f>
        <v>0</v>
      </c>
      <c r="N756" s="170">
        <f>L756/I756</f>
        <v>0</v>
      </c>
      <c r="P756">
        <f>IF($Q$7=1,TEXT(I756,"$0.00"),"")</f>
      </c>
      <c r="Q756">
        <f>IF($Q$7=1,TEXT(VALUE(K756),"$0.00"),"")</f>
      </c>
      <c r="R756" s="166" t="str">
        <f>IF($Q$7=2,TEXT(VALUE(K756),"$0.00"),"")</f>
        <v>$26.97</v>
      </c>
      <c r="X756" s="39"/>
      <c r="Y756" s="39">
        <f>SUM(X756:X756)</f>
        <v>0</v>
      </c>
    </row>
    <row r="757" spans="1:25" ht="15">
      <c r="A757" s="18">
        <v>22</v>
      </c>
      <c r="D757" s="16"/>
      <c r="E757" s="16"/>
      <c r="F757" s="5" t="s">
        <v>211</v>
      </c>
      <c r="I757" s="39">
        <v>61.83</v>
      </c>
      <c r="J757" s="39">
        <f>IF(X757="","",X757)</f>
      </c>
      <c r="K757" s="39">
        <f>I757+Y757</f>
        <v>61.83</v>
      </c>
      <c r="L757" s="39">
        <f>(K757-I757)</f>
        <v>0</v>
      </c>
      <c r="N757" s="170">
        <f>L757/I757</f>
        <v>0</v>
      </c>
      <c r="P757">
        <f>IF($Q$7=1,TEXT(I757,"$0.00"),"")</f>
      </c>
      <c r="Q757">
        <f>IF($Q$7=1,TEXT(VALUE(K757),"$0.00"),"")</f>
      </c>
      <c r="R757" s="166" t="str">
        <f>IF($Q$7=2,TEXT(VALUE(K757),"$0.00"),"")</f>
        <v>$61.83</v>
      </c>
      <c r="X757" s="39"/>
      <c r="Y757" s="39">
        <f>SUM(X757:X757)</f>
        <v>0</v>
      </c>
    </row>
    <row r="758" spans="1:25" ht="15">
      <c r="A758" s="18">
        <v>23</v>
      </c>
      <c r="F758" s="5" t="s">
        <v>212</v>
      </c>
      <c r="I758" s="39">
        <v>219.22</v>
      </c>
      <c r="J758" s="39">
        <f>IF(X758="","",X758)</f>
      </c>
      <c r="K758" s="39">
        <f>I758+Y758</f>
        <v>219.22</v>
      </c>
      <c r="L758" s="39">
        <f>(K758-I758)</f>
        <v>0</v>
      </c>
      <c r="N758" s="170">
        <f>L758/I758</f>
        <v>0</v>
      </c>
      <c r="P758">
        <f>IF($Q$7=1,TEXT(I758,"$0.00"),"")</f>
      </c>
      <c r="Q758">
        <f>IF($Q$7=1,TEXT(VALUE(K758),"$0.00"),"")</f>
      </c>
      <c r="R758" s="166" t="str">
        <f>IF($Q$7=2,TEXT(VALUE(K758),"$0.00"),"")</f>
        <v>$219.22</v>
      </c>
      <c r="X758" s="39"/>
      <c r="Y758" s="39">
        <f>SUM(X758:X758)</f>
        <v>0</v>
      </c>
    </row>
    <row r="759" spans="1:14" ht="15">
      <c r="A759" s="18">
        <v>24</v>
      </c>
      <c r="L759" s="5"/>
      <c r="N759" s="5"/>
    </row>
    <row r="760" spans="1:14" ht="15">
      <c r="A760" s="18">
        <v>25</v>
      </c>
      <c r="F760" s="5" t="s">
        <v>213</v>
      </c>
      <c r="L760" s="5"/>
      <c r="N760" s="5"/>
    </row>
    <row r="761" spans="1:14" ht="15">
      <c r="A761" s="18">
        <v>26</v>
      </c>
      <c r="F761" s="5" t="s">
        <v>214</v>
      </c>
      <c r="L761" s="5"/>
      <c r="N761" s="5"/>
    </row>
    <row r="762" spans="1:25" ht="15">
      <c r="A762" s="18">
        <v>27</v>
      </c>
      <c r="F762" s="5" t="s">
        <v>210</v>
      </c>
      <c r="I762" s="39">
        <v>9.83</v>
      </c>
      <c r="J762" s="39">
        <f>IF(X762="","",X762)</f>
        <v>0.44</v>
      </c>
      <c r="K762" s="39">
        <f>I762+Y762</f>
        <v>10.27</v>
      </c>
      <c r="L762" s="39">
        <f>(K762-I762)</f>
        <v>0.4399999999999995</v>
      </c>
      <c r="N762" s="170">
        <f>L762/I762</f>
        <v>0.04476093591047808</v>
      </c>
      <c r="P762">
        <f>IF($Q$7=1,TEXT(I762,"$0.00"),"")</f>
      </c>
      <c r="Q762">
        <f>IF($Q$7=1,TEXT(VALUE(K762),"$0.00"),"")</f>
      </c>
      <c r="R762" s="166" t="str">
        <f>IF($Q$7=2,TEXT(VALUE(K762),"$0.00"),"")</f>
        <v>$10.27</v>
      </c>
      <c r="X762" s="39">
        <f>WCEC3!$K$12</f>
        <v>0.44</v>
      </c>
      <c r="Y762" s="39">
        <f>SUM(X762:X762)</f>
        <v>0.44</v>
      </c>
    </row>
    <row r="763" spans="1:25" ht="15">
      <c r="A763" s="18">
        <v>28</v>
      </c>
      <c r="F763" s="5" t="s">
        <v>211</v>
      </c>
      <c r="G763" s="18"/>
      <c r="H763" s="18"/>
      <c r="I763" s="39">
        <v>10.03</v>
      </c>
      <c r="J763" s="39">
        <f>IF(X763="","",X763)</f>
        <v>0.49</v>
      </c>
      <c r="K763" s="39">
        <f>I763+Y763</f>
        <v>10.52</v>
      </c>
      <c r="L763" s="39">
        <f>(K763-I763)</f>
        <v>0.4900000000000002</v>
      </c>
      <c r="N763" s="170">
        <f>L763/I763</f>
        <v>0.04885343968095715</v>
      </c>
      <c r="P763">
        <f>IF($Q$7=1,TEXT(I763,"$0.00"),"")</f>
      </c>
      <c r="Q763">
        <f>IF($Q$7=1,TEXT(VALUE(K763),"$0.00"),"")</f>
      </c>
      <c r="R763" s="166" t="str">
        <f>IF($Q$7=2,TEXT(VALUE(K763),"$0.00"),"")</f>
        <v>$10.52</v>
      </c>
      <c r="X763" s="39">
        <f>WCEC3!$K$13</f>
        <v>0.49</v>
      </c>
      <c r="Y763" s="39">
        <f>SUM(X763:X763)</f>
        <v>0.49</v>
      </c>
    </row>
    <row r="764" spans="1:25" ht="15">
      <c r="A764" s="18">
        <v>29</v>
      </c>
      <c r="F764" s="5" t="s">
        <v>212</v>
      </c>
      <c r="G764" s="18"/>
      <c r="H764" s="18"/>
      <c r="I764" s="39">
        <v>10.03</v>
      </c>
      <c r="J764" s="39">
        <f>IF(X764="","",X764)</f>
        <v>0.48</v>
      </c>
      <c r="K764" s="39">
        <f>I764+Y764</f>
        <v>10.51</v>
      </c>
      <c r="L764" s="39">
        <f>(K764-I764)</f>
        <v>0.4800000000000004</v>
      </c>
      <c r="N764" s="170">
        <f>L764/I764</f>
        <v>0.047856430707876416</v>
      </c>
      <c r="P764">
        <f>IF($Q$7=1,TEXT(I764,"$0.00"),"")</f>
      </c>
      <c r="Q764">
        <f>IF($Q$7=1,TEXT(VALUE(K764),"$0.00"),"")</f>
      </c>
      <c r="R764" s="166" t="str">
        <f>IF($Q$7=2,TEXT(VALUE(K764),"$0.00"),"")</f>
        <v>$10.51</v>
      </c>
      <c r="X764" s="39">
        <f>WCEC3!$K$14</f>
        <v>0.48</v>
      </c>
      <c r="Y764" s="39">
        <f>SUM(X764:X764)</f>
        <v>0.48</v>
      </c>
    </row>
    <row r="765" spans="1:14" ht="15">
      <c r="A765" s="18">
        <v>30</v>
      </c>
      <c r="L765" s="5"/>
      <c r="N765" s="5"/>
    </row>
    <row r="766" spans="1:14" ht="15">
      <c r="A766" s="18">
        <v>31</v>
      </c>
      <c r="D766" s="7"/>
      <c r="E766" s="7"/>
      <c r="F766" s="5" t="s">
        <v>215</v>
      </c>
      <c r="L766" s="5"/>
      <c r="N766" s="5"/>
    </row>
    <row r="767" spans="1:25" ht="15">
      <c r="A767" s="18">
        <v>32</v>
      </c>
      <c r="D767" s="7"/>
      <c r="E767" s="7"/>
      <c r="F767" s="5" t="s">
        <v>210</v>
      </c>
      <c r="I767" s="39">
        <v>2.14</v>
      </c>
      <c r="J767" s="39">
        <f>IF(X767="","",X767)</f>
      </c>
      <c r="K767" s="39">
        <f>I767+Y767</f>
        <v>2.14</v>
      </c>
      <c r="L767" s="39">
        <f>(K767-I767)</f>
        <v>0</v>
      </c>
      <c r="N767" s="170">
        <f>L767/I767</f>
        <v>0</v>
      </c>
      <c r="P767">
        <f>IF($Q$7=1,TEXT(I767,"$0.00"),"")</f>
      </c>
      <c r="Q767">
        <f>IF($Q$7=1,TEXT(VALUE(K767),"$0.00"),"")</f>
      </c>
      <c r="R767" s="166" t="str">
        <f>IF($Q$7=2,TEXT(VALUE(K767),"$0.00"),"")</f>
        <v>$2.14</v>
      </c>
      <c r="X767" s="39"/>
      <c r="Y767" s="39">
        <f>SUM(X767:X767)</f>
        <v>0</v>
      </c>
    </row>
    <row r="768" spans="1:25" ht="15">
      <c r="A768" s="18">
        <v>33</v>
      </c>
      <c r="F768" s="5" t="s">
        <v>211</v>
      </c>
      <c r="H768" s="51"/>
      <c r="I768" s="39">
        <v>2.24</v>
      </c>
      <c r="J768" s="39">
        <f>IF(X768="","",X768)</f>
      </c>
      <c r="K768" s="39">
        <f>I768+Y768</f>
        <v>2.24</v>
      </c>
      <c r="L768" s="39">
        <f>(K768-I768)</f>
        <v>0</v>
      </c>
      <c r="N768" s="170">
        <f>L768/I768</f>
        <v>0</v>
      </c>
      <c r="P768">
        <f>IF($Q$7=1,TEXT(I768,"$0.00"),"")</f>
      </c>
      <c r="Q768">
        <f>IF($Q$7=1,TEXT(VALUE(K768),"$0.00"),"")</f>
      </c>
      <c r="R768" s="166" t="str">
        <f>IF($Q$7=2,TEXT(VALUE(K768),"$0.00"),"")</f>
        <v>$2.24</v>
      </c>
      <c r="X768" s="39"/>
      <c r="Y768" s="39">
        <f>SUM(X768:X768)</f>
        <v>0</v>
      </c>
    </row>
    <row r="769" spans="1:25" ht="15">
      <c r="A769" s="18">
        <v>34</v>
      </c>
      <c r="F769" s="5" t="s">
        <v>212</v>
      </c>
      <c r="I769" s="39">
        <v>2.24</v>
      </c>
      <c r="J769" s="39">
        <f>IF(X769="","",X769)</f>
      </c>
      <c r="K769" s="39">
        <f>I769+Y769</f>
        <v>2.24</v>
      </c>
      <c r="L769" s="39">
        <f>(K769-I769)</f>
        <v>0</v>
      </c>
      <c r="N769" s="170">
        <f>L769/I769</f>
        <v>0</v>
      </c>
      <c r="P769">
        <f>IF($Q$7=1,TEXT(I769,"$0.00"),"")</f>
      </c>
      <c r="Q769">
        <f>IF($Q$7=1,TEXT(VALUE(K769),"$0.00"),"")</f>
      </c>
      <c r="R769" s="166" t="str">
        <f>IF($Q$7=2,TEXT(VALUE(K769),"$0.00"),"")</f>
        <v>$2.24</v>
      </c>
      <c r="X769" s="39"/>
      <c r="Y769" s="39">
        <f>SUM(X769:X769)</f>
        <v>0</v>
      </c>
    </row>
    <row r="770" spans="1:14" ht="15">
      <c r="A770" s="18">
        <v>35</v>
      </c>
      <c r="L770" s="5"/>
      <c r="N770" s="5"/>
    </row>
    <row r="771" spans="1:25" ht="15">
      <c r="A771" s="18">
        <v>36</v>
      </c>
      <c r="F771" s="5" t="s">
        <v>216</v>
      </c>
      <c r="I771" s="18"/>
      <c r="J771" s="18"/>
      <c r="K771" s="18"/>
      <c r="L771" s="18"/>
      <c r="N771" s="18"/>
      <c r="X771" s="18"/>
      <c r="Y771" s="18"/>
    </row>
    <row r="772" spans="1:14" ht="15">
      <c r="A772" s="18">
        <v>37</v>
      </c>
      <c r="F772" s="5" t="s">
        <v>217</v>
      </c>
      <c r="L772" s="5"/>
      <c r="N772" s="5"/>
    </row>
    <row r="773" spans="1:25" ht="15">
      <c r="A773" s="18">
        <v>38</v>
      </c>
      <c r="F773" s="5" t="s">
        <v>210</v>
      </c>
      <c r="I773" s="74">
        <v>1.617</v>
      </c>
      <c r="J773" s="74">
        <f>IF(X773="","",X773)</f>
        <v>0</v>
      </c>
      <c r="K773" s="74">
        <f>I773+Y773</f>
        <v>1.617</v>
      </c>
      <c r="L773" s="74">
        <f>(K773-I773)</f>
        <v>0</v>
      </c>
      <c r="N773" s="170">
        <f>L773/I773</f>
        <v>0</v>
      </c>
      <c r="P773">
        <f>IF($Q$7=1,TEXT(I773,"0.000"),"")</f>
      </c>
      <c r="Q773">
        <f>IF($Q$7=1,TEXT(VALUE(K773),"0.000"),"")</f>
      </c>
      <c r="R773" s="166" t="str">
        <f>IF($Q$7=2,TEXT(VALUE(K773),"0.000"),"")</f>
        <v>1.617</v>
      </c>
      <c r="W773" s="12">
        <v>3</v>
      </c>
      <c r="X773" s="74">
        <f>WCEC3!J$12</f>
        <v>0</v>
      </c>
      <c r="Y773" s="74">
        <f>SUM(X773:X773)</f>
        <v>0</v>
      </c>
    </row>
    <row r="774" spans="1:25" ht="15">
      <c r="A774" s="18">
        <v>39</v>
      </c>
      <c r="F774" s="5" t="s">
        <v>211</v>
      </c>
      <c r="I774" s="74">
        <v>0.885</v>
      </c>
      <c r="J774" s="74">
        <f>IF(X774="","",X774)</f>
        <v>0</v>
      </c>
      <c r="K774" s="74">
        <f>I774+Y774</f>
        <v>0.885</v>
      </c>
      <c r="L774" s="74">
        <f>(K774-I774)</f>
        <v>0</v>
      </c>
      <c r="N774" s="170">
        <f>L774/I774</f>
        <v>0</v>
      </c>
      <c r="P774">
        <f>IF($Q$7=1,TEXT(I774,"0.000"),"")</f>
      </c>
      <c r="Q774">
        <f>IF($Q$7=1,TEXT(VALUE(K774),"0.000"),"")</f>
      </c>
      <c r="R774" s="166" t="str">
        <f>IF($Q$7=2,TEXT(VALUE(K774),"0.000"),"")</f>
        <v>0.885</v>
      </c>
      <c r="W774" s="12">
        <v>5</v>
      </c>
      <c r="X774" s="74">
        <f>WCEC3!J$13</f>
        <v>0</v>
      </c>
      <c r="Y774" s="74">
        <f>SUM(X774:X774)</f>
        <v>0</v>
      </c>
    </row>
    <row r="775" spans="1:25" ht="15">
      <c r="A775" s="18">
        <v>40</v>
      </c>
      <c r="F775" s="5" t="s">
        <v>212</v>
      </c>
      <c r="I775" s="69">
        <v>0.81</v>
      </c>
      <c r="J775" s="74">
        <f>IF(X775="","",X775)</f>
        <v>0</v>
      </c>
      <c r="K775" s="74">
        <f>I775+Y775</f>
        <v>0.81</v>
      </c>
      <c r="L775" s="74">
        <f>(K775-I775)</f>
        <v>0</v>
      </c>
      <c r="N775" s="170">
        <f>L775/I775</f>
        <v>0</v>
      </c>
      <c r="P775">
        <f>IF($Q$7=1,TEXT(I775,"0.000"),"")</f>
      </c>
      <c r="Q775">
        <f>IF($Q$7=1,TEXT(VALUE(K775),"0.000"),"")</f>
      </c>
      <c r="R775" s="166" t="str">
        <f>IF($Q$7=2,TEXT(VALUE(K775),"0.000"),"")</f>
        <v>0.810</v>
      </c>
      <c r="W775" s="12">
        <v>6</v>
      </c>
      <c r="X775" s="74">
        <f>WCEC3!J$14</f>
        <v>0</v>
      </c>
      <c r="Y775" s="74">
        <f>SUM(X775:X775)</f>
        <v>0</v>
      </c>
    </row>
    <row r="776" spans="1:14" ht="15">
      <c r="A776" s="18">
        <v>41</v>
      </c>
      <c r="L776" s="81"/>
      <c r="N776" s="81"/>
    </row>
    <row r="777" spans="1:14" ht="15">
      <c r="A777" s="18">
        <v>42</v>
      </c>
      <c r="L777" s="81"/>
      <c r="N777" s="81"/>
    </row>
    <row r="778" spans="1:25" s="42" customFormat="1" ht="15">
      <c r="A778" s="3"/>
      <c r="B778" s="3"/>
      <c r="C778" s="43"/>
      <c r="D778" s="41"/>
      <c r="E778" s="41"/>
      <c r="F778" s="41"/>
      <c r="G778" s="41"/>
      <c r="H778" s="41"/>
      <c r="I778" s="41"/>
      <c r="J778" s="41"/>
      <c r="K778" s="41"/>
      <c r="L778" s="84"/>
      <c r="M778" s="41"/>
      <c r="N778" s="84"/>
      <c r="O778" s="6"/>
      <c r="P778"/>
      <c r="Q778"/>
      <c r="R778" s="166"/>
      <c r="S778" s="6"/>
      <c r="T778" s="6"/>
      <c r="U778" s="6"/>
      <c r="V778" s="6"/>
      <c r="W778" s="78"/>
      <c r="X778" s="41"/>
      <c r="Y778" s="41"/>
    </row>
    <row r="779" spans="1:25" ht="15" thickBot="1">
      <c r="A779" s="16"/>
      <c r="B779" s="3"/>
      <c r="C779" s="3"/>
      <c r="D779" s="41"/>
      <c r="E779" s="41"/>
      <c r="F779" s="41"/>
      <c r="G779" s="41"/>
      <c r="H779" s="41"/>
      <c r="I779" s="41"/>
      <c r="J779" s="41"/>
      <c r="K779" s="41"/>
      <c r="L779" s="84"/>
      <c r="M779" s="41"/>
      <c r="N779" s="84"/>
      <c r="O779" s="41"/>
      <c r="X779" s="41"/>
      <c r="Y779" s="41"/>
    </row>
    <row r="780" spans="1:25" ht="15">
      <c r="A780" s="45" t="s">
        <v>31</v>
      </c>
      <c r="B780" s="14"/>
      <c r="C780" s="14"/>
      <c r="D780" s="45"/>
      <c r="E780" s="45"/>
      <c r="F780" s="45"/>
      <c r="G780" s="45"/>
      <c r="H780" s="45"/>
      <c r="I780" s="45"/>
      <c r="J780" s="45"/>
      <c r="K780" s="45" t="s">
        <v>32</v>
      </c>
      <c r="L780" s="85"/>
      <c r="M780" s="45"/>
      <c r="N780" s="85"/>
      <c r="O780" s="1"/>
      <c r="X780" s="45"/>
      <c r="Y780" s="45"/>
    </row>
    <row r="781" spans="1:14" ht="15">
      <c r="A781" s="18">
        <v>1</v>
      </c>
      <c r="L781" s="81"/>
      <c r="N781" s="81"/>
    </row>
    <row r="782" spans="1:14" ht="15">
      <c r="A782" s="18">
        <v>2</v>
      </c>
      <c r="F782" s="5" t="s">
        <v>218</v>
      </c>
      <c r="L782" s="81"/>
      <c r="N782" s="81"/>
    </row>
    <row r="783" spans="1:25" ht="15">
      <c r="A783" s="18">
        <v>3</v>
      </c>
      <c r="F783" s="5" t="s">
        <v>210</v>
      </c>
      <c r="I783" s="74">
        <v>1.045</v>
      </c>
      <c r="J783" s="74">
        <f>IF(X783="","",X783)</f>
        <v>0</v>
      </c>
      <c r="K783" s="74">
        <f>I783+Y783</f>
        <v>1.045</v>
      </c>
      <c r="L783" s="74">
        <f>(K783-I783)</f>
        <v>0</v>
      </c>
      <c r="N783" s="170">
        <f>L783/I783</f>
        <v>0</v>
      </c>
      <c r="P783">
        <f>IF($Q$7=1,TEXT(I783,"0.000"),"")</f>
      </c>
      <c r="Q783">
        <f>IF($Q$7=1,TEXT(VALUE(K783),"0.000"),"")</f>
      </c>
      <c r="R783" s="166" t="str">
        <f>IF($Q$7=2,TEXT(VALUE(K783),"0.000"),"")</f>
        <v>1.045</v>
      </c>
      <c r="W783" s="12">
        <v>3</v>
      </c>
      <c r="X783" s="74">
        <f>WCEC3!J$12</f>
        <v>0</v>
      </c>
      <c r="Y783" s="74">
        <f>SUM(X783:X783)</f>
        <v>0</v>
      </c>
    </row>
    <row r="784" spans="1:25" ht="15">
      <c r="A784" s="18">
        <v>4</v>
      </c>
      <c r="F784" s="5" t="s">
        <v>211</v>
      </c>
      <c r="I784" s="74">
        <v>0.885</v>
      </c>
      <c r="J784" s="74">
        <f>IF(X784="","",X784)</f>
        <v>0</v>
      </c>
      <c r="K784" s="74">
        <f>I784+Y784</f>
        <v>0.885</v>
      </c>
      <c r="L784" s="74">
        <f>(K784-I784)</f>
        <v>0</v>
      </c>
      <c r="N784" s="170">
        <f>L784/I784</f>
        <v>0</v>
      </c>
      <c r="P784">
        <f>IF($Q$7=1,TEXT(I784,"0.000"),"")</f>
      </c>
      <c r="Q784">
        <f>IF($Q$7=1,TEXT(VALUE(K784),"0.000"),"")</f>
      </c>
      <c r="R784" s="166" t="str">
        <f>IF($Q$7=2,TEXT(VALUE(K784),"0.000"),"")</f>
        <v>0.885</v>
      </c>
      <c r="W784" s="12">
        <v>5</v>
      </c>
      <c r="X784" s="74">
        <f>WCEC3!J$13</f>
        <v>0</v>
      </c>
      <c r="Y784" s="74">
        <f>SUM(X784:X784)</f>
        <v>0</v>
      </c>
    </row>
    <row r="785" spans="1:25" ht="15">
      <c r="A785" s="18">
        <v>5</v>
      </c>
      <c r="F785" s="5" t="s">
        <v>212</v>
      </c>
      <c r="I785" s="74">
        <v>0.81</v>
      </c>
      <c r="J785" s="74">
        <f>IF(X785="","",X785)</f>
        <v>0</v>
      </c>
      <c r="K785" s="74">
        <f>I785+Y785</f>
        <v>0.81</v>
      </c>
      <c r="L785" s="74">
        <f>(K785-I785)</f>
        <v>0</v>
      </c>
      <c r="N785" s="170">
        <f>L785/I785</f>
        <v>0</v>
      </c>
      <c r="P785">
        <f>IF($Q$7=1,TEXT(I785,"0.000"),"")</f>
      </c>
      <c r="Q785">
        <f>IF($Q$7=1,TEXT(VALUE(K785),"0.000"),"")</f>
      </c>
      <c r="R785" s="166" t="str">
        <f>IF($Q$7=2,TEXT(VALUE(K785),"0.000"),"")</f>
        <v>0.810</v>
      </c>
      <c r="W785" s="12">
        <v>6</v>
      </c>
      <c r="X785" s="74">
        <f>WCEC3!J$14</f>
        <v>0</v>
      </c>
      <c r="Y785" s="74">
        <f>SUM(X785:X785)</f>
        <v>0</v>
      </c>
    </row>
    <row r="786" spans="1:14" ht="15">
      <c r="A786" s="18">
        <v>6</v>
      </c>
      <c r="L786" s="81"/>
      <c r="N786" s="81"/>
    </row>
    <row r="787" spans="1:14" ht="15">
      <c r="A787" s="18">
        <v>7</v>
      </c>
      <c r="L787" s="81"/>
      <c r="N787" s="81"/>
    </row>
    <row r="788" spans="1:25" ht="15" thickBot="1">
      <c r="A788" s="18">
        <v>8</v>
      </c>
      <c r="D788" s="24" t="s">
        <v>97</v>
      </c>
      <c r="E788" s="24"/>
      <c r="F788" s="25" t="s">
        <v>219</v>
      </c>
      <c r="G788" s="63"/>
      <c r="H788" s="63"/>
      <c r="I788" s="72"/>
      <c r="J788" s="72"/>
      <c r="K788" s="72"/>
      <c r="L788" s="97"/>
      <c r="N788" s="97"/>
      <c r="X788" s="72"/>
      <c r="Y788" s="72"/>
    </row>
    <row r="789" spans="1:14" ht="15">
      <c r="A789" s="18">
        <v>9</v>
      </c>
      <c r="F789" s="5" t="s">
        <v>220</v>
      </c>
      <c r="L789" s="81"/>
      <c r="N789" s="81"/>
    </row>
    <row r="790" spans="1:14" ht="15">
      <c r="A790" s="18">
        <v>10</v>
      </c>
      <c r="F790" s="5" t="s">
        <v>205</v>
      </c>
      <c r="L790" s="81"/>
      <c r="N790" s="81"/>
    </row>
    <row r="791" spans="1:25" ht="15">
      <c r="A791" s="18">
        <v>11</v>
      </c>
      <c r="F791" s="5" t="s">
        <v>210</v>
      </c>
      <c r="I791" s="39">
        <v>26.97</v>
      </c>
      <c r="J791" s="125">
        <f>IF(X791="","",X791)</f>
      </c>
      <c r="K791" s="39">
        <f>I791+Y791</f>
        <v>26.97</v>
      </c>
      <c r="L791" s="39">
        <f>(K791-I791)</f>
        <v>0</v>
      </c>
      <c r="N791" s="170">
        <f>L791/I791</f>
        <v>0</v>
      </c>
      <c r="P791">
        <f>IF($Q$7=1,TEXT(I791,"$0.00"),"")</f>
      </c>
      <c r="Q791">
        <f>IF($Q$7=1,TEXT(VALUE(K791),"$0.00"),"")</f>
      </c>
      <c r="R791" s="166" t="str">
        <f>IF($Q$7=2,TEXT(VALUE(K791),"$0.00"),"")</f>
        <v>$26.97</v>
      </c>
      <c r="X791" s="39"/>
      <c r="Y791" s="39">
        <f>SUM(X791:X791)</f>
        <v>0</v>
      </c>
    </row>
    <row r="792" spans="1:25" ht="15">
      <c r="A792" s="18">
        <v>12</v>
      </c>
      <c r="F792" s="5" t="s">
        <v>211</v>
      </c>
      <c r="I792" s="39">
        <v>61.83</v>
      </c>
      <c r="J792" s="125">
        <f>IF(X792="","",X792)</f>
      </c>
      <c r="K792" s="39">
        <f>I792+Y792</f>
        <v>61.83</v>
      </c>
      <c r="L792" s="39">
        <f>(K792-I792)</f>
        <v>0</v>
      </c>
      <c r="N792" s="170">
        <f>L792/I792</f>
        <v>0</v>
      </c>
      <c r="P792">
        <f>IF($Q$7=1,TEXT(I792,"$0.00"),"")</f>
      </c>
      <c r="Q792">
        <f>IF($Q$7=1,TEXT(VALUE(K792),"$0.00"),"")</f>
      </c>
      <c r="R792" s="166" t="str">
        <f>IF($Q$7=2,TEXT(VALUE(K792),"$0.00"),"")</f>
        <v>$61.83</v>
      </c>
      <c r="X792" s="39"/>
      <c r="Y792" s="39">
        <f>SUM(X792:X792)</f>
        <v>0</v>
      </c>
    </row>
    <row r="793" spans="1:25" ht="15">
      <c r="A793" s="18">
        <v>13</v>
      </c>
      <c r="F793" s="5" t="s">
        <v>212</v>
      </c>
      <c r="I793" s="39">
        <v>219.22</v>
      </c>
      <c r="J793" s="125">
        <f>IF(X793="","",X793)</f>
      </c>
      <c r="K793" s="39">
        <f>I793+Y793</f>
        <v>219.22</v>
      </c>
      <c r="L793" s="39">
        <f>(K793-I793)</f>
        <v>0</v>
      </c>
      <c r="N793" s="170">
        <f>L793/I793</f>
        <v>0</v>
      </c>
      <c r="P793">
        <f>IF($Q$7=1,TEXT(I793,"$0.00"),"")</f>
      </c>
      <c r="Q793">
        <f>IF($Q$7=1,TEXT(VALUE(K793),"$0.00"),"")</f>
      </c>
      <c r="R793" s="166" t="str">
        <f>IF($Q$7=2,TEXT(VALUE(K793),"$0.00"),"")</f>
        <v>$219.22</v>
      </c>
      <c r="X793" s="39"/>
      <c r="Y793" s="39">
        <f>SUM(X793:X793)</f>
        <v>0</v>
      </c>
    </row>
    <row r="794" spans="1:14" ht="15">
      <c r="A794" s="18">
        <v>14</v>
      </c>
      <c r="L794" s="5"/>
      <c r="N794" s="5"/>
    </row>
    <row r="795" spans="1:14" ht="15">
      <c r="A795" s="18">
        <v>15</v>
      </c>
      <c r="F795" s="5" t="s">
        <v>213</v>
      </c>
      <c r="L795" s="5"/>
      <c r="N795" s="5"/>
    </row>
    <row r="796" spans="1:14" ht="15">
      <c r="A796" s="18">
        <v>16</v>
      </c>
      <c r="F796" s="5" t="s">
        <v>221</v>
      </c>
      <c r="L796" s="5"/>
      <c r="N796" s="5"/>
    </row>
    <row r="797" spans="1:25" ht="15">
      <c r="A797" s="18">
        <v>17</v>
      </c>
      <c r="E797" s="5"/>
      <c r="F797" s="5" t="s">
        <v>210</v>
      </c>
      <c r="I797" s="39">
        <v>9.6</v>
      </c>
      <c r="J797" s="39">
        <f>IF(X797="","",X797)</f>
        <v>0.44</v>
      </c>
      <c r="K797" s="39">
        <f>I797+Y797</f>
        <v>10.04</v>
      </c>
      <c r="L797" s="39">
        <f>(K797-I797)</f>
        <v>0.4399999999999995</v>
      </c>
      <c r="N797" s="170">
        <f>L797/I797</f>
        <v>0.04583333333333328</v>
      </c>
      <c r="P797">
        <f>IF($Q$7=1,TEXT(I797,"$0.00"),"")</f>
      </c>
      <c r="Q797">
        <f>IF($Q$7=1,TEXT(VALUE(K797),"$0.00"),"")</f>
      </c>
      <c r="R797" s="166" t="str">
        <f>IF($Q$7=2,TEXT(VALUE(K797),"$0.00"),"")</f>
        <v>$10.04</v>
      </c>
      <c r="X797" s="39">
        <f>WCEC3!$K$12</f>
        <v>0.44</v>
      </c>
      <c r="Y797" s="39">
        <f>SUM(X797:X797)</f>
        <v>0.44</v>
      </c>
    </row>
    <row r="798" spans="1:25" ht="15">
      <c r="A798" s="18">
        <v>18</v>
      </c>
      <c r="E798" s="5"/>
      <c r="F798" s="5" t="s">
        <v>211</v>
      </c>
      <c r="I798" s="39">
        <v>10.47</v>
      </c>
      <c r="J798" s="39">
        <f>IF(X798="","",X798)</f>
        <v>0.49</v>
      </c>
      <c r="K798" s="39">
        <f>I798+Y798</f>
        <v>10.96</v>
      </c>
      <c r="L798" s="39">
        <f>(K798-I798)</f>
        <v>0.4900000000000002</v>
      </c>
      <c r="N798" s="170">
        <f>L798/I798</f>
        <v>0.04680038204393507</v>
      </c>
      <c r="P798">
        <f>IF($Q$7=1,TEXT(I798,"$0.00"),"")</f>
      </c>
      <c r="Q798">
        <f>IF($Q$7=1,TEXT(VALUE(K798),"$0.00"),"")</f>
      </c>
      <c r="R798" s="166" t="str">
        <f>IF($Q$7=2,TEXT(VALUE(K798),"$0.00"),"")</f>
        <v>$10.96</v>
      </c>
      <c r="X798" s="39">
        <f>WCEC3!$K$13</f>
        <v>0.49</v>
      </c>
      <c r="Y798" s="39">
        <f>SUM(X798:X798)</f>
        <v>0.49</v>
      </c>
    </row>
    <row r="799" spans="1:25" ht="15">
      <c r="A799" s="18">
        <v>19</v>
      </c>
      <c r="E799" s="5"/>
      <c r="F799" s="5" t="s">
        <v>212</v>
      </c>
      <c r="I799" s="39">
        <v>10.81</v>
      </c>
      <c r="J799" s="39">
        <f>IF(X799="","",X799)</f>
        <v>0.48</v>
      </c>
      <c r="K799" s="39">
        <f>I799+Y799</f>
        <v>11.290000000000001</v>
      </c>
      <c r="L799" s="39">
        <f>(K799-I799)</f>
        <v>0.4800000000000004</v>
      </c>
      <c r="N799" s="170">
        <f>L799/I799</f>
        <v>0.04440333024976877</v>
      </c>
      <c r="P799">
        <f>IF($Q$7=1,TEXT(I799,"$0.00"),"")</f>
      </c>
      <c r="Q799">
        <f>IF($Q$7=1,TEXT(VALUE(K799),"$0.00"),"")</f>
      </c>
      <c r="R799" s="166" t="str">
        <f>IF($Q$7=2,TEXT(VALUE(K799),"$0.00"),"")</f>
        <v>$11.29</v>
      </c>
      <c r="X799" s="39">
        <f>WCEC3!$K$14</f>
        <v>0.48</v>
      </c>
      <c r="Y799" s="39">
        <f>SUM(X799:X799)</f>
        <v>0.48</v>
      </c>
    </row>
    <row r="800" spans="1:14" ht="15">
      <c r="A800" s="18">
        <v>20</v>
      </c>
      <c r="J800" s="39"/>
      <c r="L800" s="5"/>
      <c r="N800" s="5"/>
    </row>
    <row r="801" spans="1:14" ht="15">
      <c r="A801" s="18">
        <v>21</v>
      </c>
      <c r="F801" s="5" t="s">
        <v>222</v>
      </c>
      <c r="J801" s="39"/>
      <c r="L801" s="5"/>
      <c r="N801" s="5"/>
    </row>
    <row r="802" spans="1:25" ht="15">
      <c r="A802" s="18">
        <v>22</v>
      </c>
      <c r="F802" s="5" t="s">
        <v>210</v>
      </c>
      <c r="I802" s="39">
        <v>7.92</v>
      </c>
      <c r="J802" s="39">
        <f>IF(X802="","",X802)</f>
        <v>0.44</v>
      </c>
      <c r="K802" s="39">
        <f>I802+Y802</f>
        <v>8.36</v>
      </c>
      <c r="L802" s="39">
        <f>(K802-I802)</f>
        <v>0.4399999999999995</v>
      </c>
      <c r="N802" s="170">
        <f>L802/I802</f>
        <v>0.05555555555555549</v>
      </c>
      <c r="P802">
        <f>IF($Q$7=1,TEXT(I802,"$0.00"),"")</f>
      </c>
      <c r="Q802">
        <f>IF($Q$7=1,TEXT(VALUE(K802),"$0.00"),"")</f>
      </c>
      <c r="R802" s="166" t="str">
        <f>IF($Q$7=2,TEXT(VALUE(K802),"$0.00"),"")</f>
        <v>$8.36</v>
      </c>
      <c r="X802" s="39">
        <f>WCEC3!$K$12</f>
        <v>0.44</v>
      </c>
      <c r="Y802" s="39">
        <f>SUM(X802:X802)</f>
        <v>0.44</v>
      </c>
    </row>
    <row r="803" spans="1:25" ht="15">
      <c r="A803" s="18">
        <v>23</v>
      </c>
      <c r="F803" s="5" t="s">
        <v>211</v>
      </c>
      <c r="I803" s="39">
        <v>9.12</v>
      </c>
      <c r="J803" s="39">
        <f>IF(X803="","",X803)</f>
        <v>0.49</v>
      </c>
      <c r="K803" s="39">
        <f>I803+Y803</f>
        <v>9.61</v>
      </c>
      <c r="L803" s="39">
        <f>(K803-I803)</f>
        <v>0.4900000000000002</v>
      </c>
      <c r="N803" s="170">
        <f>L803/I803</f>
        <v>0.053728070175438625</v>
      </c>
      <c r="P803">
        <f>IF($Q$7=1,TEXT(I803,"$0.00"),"")</f>
      </c>
      <c r="Q803">
        <f>IF($Q$7=1,TEXT(VALUE(K803),"$0.00"),"")</f>
      </c>
      <c r="R803" s="166" t="str">
        <f>IF($Q$7=2,TEXT(VALUE(K803),"$0.00"),"")</f>
        <v>$9.61</v>
      </c>
      <c r="X803" s="39">
        <f>WCEC3!$K$13</f>
        <v>0.49</v>
      </c>
      <c r="Y803" s="39">
        <f>SUM(X803:X803)</f>
        <v>0.49</v>
      </c>
    </row>
    <row r="804" spans="1:25" ht="15">
      <c r="A804" s="18">
        <v>24</v>
      </c>
      <c r="F804" s="5" t="s">
        <v>212</v>
      </c>
      <c r="I804" s="39">
        <v>9.57</v>
      </c>
      <c r="J804" s="39">
        <f>IF(X804="","",X804)</f>
        <v>0.48</v>
      </c>
      <c r="K804" s="39">
        <f>I804+Y804</f>
        <v>10.05</v>
      </c>
      <c r="L804" s="39">
        <f>(K804-I804)</f>
        <v>0.4800000000000004</v>
      </c>
      <c r="N804" s="170">
        <f>L804/I804</f>
        <v>0.050156739811912265</v>
      </c>
      <c r="P804">
        <f>IF($Q$7=1,TEXT(I804,"$0.00"),"")</f>
      </c>
      <c r="Q804">
        <f>IF($Q$7=1,TEXT(VALUE(K804),"$0.00"),"")</f>
      </c>
      <c r="R804" s="166" t="str">
        <f>IF($Q$7=2,TEXT(VALUE(K804),"$0.00"),"")</f>
        <v>$10.05</v>
      </c>
      <c r="X804" s="39">
        <f>WCEC3!$K$14</f>
        <v>0.48</v>
      </c>
      <c r="Y804" s="39">
        <f>SUM(X804:X804)</f>
        <v>0.48</v>
      </c>
    </row>
    <row r="805" spans="1:14" ht="15">
      <c r="A805" s="18">
        <v>25</v>
      </c>
      <c r="L805" s="5"/>
      <c r="N805" s="5"/>
    </row>
    <row r="806" spans="1:14" ht="15">
      <c r="A806" s="18">
        <v>26</v>
      </c>
      <c r="E806" s="7"/>
      <c r="F806" s="5" t="s">
        <v>223</v>
      </c>
      <c r="L806" s="5"/>
      <c r="N806" s="5"/>
    </row>
    <row r="807" spans="1:14" ht="15">
      <c r="A807" s="18">
        <v>27</v>
      </c>
      <c r="E807" s="7"/>
      <c r="F807" s="5" t="s">
        <v>224</v>
      </c>
      <c r="L807" s="5"/>
      <c r="N807" s="5"/>
    </row>
    <row r="808" spans="1:25" ht="15">
      <c r="A808" s="18">
        <v>28</v>
      </c>
      <c r="F808" s="5" t="s">
        <v>210</v>
      </c>
      <c r="I808" s="74">
        <v>7.278</v>
      </c>
      <c r="J808" s="74">
        <f>IF(X808="","",X808)</f>
        <v>0</v>
      </c>
      <c r="K808" s="74">
        <f>I808+Y808</f>
        <v>7.278</v>
      </c>
      <c r="L808" s="74">
        <f>(K808-I808)</f>
        <v>0</v>
      </c>
      <c r="M808" s="7"/>
      <c r="N808" s="170">
        <f>L808/I808</f>
        <v>0</v>
      </c>
      <c r="P808">
        <f>IF($Q$7=1,TEXT(I808,"0.000"),"")</f>
      </c>
      <c r="Q808">
        <f>IF($Q$7=1,TEXT(VALUE(K808),"0.000"),"")</f>
      </c>
      <c r="R808" s="166" t="str">
        <f>IF($Q$7=2,TEXT(VALUE(K808),"0.000"),"")</f>
        <v>7.278</v>
      </c>
      <c r="W808" s="12">
        <v>3</v>
      </c>
      <c r="X808" s="74">
        <f>WCEC3!J$12</f>
        <v>0</v>
      </c>
      <c r="Y808" s="74">
        <f>SUM(X808:X808)</f>
        <v>0</v>
      </c>
    </row>
    <row r="809" spans="1:25" ht="15">
      <c r="A809" s="18">
        <v>29</v>
      </c>
      <c r="F809" s="5" t="s">
        <v>211</v>
      </c>
      <c r="I809" s="74">
        <v>5.04</v>
      </c>
      <c r="J809" s="74">
        <f>IF(X809="","",X809)</f>
        <v>0</v>
      </c>
      <c r="K809" s="74">
        <f>I809+Y809</f>
        <v>5.04</v>
      </c>
      <c r="L809" s="74">
        <f>(K809-I809)</f>
        <v>0</v>
      </c>
      <c r="M809" s="7"/>
      <c r="N809" s="170">
        <f>L809/I809</f>
        <v>0</v>
      </c>
      <c r="P809">
        <f>IF($Q$7=1,TEXT(I809,"0.000"),"")</f>
      </c>
      <c r="Q809">
        <f>IF($Q$7=1,TEXT(VALUE(K809),"0.000"),"")</f>
      </c>
      <c r="R809" s="166" t="str">
        <f>IF($Q$7=2,TEXT(VALUE(K809),"0.000"),"")</f>
        <v>5.040</v>
      </c>
      <c r="W809" s="12">
        <v>5</v>
      </c>
      <c r="X809" s="74">
        <f>WCEC3!J$13</f>
        <v>0</v>
      </c>
      <c r="Y809" s="74">
        <f>SUM(X809:X809)</f>
        <v>0</v>
      </c>
    </row>
    <row r="810" spans="1:25" ht="15">
      <c r="A810" s="18">
        <v>30</v>
      </c>
      <c r="E810" s="7"/>
      <c r="F810" s="5" t="s">
        <v>212</v>
      </c>
      <c r="I810" s="74">
        <v>4.302</v>
      </c>
      <c r="J810" s="74">
        <f>IF(X810="","",X810)</f>
        <v>0</v>
      </c>
      <c r="K810" s="74">
        <f>I810+Y810</f>
        <v>4.302</v>
      </c>
      <c r="L810" s="74">
        <f>(K810-I810)</f>
        <v>0</v>
      </c>
      <c r="N810" s="170">
        <f>L810/I810</f>
        <v>0</v>
      </c>
      <c r="P810">
        <f>IF($Q$7=1,TEXT(I810,"0.000"),"")</f>
      </c>
      <c r="Q810">
        <f>IF($Q$7=1,TEXT(VALUE(K810),"0.000"),"")</f>
      </c>
      <c r="R810" s="166" t="str">
        <f>IF($Q$7=2,TEXT(VALUE(K810),"0.000"),"")</f>
        <v>4.302</v>
      </c>
      <c r="W810" s="12">
        <v>6</v>
      </c>
      <c r="X810" s="74">
        <f>WCEC3!J$14</f>
        <v>0</v>
      </c>
      <c r="Y810" s="74">
        <f>SUM(X810:X810)</f>
        <v>0</v>
      </c>
    </row>
    <row r="811" spans="1:14" ht="15">
      <c r="A811" s="18">
        <v>31</v>
      </c>
      <c r="J811" s="140"/>
      <c r="L811" s="5"/>
      <c r="N811" s="5"/>
    </row>
    <row r="812" spans="1:14" ht="15">
      <c r="A812" s="18">
        <v>32</v>
      </c>
      <c r="F812" s="5" t="s">
        <v>225</v>
      </c>
      <c r="J812" s="140"/>
      <c r="L812" s="5"/>
      <c r="N812" s="5"/>
    </row>
    <row r="813" spans="1:25" ht="15">
      <c r="A813" s="18">
        <v>33</v>
      </c>
      <c r="E813" s="7"/>
      <c r="F813" s="5" t="s">
        <v>210</v>
      </c>
      <c r="I813" s="50">
        <v>1.371</v>
      </c>
      <c r="J813" s="140">
        <f>IF(X813="","",X813)</f>
        <v>0</v>
      </c>
      <c r="K813" s="50">
        <f>I813+Y813</f>
        <v>1.371</v>
      </c>
      <c r="L813" s="50">
        <f>(K813-I813)</f>
        <v>0</v>
      </c>
      <c r="N813" s="170">
        <f>L813/I813</f>
        <v>0</v>
      </c>
      <c r="P813">
        <f>IF($Q$7=1,TEXT(I813,"0.000"),"")</f>
      </c>
      <c r="Q813">
        <f>IF($Q$7=1,TEXT(VALUE(K813),"0.000"),"")</f>
      </c>
      <c r="R813" s="166" t="str">
        <f>IF($Q$7=2,TEXT(VALUE(K813),"0.000"),"")</f>
        <v>1.371</v>
      </c>
      <c r="W813" s="12">
        <v>3</v>
      </c>
      <c r="X813" s="50">
        <f>WCEC3!J$12</f>
        <v>0</v>
      </c>
      <c r="Y813" s="50">
        <f>SUM(X813:X813)</f>
        <v>0</v>
      </c>
    </row>
    <row r="814" spans="1:25" ht="15">
      <c r="A814" s="18">
        <v>34</v>
      </c>
      <c r="E814" s="7"/>
      <c r="F814" s="5" t="s">
        <v>211</v>
      </c>
      <c r="I814" s="50">
        <v>1.035</v>
      </c>
      <c r="J814" s="140">
        <f>IF(X814="","",X814)</f>
        <v>0</v>
      </c>
      <c r="K814" s="50">
        <f>I814+Y814</f>
        <v>1.035</v>
      </c>
      <c r="L814" s="50">
        <f>(K814-I814)</f>
        <v>0</v>
      </c>
      <c r="N814" s="170">
        <f>L814/I814</f>
        <v>0</v>
      </c>
      <c r="P814">
        <f>IF($Q$7=1,TEXT(I814,"0.000"),"")</f>
      </c>
      <c r="Q814">
        <f>IF($Q$7=1,TEXT(VALUE(K814),"0.000"),"")</f>
      </c>
      <c r="R814" s="166" t="str">
        <f>IF($Q$7=2,TEXT(VALUE(K814),"0.000"),"")</f>
        <v>1.035</v>
      </c>
      <c r="W814" s="12">
        <v>5</v>
      </c>
      <c r="X814" s="50">
        <f>WCEC3!J$13</f>
        <v>0</v>
      </c>
      <c r="Y814" s="50">
        <f>SUM(X814:X814)</f>
        <v>0</v>
      </c>
    </row>
    <row r="815" spans="1:25" ht="15">
      <c r="A815" s="18">
        <v>35</v>
      </c>
      <c r="F815" s="5" t="s">
        <v>212</v>
      </c>
      <c r="I815" s="50">
        <v>0.931</v>
      </c>
      <c r="J815" s="140">
        <f>IF(X815="","",X815)</f>
        <v>0</v>
      </c>
      <c r="K815" s="50">
        <f>I815+Y815</f>
        <v>0.931</v>
      </c>
      <c r="L815" s="50">
        <f>(K815-I815)</f>
        <v>0</v>
      </c>
      <c r="N815" s="170">
        <f>L815/I815</f>
        <v>0</v>
      </c>
      <c r="P815">
        <f>IF($Q$7=1,TEXT(I815,"0.000"),"")</f>
      </c>
      <c r="Q815">
        <f>IF($Q$7=1,TEXT(VALUE(K815),"0.000"),"")</f>
      </c>
      <c r="R815" s="166" t="str">
        <f>IF($Q$7=2,TEXT(VALUE(K815),"0.000"),"")</f>
        <v>0.931</v>
      </c>
      <c r="W815" s="12">
        <v>6</v>
      </c>
      <c r="X815" s="50">
        <f>WCEC3!J$14</f>
        <v>0</v>
      </c>
      <c r="Y815" s="50">
        <f>SUM(X815:X815)</f>
        <v>0</v>
      </c>
    </row>
    <row r="816" spans="1:14" ht="15">
      <c r="A816" s="18">
        <v>36</v>
      </c>
      <c r="J816" s="140"/>
      <c r="L816" s="5"/>
      <c r="N816" s="5"/>
    </row>
    <row r="817" spans="1:14" ht="15">
      <c r="A817" s="18">
        <v>37</v>
      </c>
      <c r="F817" s="5" t="s">
        <v>226</v>
      </c>
      <c r="J817" s="140"/>
      <c r="L817" s="5"/>
      <c r="N817" s="5"/>
    </row>
    <row r="818" spans="1:25" ht="15">
      <c r="A818" s="18">
        <v>38</v>
      </c>
      <c r="E818" s="7"/>
      <c r="F818" s="5" t="s">
        <v>210</v>
      </c>
      <c r="I818" s="50">
        <v>1.934</v>
      </c>
      <c r="J818" s="140">
        <f>IF(X818="","",X818)</f>
        <v>0</v>
      </c>
      <c r="K818" s="50">
        <f>I818+Y818</f>
        <v>1.934</v>
      </c>
      <c r="L818" s="50">
        <f>(K818-I818)</f>
        <v>0</v>
      </c>
      <c r="N818" s="170">
        <f>L818/I818</f>
        <v>0</v>
      </c>
      <c r="P818">
        <f>IF($Q$7=1,TEXT(I818,"0.000"),"")</f>
      </c>
      <c r="Q818">
        <f>IF($Q$7=1,TEXT(VALUE(K818),"0.000"),"")</f>
      </c>
      <c r="R818" s="166" t="str">
        <f>IF($Q$7=2,TEXT(VALUE(K818),"0.000"),"")</f>
        <v>1.934</v>
      </c>
      <c r="W818" s="12">
        <v>3</v>
      </c>
      <c r="X818" s="50">
        <f>WCEC3!J$12</f>
        <v>0</v>
      </c>
      <c r="Y818" s="50">
        <f>SUM(X818:X818)</f>
        <v>0</v>
      </c>
    </row>
    <row r="819" spans="1:25" ht="15">
      <c r="A819" s="18">
        <v>39</v>
      </c>
      <c r="E819" s="7"/>
      <c r="F819" s="5" t="s">
        <v>211</v>
      </c>
      <c r="I819" s="50">
        <v>1.43</v>
      </c>
      <c r="J819" s="140">
        <f>IF(X819="","",X819)</f>
        <v>0</v>
      </c>
      <c r="K819" s="50">
        <f>I819+Y819</f>
        <v>1.43</v>
      </c>
      <c r="L819" s="50">
        <f>(K819-I819)</f>
        <v>0</v>
      </c>
      <c r="N819" s="170">
        <f>L819/I819</f>
        <v>0</v>
      </c>
      <c r="P819">
        <f>IF($Q$7=1,TEXT(I819,"0.000"),"")</f>
      </c>
      <c r="Q819">
        <f>IF($Q$7=1,TEXT(VALUE(K819),"0.000"),"")</f>
      </c>
      <c r="R819" s="166" t="str">
        <f>IF($Q$7=2,TEXT(VALUE(K819),"0.000"),"")</f>
        <v>1.430</v>
      </c>
      <c r="W819" s="12">
        <v>5</v>
      </c>
      <c r="X819" s="50">
        <f>WCEC3!J$13</f>
        <v>0</v>
      </c>
      <c r="Y819" s="50">
        <f>SUM(X819:X819)</f>
        <v>0</v>
      </c>
    </row>
    <row r="820" spans="1:25" ht="15">
      <c r="A820" s="18">
        <v>40</v>
      </c>
      <c r="F820" s="5" t="s">
        <v>212</v>
      </c>
      <c r="I820" s="50">
        <v>1.287</v>
      </c>
      <c r="J820" s="140">
        <f>IF(X820="","",X820)</f>
        <v>0</v>
      </c>
      <c r="K820" s="50">
        <f>I820+Y820</f>
        <v>1.287</v>
      </c>
      <c r="L820" s="50">
        <f>(K820-I820)</f>
        <v>0</v>
      </c>
      <c r="N820" s="170">
        <f>L820/I820</f>
        <v>0</v>
      </c>
      <c r="P820">
        <f>IF($Q$7=1,TEXT(I820,"0.000"),"")</f>
      </c>
      <c r="Q820">
        <f>IF($Q$7=1,TEXT(VALUE(K820),"0.000"),"")</f>
      </c>
      <c r="R820" s="166" t="str">
        <f>IF($Q$7=2,TEXT(VALUE(K820),"0.000"),"")</f>
        <v>1.287</v>
      </c>
      <c r="W820" s="12">
        <v>6</v>
      </c>
      <c r="X820" s="50">
        <f>WCEC3!J$14</f>
        <v>0</v>
      </c>
      <c r="Y820" s="50">
        <f>SUM(X820:X820)</f>
        <v>0</v>
      </c>
    </row>
    <row r="821" spans="1:14" ht="15">
      <c r="A821" s="18">
        <v>41</v>
      </c>
      <c r="L821" s="81"/>
      <c r="N821" s="81"/>
    </row>
    <row r="822" spans="1:14" ht="15">
      <c r="A822" s="18">
        <v>42</v>
      </c>
      <c r="L822" s="81"/>
      <c r="N822" s="81"/>
    </row>
    <row r="823" spans="3:25" ht="15">
      <c r="C823" s="43"/>
      <c r="F823" s="41"/>
      <c r="G823" s="41"/>
      <c r="H823" s="41"/>
      <c r="I823" s="41"/>
      <c r="J823" s="41"/>
      <c r="K823" s="41"/>
      <c r="L823" s="81"/>
      <c r="N823" s="81"/>
      <c r="X823" s="41"/>
      <c r="Y823" s="41"/>
    </row>
    <row r="824" spans="1:25" ht="15" thickBot="1">
      <c r="A824" s="16"/>
      <c r="B824" s="3"/>
      <c r="C824" s="3"/>
      <c r="D824" s="41"/>
      <c r="E824" s="41"/>
      <c r="F824" s="41"/>
      <c r="G824" s="41"/>
      <c r="H824" s="41"/>
      <c r="I824" s="41"/>
      <c r="J824" s="41"/>
      <c r="K824" s="41"/>
      <c r="L824" s="84"/>
      <c r="M824" s="41"/>
      <c r="N824" s="84"/>
      <c r="O824" s="41"/>
      <c r="X824" s="41"/>
      <c r="Y824" s="41"/>
    </row>
    <row r="825" spans="1:25" ht="15">
      <c r="A825" s="45" t="s">
        <v>31</v>
      </c>
      <c r="B825" s="14"/>
      <c r="C825" s="14"/>
      <c r="D825" s="45"/>
      <c r="E825" s="45"/>
      <c r="F825" s="45"/>
      <c r="G825" s="45"/>
      <c r="H825" s="45"/>
      <c r="I825" s="45"/>
      <c r="J825" s="45"/>
      <c r="K825" s="45" t="s">
        <v>32</v>
      </c>
      <c r="L825" s="85"/>
      <c r="M825" s="45"/>
      <c r="N825" s="85"/>
      <c r="O825" s="1"/>
      <c r="X825" s="45"/>
      <c r="Y825" s="45"/>
    </row>
    <row r="826" spans="1:25" ht="15" thickBot="1">
      <c r="A826" s="18">
        <v>1</v>
      </c>
      <c r="D826" s="24" t="s">
        <v>97</v>
      </c>
      <c r="E826" s="24"/>
      <c r="F826" s="25" t="s">
        <v>227</v>
      </c>
      <c r="G826" s="63"/>
      <c r="H826" s="63"/>
      <c r="I826" s="72"/>
      <c r="J826" s="72"/>
      <c r="K826" s="72"/>
      <c r="L826" s="97"/>
      <c r="N826" s="97"/>
      <c r="X826" s="72"/>
      <c r="Y826" s="72"/>
    </row>
    <row r="827" spans="1:14" ht="15">
      <c r="A827" s="18">
        <v>2</v>
      </c>
      <c r="F827" s="5" t="s">
        <v>228</v>
      </c>
      <c r="L827" s="81"/>
      <c r="N827" s="81"/>
    </row>
    <row r="828" spans="1:14" ht="15">
      <c r="A828" s="18">
        <v>3</v>
      </c>
      <c r="F828" s="5" t="s">
        <v>205</v>
      </c>
      <c r="L828" s="81"/>
      <c r="N828" s="81"/>
    </row>
    <row r="829" spans="1:25" ht="15">
      <c r="A829" s="18">
        <v>4</v>
      </c>
      <c r="F829" s="5" t="s">
        <v>210</v>
      </c>
      <c r="I829" s="39">
        <v>26.97</v>
      </c>
      <c r="J829" s="39">
        <f>IF(X829="","",X829)</f>
      </c>
      <c r="K829" s="39">
        <f>I829+Y829</f>
        <v>26.97</v>
      </c>
      <c r="L829" s="39">
        <f>(K829-I829)</f>
        <v>0</v>
      </c>
      <c r="N829" s="170">
        <f>L829/I829</f>
        <v>0</v>
      </c>
      <c r="P829">
        <f>IF($Q$7=1,TEXT(I829,"$0.00"),"")</f>
      </c>
      <c r="Q829">
        <f>IF($Q$7=1,TEXT(VALUE(K829),"$0.00"),"")</f>
      </c>
      <c r="R829" s="166" t="str">
        <f>IF($Q$7=2,TEXT(VALUE(K829),"$0.00"),"")</f>
        <v>$26.97</v>
      </c>
      <c r="X829" s="39"/>
      <c r="Y829" s="39">
        <f>SUM(X829:X829)</f>
        <v>0</v>
      </c>
    </row>
    <row r="830" spans="1:25" ht="15">
      <c r="A830" s="18">
        <v>5</v>
      </c>
      <c r="F830" s="5" t="s">
        <v>211</v>
      </c>
      <c r="I830" s="39">
        <v>61.83</v>
      </c>
      <c r="J830" s="39">
        <f>IF(X830="","",X830)</f>
      </c>
      <c r="K830" s="39">
        <f>I830+Y830</f>
        <v>61.83</v>
      </c>
      <c r="L830" s="39">
        <f>(K830-I830)</f>
        <v>0</v>
      </c>
      <c r="N830" s="170">
        <f>L830/I830</f>
        <v>0</v>
      </c>
      <c r="P830">
        <f>IF($Q$7=1,TEXT(I830,"$0.00"),"")</f>
      </c>
      <c r="Q830">
        <f>IF($Q$7=1,TEXT(VALUE(K830),"$0.00"),"")</f>
      </c>
      <c r="R830" s="166" t="str">
        <f>IF($Q$7=2,TEXT(VALUE(K830),"$0.00"),"")</f>
        <v>$61.83</v>
      </c>
      <c r="X830" s="39"/>
      <c r="Y830" s="39">
        <f>SUM(X830:X830)</f>
        <v>0</v>
      </c>
    </row>
    <row r="831" spans="1:25" ht="15">
      <c r="A831" s="18">
        <v>6</v>
      </c>
      <c r="F831" s="5" t="s">
        <v>212</v>
      </c>
      <c r="I831" s="39">
        <v>219.22</v>
      </c>
      <c r="J831" s="39">
        <f>IF(X831="","",X831)</f>
      </c>
      <c r="K831" s="39">
        <f>I831+Y831</f>
        <v>219.22</v>
      </c>
      <c r="L831" s="39">
        <f>(K831-I831)</f>
        <v>0</v>
      </c>
      <c r="N831" s="170">
        <f>L831/I831</f>
        <v>0</v>
      </c>
      <c r="P831">
        <f>IF($Q$7=1,TEXT(I831,"$0.00"),"")</f>
      </c>
      <c r="Q831">
        <f>IF($Q$7=1,TEXT(VALUE(K831),"$0.00"),"")</f>
      </c>
      <c r="R831" s="166" t="str">
        <f>IF($Q$7=2,TEXT(VALUE(K831),"$0.00"),"")</f>
        <v>$219.22</v>
      </c>
      <c r="X831" s="39"/>
      <c r="Y831" s="39">
        <f>SUM(X831:X831)</f>
        <v>0</v>
      </c>
    </row>
    <row r="832" spans="1:14" ht="15">
      <c r="A832" s="18">
        <v>7</v>
      </c>
      <c r="J832" s="39"/>
      <c r="L832" s="5"/>
      <c r="N832" s="5"/>
    </row>
    <row r="833" spans="1:14" ht="15">
      <c r="A833" s="18">
        <v>8</v>
      </c>
      <c r="F833" s="5" t="s">
        <v>213</v>
      </c>
      <c r="J833" s="39"/>
      <c r="L833" s="5"/>
      <c r="N833" s="5"/>
    </row>
    <row r="834" spans="1:14" ht="15">
      <c r="A834" s="18">
        <v>9</v>
      </c>
      <c r="F834" s="5" t="s">
        <v>221</v>
      </c>
      <c r="J834" s="39"/>
      <c r="L834" s="5"/>
      <c r="N834" s="5"/>
    </row>
    <row r="835" spans="1:25" ht="15">
      <c r="A835" s="18">
        <v>10</v>
      </c>
      <c r="F835" s="5" t="s">
        <v>210</v>
      </c>
      <c r="I835" s="39">
        <v>9.6</v>
      </c>
      <c r="J835" s="39">
        <f>IF(X835="","",X835)</f>
        <v>0.44</v>
      </c>
      <c r="K835" s="39">
        <f>I835+Y835</f>
        <v>10.04</v>
      </c>
      <c r="L835" s="39">
        <f>(K835-I835)</f>
        <v>0.4399999999999995</v>
      </c>
      <c r="N835" s="170">
        <f>L835/I835</f>
        <v>0.04583333333333328</v>
      </c>
      <c r="P835">
        <f>IF($Q$7=1,TEXT(I835,"$0.00"),"")</f>
      </c>
      <c r="Q835">
        <f>IF($Q$7=1,TEXT(VALUE(K835),"$0.00"),"")</f>
      </c>
      <c r="R835" s="166" t="str">
        <f>IF($Q$7=2,TEXT(VALUE(K835),"$0.00"),"")</f>
        <v>$10.04</v>
      </c>
      <c r="X835" s="39">
        <f>WCEC3!$K$12</f>
        <v>0.44</v>
      </c>
      <c r="Y835" s="39">
        <f>SUM(X835:X835)</f>
        <v>0.44</v>
      </c>
    </row>
    <row r="836" spans="1:25" ht="15">
      <c r="A836" s="18">
        <v>11</v>
      </c>
      <c r="F836" s="5" t="s">
        <v>211</v>
      </c>
      <c r="I836" s="39">
        <v>10.47</v>
      </c>
      <c r="J836" s="39">
        <f>IF(X836="","",X836)</f>
        <v>0.49</v>
      </c>
      <c r="K836" s="39">
        <f>I836+Y836</f>
        <v>10.96</v>
      </c>
      <c r="L836" s="39">
        <f>(K836-I836)</f>
        <v>0.4900000000000002</v>
      </c>
      <c r="N836" s="170">
        <f>L836/I836</f>
        <v>0.04680038204393507</v>
      </c>
      <c r="P836">
        <f>IF($Q$7=1,TEXT(I836,"$0.00"),"")</f>
      </c>
      <c r="Q836">
        <f>IF($Q$7=1,TEXT(VALUE(K836),"$0.00"),"")</f>
      </c>
      <c r="R836" s="166" t="str">
        <f>IF($Q$7=2,TEXT(VALUE(K836),"$0.00"),"")</f>
        <v>$10.96</v>
      </c>
      <c r="X836" s="39">
        <f>WCEC3!$K$13</f>
        <v>0.49</v>
      </c>
      <c r="Y836" s="39">
        <f>SUM(X836:X836)</f>
        <v>0.49</v>
      </c>
    </row>
    <row r="837" spans="1:25" ht="15">
      <c r="A837" s="18">
        <v>12</v>
      </c>
      <c r="F837" s="5" t="s">
        <v>212</v>
      </c>
      <c r="I837" s="39">
        <v>10.81</v>
      </c>
      <c r="J837" s="39">
        <f>IF(X837="","",X837)</f>
        <v>0.48</v>
      </c>
      <c r="K837" s="39">
        <f>I837+Y837</f>
        <v>11.290000000000001</v>
      </c>
      <c r="L837" s="39">
        <f>(K837-I837)</f>
        <v>0.4800000000000004</v>
      </c>
      <c r="N837" s="170">
        <f>L837/I837</f>
        <v>0.04440333024976877</v>
      </c>
      <c r="P837">
        <f>IF($Q$7=1,TEXT(I837,"$0.00"),"")</f>
      </c>
      <c r="Q837">
        <f>IF($Q$7=1,TEXT(VALUE(K837),"$0.00"),"")</f>
      </c>
      <c r="R837" s="166" t="str">
        <f>IF($Q$7=2,TEXT(VALUE(K837),"$0.00"),"")</f>
        <v>$11.29</v>
      </c>
      <c r="X837" s="39">
        <f>WCEC3!$K$14</f>
        <v>0.48</v>
      </c>
      <c r="Y837" s="39">
        <f>SUM(X837:X837)</f>
        <v>0.48</v>
      </c>
    </row>
    <row r="838" spans="1:14" ht="15">
      <c r="A838" s="18">
        <v>13</v>
      </c>
      <c r="J838" s="39">
        <f>IF(X838="","",X838)</f>
      </c>
      <c r="L838" s="5"/>
      <c r="N838" s="5"/>
    </row>
    <row r="839" spans="1:14" ht="15">
      <c r="A839" s="18">
        <v>14</v>
      </c>
      <c r="F839" s="5" t="s">
        <v>229</v>
      </c>
      <c r="J839" s="39"/>
      <c r="L839" s="5"/>
      <c r="N839" s="5"/>
    </row>
    <row r="840" spans="1:25" ht="15">
      <c r="A840" s="18">
        <v>15</v>
      </c>
      <c r="F840" s="5" t="s">
        <v>210</v>
      </c>
      <c r="I840" s="39">
        <v>7.92</v>
      </c>
      <c r="J840" s="39">
        <f>IF(X840="","",X840)</f>
        <v>0.44</v>
      </c>
      <c r="K840" s="39">
        <f>I840+Y840</f>
        <v>8.36</v>
      </c>
      <c r="L840" s="39">
        <f>(K840-I840)</f>
        <v>0.4399999999999995</v>
      </c>
      <c r="N840" s="170">
        <f>L840/I840</f>
        <v>0.05555555555555549</v>
      </c>
      <c r="P840">
        <f>IF($Q$7=1,TEXT(I840,"$0.00"),"")</f>
      </c>
      <c r="Q840">
        <f>IF($Q$7=1,TEXT(VALUE(K840),"$0.00"),"")</f>
      </c>
      <c r="R840" s="166" t="str">
        <f>IF($Q$7=2,TEXT(VALUE(K840),"$0.00"),"")</f>
        <v>$8.36</v>
      </c>
      <c r="X840" s="39">
        <f>WCEC3!$K$12</f>
        <v>0.44</v>
      </c>
      <c r="Y840" s="39">
        <f>SUM(X840:X840)</f>
        <v>0.44</v>
      </c>
    </row>
    <row r="841" spans="1:25" ht="15">
      <c r="A841" s="18">
        <v>16</v>
      </c>
      <c r="F841" s="5" t="s">
        <v>211</v>
      </c>
      <c r="I841" s="39">
        <v>9.12</v>
      </c>
      <c r="J841" s="39">
        <f>IF(X841="","",X841)</f>
        <v>0.49</v>
      </c>
      <c r="K841" s="39">
        <f>I841+Y841</f>
        <v>9.61</v>
      </c>
      <c r="L841" s="39">
        <f>(K841-I841)</f>
        <v>0.4900000000000002</v>
      </c>
      <c r="N841" s="170">
        <f>L841/I841</f>
        <v>0.053728070175438625</v>
      </c>
      <c r="P841">
        <f>IF($Q$7=1,TEXT(I841,"$0.00"),"")</f>
      </c>
      <c r="Q841">
        <f>IF($Q$7=1,TEXT(VALUE(K841),"$0.00"),"")</f>
      </c>
      <c r="R841" s="166" t="str">
        <f>IF($Q$7=2,TEXT(VALUE(K841),"$0.00"),"")</f>
        <v>$9.61</v>
      </c>
      <c r="X841" s="39">
        <f>WCEC3!$K$13</f>
        <v>0.49</v>
      </c>
      <c r="Y841" s="39">
        <f>SUM(X841:X841)</f>
        <v>0.49</v>
      </c>
    </row>
    <row r="842" spans="1:25" ht="15">
      <c r="A842" s="18">
        <v>17</v>
      </c>
      <c r="F842" s="5" t="s">
        <v>212</v>
      </c>
      <c r="I842" s="39">
        <v>9.57</v>
      </c>
      <c r="J842" s="39">
        <f>IF(X842="","",X842)</f>
        <v>0.48</v>
      </c>
      <c r="K842" s="39">
        <f>I842+Y842</f>
        <v>10.05</v>
      </c>
      <c r="L842" s="39">
        <f>(K842-I842)</f>
        <v>0.4800000000000004</v>
      </c>
      <c r="N842" s="170">
        <f>L842/I842</f>
        <v>0.050156739811912265</v>
      </c>
      <c r="P842">
        <f>IF($Q$7=1,TEXT(I842,"$0.00"),"")</f>
      </c>
      <c r="Q842">
        <f>IF($Q$7=1,TEXT(VALUE(K842),"$0.00"),"")</f>
      </c>
      <c r="R842" s="166" t="str">
        <f>IF($Q$7=2,TEXT(VALUE(K842),"$0.00"),"")</f>
        <v>$10.05</v>
      </c>
      <c r="X842" s="39">
        <f>WCEC3!$K$14</f>
        <v>0.48</v>
      </c>
      <c r="Y842" s="39">
        <f>SUM(X842:X842)</f>
        <v>0.48</v>
      </c>
    </row>
    <row r="843" spans="1:14" ht="15">
      <c r="A843" s="18">
        <v>18</v>
      </c>
      <c r="L843" s="5"/>
      <c r="N843" s="5"/>
    </row>
    <row r="844" spans="1:14" ht="15">
      <c r="A844" s="18">
        <v>19</v>
      </c>
      <c r="F844" s="5" t="s">
        <v>223</v>
      </c>
      <c r="L844" s="5"/>
      <c r="N844" s="5"/>
    </row>
    <row r="845" spans="1:14" ht="15">
      <c r="A845" s="18">
        <v>20</v>
      </c>
      <c r="F845" s="5" t="s">
        <v>224</v>
      </c>
      <c r="L845" s="5"/>
      <c r="N845" s="5"/>
    </row>
    <row r="846" spans="1:25" ht="15">
      <c r="A846" s="18">
        <v>21</v>
      </c>
      <c r="F846" s="5" t="s">
        <v>210</v>
      </c>
      <c r="I846" s="50">
        <v>7.278</v>
      </c>
      <c r="J846" s="50">
        <f>IF(X846="","",X846)</f>
        <v>0</v>
      </c>
      <c r="K846" s="50">
        <f>I846+Y846</f>
        <v>7.278</v>
      </c>
      <c r="L846" s="50">
        <f>(K846-I846)</f>
        <v>0</v>
      </c>
      <c r="N846" s="170">
        <f>L846/I846</f>
        <v>0</v>
      </c>
      <c r="P846">
        <f>IF($Q$7=1,TEXT(I846,"0.000"),"")</f>
      </c>
      <c r="Q846">
        <f>IF($Q$7=1,TEXT(VALUE(K846),"0.000"),"")</f>
      </c>
      <c r="R846" s="166" t="str">
        <f>IF($Q$7=2,TEXT(VALUE(K846),"0.000"),"")</f>
        <v>7.278</v>
      </c>
      <c r="W846" s="12">
        <v>3</v>
      </c>
      <c r="X846" s="50">
        <f>WCEC3!J$12</f>
        <v>0</v>
      </c>
      <c r="Y846" s="50">
        <f>SUM(X846:X846)</f>
        <v>0</v>
      </c>
    </row>
    <row r="847" spans="1:25" ht="15">
      <c r="A847" s="18">
        <v>22</v>
      </c>
      <c r="F847" s="5" t="s">
        <v>211</v>
      </c>
      <c r="I847" s="50">
        <v>5.04</v>
      </c>
      <c r="J847" s="50">
        <f>IF(X847="","",X847)</f>
        <v>0</v>
      </c>
      <c r="K847" s="50">
        <f>I847+Y847</f>
        <v>5.04</v>
      </c>
      <c r="L847" s="50">
        <f>(K847-I847)</f>
        <v>0</v>
      </c>
      <c r="N847" s="170">
        <f>L847/I847</f>
        <v>0</v>
      </c>
      <c r="P847">
        <f>IF($Q$7=1,TEXT(I847,"0.000"),"")</f>
      </c>
      <c r="Q847">
        <f>IF($Q$7=1,TEXT(VALUE(K847),"0.000"),"")</f>
      </c>
      <c r="R847" s="166" t="str">
        <f>IF($Q$7=2,TEXT(VALUE(K847),"0.000"),"")</f>
        <v>5.040</v>
      </c>
      <c r="W847" s="12">
        <v>5</v>
      </c>
      <c r="X847" s="50">
        <f>WCEC3!J$13</f>
        <v>0</v>
      </c>
      <c r="Y847" s="50">
        <f>SUM(X847:X847)</f>
        <v>0</v>
      </c>
    </row>
    <row r="848" spans="1:25" ht="15">
      <c r="A848" s="18">
        <v>23</v>
      </c>
      <c r="F848" s="5" t="s">
        <v>212</v>
      </c>
      <c r="I848" s="50">
        <v>4.302</v>
      </c>
      <c r="J848" s="50">
        <f>IF(X848="","",X848)</f>
        <v>0</v>
      </c>
      <c r="K848" s="50">
        <f>I848+Y848</f>
        <v>4.302</v>
      </c>
      <c r="L848" s="50">
        <f>(K848-I848)</f>
        <v>0</v>
      </c>
      <c r="N848" s="170">
        <f>L848/I848</f>
        <v>0</v>
      </c>
      <c r="P848">
        <f>IF($Q$7=1,TEXT(I848,"0.000"),"")</f>
      </c>
      <c r="Q848">
        <f>IF($Q$7=1,TEXT(VALUE(K848),"0.000"),"")</f>
      </c>
      <c r="R848" s="166" t="str">
        <f>IF($Q$7=2,TEXT(VALUE(K848),"0.000"),"")</f>
        <v>4.302</v>
      </c>
      <c r="W848" s="12">
        <v>6</v>
      </c>
      <c r="X848" s="50">
        <f>WCEC3!J$14</f>
        <v>0</v>
      </c>
      <c r="Y848" s="50">
        <f>SUM(X848:X848)</f>
        <v>0</v>
      </c>
    </row>
    <row r="849" spans="1:25" ht="15">
      <c r="A849" s="18">
        <v>24</v>
      </c>
      <c r="I849" s="38"/>
      <c r="J849" s="50"/>
      <c r="K849" s="38"/>
      <c r="L849" s="38"/>
      <c r="N849" s="38"/>
      <c r="X849" s="38"/>
      <c r="Y849" s="38"/>
    </row>
    <row r="850" spans="1:25" ht="15">
      <c r="A850" s="18">
        <v>25</v>
      </c>
      <c r="F850" s="5" t="s">
        <v>225</v>
      </c>
      <c r="I850" s="38"/>
      <c r="J850" s="50"/>
      <c r="K850" s="38"/>
      <c r="L850" s="38"/>
      <c r="N850" s="38"/>
      <c r="X850" s="38"/>
      <c r="Y850" s="38"/>
    </row>
    <row r="851" spans="1:25" ht="15">
      <c r="A851" s="18">
        <v>26</v>
      </c>
      <c r="F851" s="5" t="s">
        <v>210</v>
      </c>
      <c r="I851" s="50">
        <v>1.371</v>
      </c>
      <c r="J851" s="50">
        <f>IF(X851="","",X851)</f>
        <v>0</v>
      </c>
      <c r="K851" s="50">
        <f>I851+Y851</f>
        <v>1.371</v>
      </c>
      <c r="L851" s="50">
        <f>(K851-I851)</f>
        <v>0</v>
      </c>
      <c r="N851" s="170">
        <f>L851/I851</f>
        <v>0</v>
      </c>
      <c r="P851">
        <f>IF($Q$7=1,TEXT(I851,"0.000"),"")</f>
      </c>
      <c r="Q851">
        <f>IF($Q$7=1,TEXT(VALUE(K851),"0.000"),"")</f>
      </c>
      <c r="R851" s="166" t="str">
        <f>IF($Q$7=2,TEXT(VALUE(K851),"0.000"),"")</f>
        <v>1.371</v>
      </c>
      <c r="W851" s="12">
        <v>3</v>
      </c>
      <c r="X851" s="50">
        <f>WCEC3!J$12</f>
        <v>0</v>
      </c>
      <c r="Y851" s="50">
        <f>SUM(X851:X851)</f>
        <v>0</v>
      </c>
    </row>
    <row r="852" spans="1:25" ht="15">
      <c r="A852" s="18">
        <v>27</v>
      </c>
      <c r="F852" s="5" t="s">
        <v>211</v>
      </c>
      <c r="I852" s="50">
        <v>1.035</v>
      </c>
      <c r="J852" s="50">
        <f>IF(X852="","",X852)</f>
        <v>0</v>
      </c>
      <c r="K852" s="50">
        <f>I852+Y852</f>
        <v>1.035</v>
      </c>
      <c r="L852" s="50">
        <f>(K852-I852)</f>
        <v>0</v>
      </c>
      <c r="N852" s="170">
        <f>L852/I852</f>
        <v>0</v>
      </c>
      <c r="P852">
        <f>IF($Q$7=1,TEXT(I852,"0.000"),"")</f>
      </c>
      <c r="Q852">
        <f>IF($Q$7=1,TEXT(VALUE(K852),"0.000"),"")</f>
      </c>
      <c r="R852" s="166" t="str">
        <f>IF($Q$7=2,TEXT(VALUE(K852),"0.000"),"")</f>
        <v>1.035</v>
      </c>
      <c r="W852" s="12">
        <v>5</v>
      </c>
      <c r="X852" s="50">
        <f>WCEC3!J$13</f>
        <v>0</v>
      </c>
      <c r="Y852" s="50">
        <f>SUM(X852:X852)</f>
        <v>0</v>
      </c>
    </row>
    <row r="853" spans="1:25" ht="15">
      <c r="A853" s="18">
        <v>28</v>
      </c>
      <c r="F853" s="5" t="s">
        <v>212</v>
      </c>
      <c r="I853" s="50">
        <v>0.931</v>
      </c>
      <c r="J853" s="50">
        <f>IF(X853="","",X853)</f>
        <v>0</v>
      </c>
      <c r="K853" s="50">
        <f>I853+Y853</f>
        <v>0.931</v>
      </c>
      <c r="L853" s="50">
        <f>(K853-I853)</f>
        <v>0</v>
      </c>
      <c r="N853" s="170">
        <f>L853/I853</f>
        <v>0</v>
      </c>
      <c r="P853">
        <f>IF($Q$7=1,TEXT(I853,"0.000"),"")</f>
      </c>
      <c r="Q853">
        <f>IF($Q$7=1,TEXT(VALUE(K853),"0.000"),"")</f>
      </c>
      <c r="R853" s="166" t="str">
        <f>IF($Q$7=2,TEXT(VALUE(K853),"0.000"),"")</f>
        <v>0.931</v>
      </c>
      <c r="W853" s="12">
        <v>6</v>
      </c>
      <c r="X853" s="50">
        <f>WCEC3!J$14</f>
        <v>0</v>
      </c>
      <c r="Y853" s="50">
        <f>SUM(X853:X853)</f>
        <v>0</v>
      </c>
    </row>
    <row r="854" spans="1:14" ht="15">
      <c r="A854" s="18">
        <v>29</v>
      </c>
      <c r="J854" s="50"/>
      <c r="L854" s="5"/>
      <c r="N854" s="5"/>
    </row>
    <row r="855" spans="1:14" ht="15">
      <c r="A855" s="18">
        <v>30</v>
      </c>
      <c r="F855" s="5" t="s">
        <v>230</v>
      </c>
      <c r="J855" s="50"/>
      <c r="L855" s="5"/>
      <c r="N855" s="5"/>
    </row>
    <row r="856" spans="1:25" ht="15">
      <c r="A856" s="18">
        <v>31</v>
      </c>
      <c r="F856" s="5" t="s">
        <v>210</v>
      </c>
      <c r="I856" s="38">
        <v>3.881</v>
      </c>
      <c r="J856" s="141">
        <f>IF(X856="","",X856)</f>
        <v>0</v>
      </c>
      <c r="K856" s="38">
        <f>I856+Y856</f>
        <v>3.881</v>
      </c>
      <c r="L856" s="38">
        <f>(K856-I856)</f>
        <v>0</v>
      </c>
      <c r="N856" s="170">
        <f>L856/I856</f>
        <v>0</v>
      </c>
      <c r="P856">
        <f>IF($Q$7=1,TEXT(I856,"0.000"),"")</f>
      </c>
      <c r="Q856">
        <f>IF($Q$7=1,TEXT(VALUE(K856),"0.000"),"")</f>
      </c>
      <c r="R856" s="166" t="str">
        <f>IF($Q$7=2,TEXT(VALUE(K856),"0.000"),"")</f>
        <v>3.881</v>
      </c>
      <c r="W856" s="12">
        <v>3</v>
      </c>
      <c r="X856" s="38">
        <f>WCEC3!J$12</f>
        <v>0</v>
      </c>
      <c r="Y856" s="38">
        <f>SUM(X856:X856)</f>
        <v>0</v>
      </c>
    </row>
    <row r="857" spans="1:25" ht="15">
      <c r="A857" s="18">
        <v>32</v>
      </c>
      <c r="F857" s="5" t="s">
        <v>211</v>
      </c>
      <c r="I857" s="38">
        <v>2.71</v>
      </c>
      <c r="J857" s="141">
        <f>IF(X857="","",X857)</f>
        <v>0</v>
      </c>
      <c r="K857" s="38">
        <f>I857+Y857</f>
        <v>2.71</v>
      </c>
      <c r="L857" s="38">
        <f>(K857-I857)</f>
        <v>0</v>
      </c>
      <c r="N857" s="170">
        <f>L857/I857</f>
        <v>0</v>
      </c>
      <c r="P857">
        <f>IF($Q$7=1,TEXT(I857,"0.000"),"")</f>
      </c>
      <c r="Q857">
        <f>IF($Q$7=1,TEXT(VALUE(K857),"0.000"),"")</f>
      </c>
      <c r="R857" s="166" t="str">
        <f>IF($Q$7=2,TEXT(VALUE(K857),"0.000"),"")</f>
        <v>2.710</v>
      </c>
      <c r="W857" s="12">
        <v>5</v>
      </c>
      <c r="X857" s="38">
        <f>WCEC3!J$13</f>
        <v>0</v>
      </c>
      <c r="Y857" s="38">
        <f>SUM(X857:X857)</f>
        <v>0</v>
      </c>
    </row>
    <row r="858" spans="1:25" ht="15">
      <c r="A858" s="18">
        <v>33</v>
      </c>
      <c r="F858" s="5" t="s">
        <v>212</v>
      </c>
      <c r="I858" s="38">
        <v>2.479</v>
      </c>
      <c r="J858" s="141">
        <f>IF(X858="","",X858)</f>
        <v>0</v>
      </c>
      <c r="K858" s="38">
        <f>I858+Y858</f>
        <v>2.479</v>
      </c>
      <c r="L858" s="38">
        <f>(K858-I858)</f>
        <v>0</v>
      </c>
      <c r="N858" s="170">
        <f>L858/I858</f>
        <v>0</v>
      </c>
      <c r="P858">
        <f>IF($Q$7=1,TEXT(I858,"0.000"),"")</f>
      </c>
      <c r="Q858">
        <f>IF($Q$7=1,TEXT(VALUE(K858),"0.000"),"")</f>
      </c>
      <c r="R858" s="166" t="str">
        <f>IF($Q$7=2,TEXT(VALUE(K858),"0.000"),"")</f>
        <v>2.479</v>
      </c>
      <c r="W858" s="12">
        <v>6</v>
      </c>
      <c r="X858" s="38">
        <f>WCEC3!J$14</f>
        <v>0</v>
      </c>
      <c r="Y858" s="38">
        <f>SUM(X858:X858)</f>
        <v>0</v>
      </c>
    </row>
    <row r="859" spans="1:25" ht="15">
      <c r="A859" s="18">
        <v>34</v>
      </c>
      <c r="I859" s="38"/>
      <c r="J859" s="50"/>
      <c r="K859" s="38"/>
      <c r="L859" s="81"/>
      <c r="N859" s="81"/>
      <c r="X859" s="38"/>
      <c r="Y859" s="38"/>
    </row>
    <row r="860" spans="1:25" ht="15">
      <c r="A860" s="18">
        <v>35</v>
      </c>
      <c r="F860" s="5" t="s">
        <v>231</v>
      </c>
      <c r="I860" s="38"/>
      <c r="J860" s="50"/>
      <c r="K860" s="38"/>
      <c r="L860" s="81"/>
      <c r="N860" s="81"/>
      <c r="X860" s="38"/>
      <c r="Y860" s="38"/>
    </row>
    <row r="861" spans="1:25" ht="15">
      <c r="A861" s="18">
        <v>36</v>
      </c>
      <c r="F861" s="5" t="s">
        <v>210</v>
      </c>
      <c r="I861" s="38">
        <v>1.371</v>
      </c>
      <c r="J861" s="141">
        <f>IF(X861="","",X861)</f>
        <v>0</v>
      </c>
      <c r="K861" s="38">
        <f>I861+Y861</f>
        <v>1.371</v>
      </c>
      <c r="L861" s="38">
        <f>(K861-I861)</f>
        <v>0</v>
      </c>
      <c r="N861" s="170">
        <f>L861/I861</f>
        <v>0</v>
      </c>
      <c r="P861">
        <f>IF($Q$7=1,TEXT(I861,"0.000"),"")</f>
      </c>
      <c r="Q861">
        <f>IF($Q$7=1,TEXT(VALUE(K861),"0.000"),"")</f>
      </c>
      <c r="R861" s="166" t="str">
        <f>IF($Q$7=2,TEXT(VALUE(K861),"0.000"),"")</f>
        <v>1.371</v>
      </c>
      <c r="W861" s="12">
        <v>3</v>
      </c>
      <c r="X861" s="38">
        <f>WCEC3!J$12</f>
        <v>0</v>
      </c>
      <c r="Y861" s="38">
        <f>SUM(X861:X861)</f>
        <v>0</v>
      </c>
    </row>
    <row r="862" spans="1:25" ht="15">
      <c r="A862" s="18">
        <v>37</v>
      </c>
      <c r="F862" s="5" t="s">
        <v>211</v>
      </c>
      <c r="I862" s="38">
        <v>1.035</v>
      </c>
      <c r="J862" s="141">
        <f>IF(X862="","",X862)</f>
        <v>0</v>
      </c>
      <c r="K862" s="38">
        <f>I862+Y862</f>
        <v>1.035</v>
      </c>
      <c r="L862" s="38">
        <f>(K862-I862)</f>
        <v>0</v>
      </c>
      <c r="N862" s="170">
        <f>L862/I862</f>
        <v>0</v>
      </c>
      <c r="P862">
        <f>IF($Q$7=1,TEXT(I862,"0.000"),"")</f>
      </c>
      <c r="Q862">
        <f>IF($Q$7=1,TEXT(VALUE(K862),"0.000"),"")</f>
      </c>
      <c r="R862" s="166" t="str">
        <f>IF($Q$7=2,TEXT(VALUE(K862),"0.000"),"")</f>
        <v>1.035</v>
      </c>
      <c r="W862" s="12">
        <v>5</v>
      </c>
      <c r="X862" s="38">
        <f>WCEC3!J$13</f>
        <v>0</v>
      </c>
      <c r="Y862" s="38">
        <f>SUM(X862:X862)</f>
        <v>0</v>
      </c>
    </row>
    <row r="863" spans="1:25" ht="15">
      <c r="A863" s="18">
        <v>38</v>
      </c>
      <c r="F863" s="5" t="s">
        <v>212</v>
      </c>
      <c r="I863" s="38">
        <v>0.931</v>
      </c>
      <c r="J863" s="141">
        <f>IF(X863="","",X863)</f>
        <v>0</v>
      </c>
      <c r="K863" s="38">
        <f>I863+Y863</f>
        <v>0.931</v>
      </c>
      <c r="L863" s="38">
        <f>(K863-I863)</f>
        <v>0</v>
      </c>
      <c r="N863" s="170">
        <f>L863/I863</f>
        <v>0</v>
      </c>
      <c r="P863">
        <f>IF($Q$7=1,TEXT(I863,"0.000"),"")</f>
      </c>
      <c r="Q863">
        <f>IF($Q$7=1,TEXT(VALUE(K863),"0.000"),"")</f>
      </c>
      <c r="R863" s="166" t="str">
        <f>IF($Q$7=2,TEXT(VALUE(K863),"0.000"),"")</f>
        <v>0.931</v>
      </c>
      <c r="W863" s="12">
        <v>6</v>
      </c>
      <c r="X863" s="38">
        <f>WCEC3!J$14</f>
        <v>0</v>
      </c>
      <c r="Y863" s="38">
        <f>SUM(X863:X863)</f>
        <v>0</v>
      </c>
    </row>
    <row r="864" ht="17.25" customHeight="1">
      <c r="A864" s="18">
        <v>39</v>
      </c>
    </row>
    <row r="865" ht="15">
      <c r="A865" s="18">
        <v>40</v>
      </c>
    </row>
    <row r="866" ht="15">
      <c r="A866" s="18">
        <v>41</v>
      </c>
    </row>
    <row r="867" ht="15">
      <c r="A867" s="18">
        <v>42</v>
      </c>
    </row>
    <row r="868" ht="15">
      <c r="C868" s="43"/>
    </row>
    <row r="869" spans="1:25" ht="15" thickBot="1">
      <c r="A869" s="16"/>
      <c r="B869" s="3"/>
      <c r="C869" s="3"/>
      <c r="D869" s="41"/>
      <c r="E869" s="41"/>
      <c r="F869" s="41"/>
      <c r="G869" s="41"/>
      <c r="H869" s="41"/>
      <c r="I869" s="41"/>
      <c r="J869" s="41"/>
      <c r="K869" s="41"/>
      <c r="L869" s="44"/>
      <c r="M869" s="41"/>
      <c r="N869" s="44"/>
      <c r="O869" s="41"/>
      <c r="X869" s="41"/>
      <c r="Y869" s="41"/>
    </row>
    <row r="870" spans="1:25" ht="15">
      <c r="A870" s="45" t="s">
        <v>31</v>
      </c>
      <c r="B870" s="14"/>
      <c r="C870" s="14"/>
      <c r="D870" s="45"/>
      <c r="E870" s="45"/>
      <c r="F870" s="45"/>
      <c r="G870" s="45"/>
      <c r="H870" s="45"/>
      <c r="I870" s="45"/>
      <c r="J870" s="45"/>
      <c r="K870" s="45" t="s">
        <v>32</v>
      </c>
      <c r="L870" s="46"/>
      <c r="M870" s="45"/>
      <c r="N870" s="46"/>
      <c r="O870" s="1"/>
      <c r="X870" s="45"/>
      <c r="Y870" s="45"/>
    </row>
    <row r="871" spans="1:25" ht="15" thickBot="1">
      <c r="A871" s="18">
        <v>1</v>
      </c>
      <c r="D871" s="24" t="s">
        <v>248</v>
      </c>
      <c r="E871" s="24"/>
      <c r="F871" s="25" t="s">
        <v>307</v>
      </c>
      <c r="G871" s="25"/>
      <c r="H871" s="25"/>
      <c r="I871" s="25"/>
      <c r="J871" s="25"/>
      <c r="K871" s="25"/>
      <c r="L871" s="26"/>
      <c r="N871" s="26"/>
      <c r="O871" s="6"/>
      <c r="S871" s="11"/>
      <c r="T871" s="11"/>
      <c r="X871" s="25"/>
      <c r="Y871" s="25"/>
    </row>
    <row r="872" spans="1:25" ht="15">
      <c r="A872" s="18">
        <v>2</v>
      </c>
      <c r="F872" s="5" t="s">
        <v>17</v>
      </c>
      <c r="I872" s="27"/>
      <c r="J872" s="27"/>
      <c r="K872" s="27">
        <f>I872+Y874</f>
        <v>0</v>
      </c>
      <c r="L872" s="27">
        <f>(K872-I872)</f>
        <v>0</v>
      </c>
      <c r="N872" s="27"/>
      <c r="O872" s="6"/>
      <c r="P872">
        <f>IF($Q$7=1,TEXT(I872,"$0.00"),"")</f>
      </c>
      <c r="Q872">
        <f>IF($Q$7=1,TEXT(VALUE(K872),"$0.00"),"")</f>
      </c>
      <c r="R872" s="166" t="str">
        <f>IF($Q$7=2,TEXT(VALUE(K872),"$0.00"),"")</f>
        <v>$0.00</v>
      </c>
      <c r="S872" s="11"/>
      <c r="X872" s="27"/>
      <c r="Y872" s="27">
        <f>SUM(X873:X873)</f>
        <v>0</v>
      </c>
    </row>
    <row r="873" spans="1:20" ht="15">
      <c r="A873" s="18">
        <v>3</v>
      </c>
      <c r="O873" s="6"/>
      <c r="S873" s="11"/>
      <c r="T873" s="11"/>
    </row>
    <row r="874" spans="1:20" ht="15">
      <c r="A874" s="18">
        <v>4</v>
      </c>
      <c r="F874" s="5" t="s">
        <v>18</v>
      </c>
      <c r="L874" s="27"/>
      <c r="N874" s="27"/>
      <c r="S874" s="11"/>
      <c r="T874" s="11"/>
    </row>
    <row r="875" spans="1:25" ht="15">
      <c r="A875" s="18">
        <v>5</v>
      </c>
      <c r="F875" s="5" t="s">
        <v>240</v>
      </c>
      <c r="I875" s="32"/>
      <c r="J875" s="32"/>
      <c r="K875" s="32">
        <f>+I875+Y877</f>
        <v>0</v>
      </c>
      <c r="L875" s="32">
        <f>(K875-I875)</f>
        <v>0</v>
      </c>
      <c r="N875" s="32"/>
      <c r="P875">
        <f>IF($Q$7=1,TEXT(I875,"0.000"),"")</f>
      </c>
      <c r="Q875">
        <f>IF($Q$7=1,TEXT(VALUE(K875),"0.000"),"")</f>
      </c>
      <c r="R875" s="166" t="str">
        <f>IF($Q$7=2,TEXT(VALUE(K875),"0.000"),"")</f>
        <v>0.000</v>
      </c>
      <c r="S875" s="11"/>
      <c r="T875" s="11"/>
      <c r="W875" s="12">
        <v>1</v>
      </c>
      <c r="X875" s="32"/>
      <c r="Y875" s="32">
        <f>SUM(X875:X875)</f>
        <v>0</v>
      </c>
    </row>
    <row r="876" ht="15">
      <c r="A876" s="18">
        <v>6</v>
      </c>
    </row>
    <row r="877" spans="1:26" ht="15">
      <c r="A877" s="18">
        <v>7</v>
      </c>
      <c r="Z877" s="79"/>
    </row>
    <row r="878" spans="1:25" ht="15" thickBot="1">
      <c r="A878" s="18">
        <v>1</v>
      </c>
      <c r="D878" s="24" t="s">
        <v>265</v>
      </c>
      <c r="E878" s="24"/>
      <c r="F878" s="25" t="s">
        <v>266</v>
      </c>
      <c r="G878" s="25"/>
      <c r="H878" s="25"/>
      <c r="I878" s="25"/>
      <c r="J878" s="25"/>
      <c r="K878" s="25"/>
      <c r="L878" s="25"/>
      <c r="N878" s="25"/>
      <c r="X878" s="25"/>
      <c r="Y878" s="25"/>
    </row>
    <row r="879" spans="1:25" ht="15">
      <c r="A879" s="18">
        <v>2</v>
      </c>
      <c r="F879" s="76" t="s">
        <v>17</v>
      </c>
      <c r="G879" s="76"/>
      <c r="H879" s="76"/>
      <c r="I879" s="39">
        <v>12.36</v>
      </c>
      <c r="J879" s="147">
        <f aca="true" t="shared" si="140" ref="J879:J892">IF(X879="","",X879)</f>
      </c>
      <c r="K879" s="39">
        <f>I879+Y879</f>
        <v>12.36</v>
      </c>
      <c r="L879" s="147">
        <f>(K879-I879)</f>
        <v>0</v>
      </c>
      <c r="N879" s="147"/>
      <c r="X879" s="147"/>
      <c r="Y879" s="147">
        <f>SUM(X879:X879)</f>
        <v>0</v>
      </c>
    </row>
    <row r="880" spans="1:25" ht="15">
      <c r="A880" s="18">
        <v>3</v>
      </c>
      <c r="F880" s="76"/>
      <c r="G880" s="76"/>
      <c r="H880" s="76"/>
      <c r="I880" s="39"/>
      <c r="J880" s="147"/>
      <c r="K880" s="39"/>
      <c r="L880" s="147"/>
      <c r="N880" s="147"/>
      <c r="X880" s="147"/>
      <c r="Y880" s="147"/>
    </row>
    <row r="881" spans="1:25" ht="15">
      <c r="A881" s="18">
        <v>4</v>
      </c>
      <c r="F881" s="76"/>
      <c r="G881" s="76"/>
      <c r="H881" s="76"/>
      <c r="I881" s="76"/>
      <c r="J881" s="76">
        <f t="shared" si="140"/>
      </c>
      <c r="K881" s="76"/>
      <c r="L881" s="76"/>
      <c r="N881" s="76"/>
      <c r="X881" s="76"/>
      <c r="Y881" s="76"/>
    </row>
    <row r="882" spans="1:25" ht="15">
      <c r="A882" s="18">
        <v>5</v>
      </c>
      <c r="F882" s="5" t="s">
        <v>17</v>
      </c>
      <c r="G882" s="7"/>
      <c r="H882" s="7"/>
      <c r="I882" s="7"/>
      <c r="J882" s="7">
        <f t="shared" si="140"/>
      </c>
      <c r="K882" s="7"/>
      <c r="L882" s="76"/>
      <c r="N882" s="76"/>
      <c r="X882" s="7"/>
      <c r="Y882" s="7"/>
    </row>
    <row r="883" spans="1:25" ht="15">
      <c r="A883" s="18">
        <v>6</v>
      </c>
      <c r="F883" s="27">
        <v>0</v>
      </c>
      <c r="G883" s="5" t="str">
        <f>" with lump-sum metering payment"</f>
        <v> with lump-sum metering payment</v>
      </c>
      <c r="I883" s="39">
        <v>7.87</v>
      </c>
      <c r="J883" s="147">
        <f t="shared" si="140"/>
      </c>
      <c r="K883" s="39">
        <f>I883+Y883</f>
        <v>7.87</v>
      </c>
      <c r="L883" s="147">
        <f>(K883-I883)</f>
        <v>0</v>
      </c>
      <c r="N883" s="147"/>
      <c r="X883" s="27"/>
      <c r="Y883" s="27">
        <f>SUM(X883:X883)</f>
        <v>0</v>
      </c>
    </row>
    <row r="884" spans="1:14" ht="15">
      <c r="A884" s="18">
        <v>7</v>
      </c>
      <c r="J884" s="5">
        <f t="shared" si="140"/>
      </c>
      <c r="L884" s="148"/>
      <c r="N884" s="148"/>
    </row>
    <row r="885" spans="1:25" ht="15">
      <c r="A885" s="18">
        <v>8</v>
      </c>
      <c r="F885" s="76"/>
      <c r="G885" s="76"/>
      <c r="H885" s="76"/>
      <c r="I885" s="76"/>
      <c r="J885" s="76"/>
      <c r="K885" s="76"/>
      <c r="L885" s="76"/>
      <c r="N885" s="76"/>
      <c r="X885" s="76"/>
      <c r="Y885" s="76"/>
    </row>
    <row r="886" spans="1:25" ht="15">
      <c r="A886" s="18">
        <v>9</v>
      </c>
      <c r="F886" s="76"/>
      <c r="G886" s="76"/>
      <c r="H886" s="76"/>
      <c r="I886" s="148"/>
      <c r="J886" s="148"/>
      <c r="K886" s="148"/>
      <c r="L886" s="61"/>
      <c r="N886" s="61"/>
      <c r="X886" s="148">
        <f>X20</f>
        <v>0.144</v>
      </c>
      <c r="Y886" s="148">
        <f>SUM(X886:X886)</f>
        <v>0.144</v>
      </c>
    </row>
    <row r="887" spans="1:25" ht="15">
      <c r="A887" s="18">
        <v>10</v>
      </c>
      <c r="F887" s="76"/>
      <c r="G887" s="76"/>
      <c r="H887" s="76"/>
      <c r="I887" s="148"/>
      <c r="J887" s="148"/>
      <c r="K887" s="148"/>
      <c r="L887" s="61"/>
      <c r="N887" s="61"/>
      <c r="X887" s="148">
        <f>X21</f>
        <v>0.144</v>
      </c>
      <c r="Y887" s="148">
        <f>SUM(X887:X887)</f>
        <v>0.144</v>
      </c>
    </row>
    <row r="888" spans="1:25" ht="15">
      <c r="A888" s="18">
        <v>11</v>
      </c>
      <c r="F888" s="76"/>
      <c r="G888" s="76"/>
      <c r="H888" s="76"/>
      <c r="I888" s="76"/>
      <c r="J888" s="76">
        <f t="shared" si="140"/>
      </c>
      <c r="K888" s="76"/>
      <c r="L888" s="61"/>
      <c r="N888" s="61"/>
      <c r="X888" s="76"/>
      <c r="Y888" s="76"/>
    </row>
    <row r="889" spans="1:25" ht="15">
      <c r="A889" s="18">
        <v>12</v>
      </c>
      <c r="F889" s="76" t="s">
        <v>267</v>
      </c>
      <c r="G889" s="149"/>
      <c r="H889" s="149"/>
      <c r="I889" s="150"/>
      <c r="J889" s="150">
        <f t="shared" si="140"/>
      </c>
      <c r="K889" s="150"/>
      <c r="L889" s="5"/>
      <c r="N889" s="5"/>
      <c r="X889" s="150"/>
      <c r="Y889" s="150"/>
    </row>
    <row r="890" spans="1:25" ht="15">
      <c r="A890" s="18">
        <f>A889+1</f>
        <v>13</v>
      </c>
      <c r="F890" s="76" t="s">
        <v>23</v>
      </c>
      <c r="G890" s="76"/>
      <c r="H890" s="76"/>
      <c r="I890" s="148">
        <v>9.154</v>
      </c>
      <c r="J890" s="148">
        <f t="shared" si="140"/>
      </c>
      <c r="K890" s="148">
        <f>I890+Y890</f>
        <v>9.154</v>
      </c>
      <c r="L890" s="61">
        <f>(K890-I890)</f>
        <v>0</v>
      </c>
      <c r="N890" s="61"/>
      <c r="X890" s="148"/>
      <c r="Y890" s="148">
        <f>SUM(X890:X890)</f>
        <v>0</v>
      </c>
    </row>
    <row r="891" spans="1:25" ht="409.5">
      <c r="A891" s="18">
        <f>A890+1</f>
        <v>14</v>
      </c>
      <c r="F891" s="76" t="s">
        <v>24</v>
      </c>
      <c r="G891" s="76"/>
      <c r="H891" s="76"/>
      <c r="I891" s="148">
        <v>-4.072</v>
      </c>
      <c r="J891" s="148">
        <f t="shared" si="140"/>
      </c>
      <c r="K891" s="148">
        <f>I891+Y891</f>
        <v>-4.072</v>
      </c>
      <c r="L891" s="61">
        <f>(K891-I891)</f>
        <v>0</v>
      </c>
      <c r="N891" s="61"/>
      <c r="X891" s="148"/>
      <c r="Y891" s="148">
        <f>SUM(X891:X891)</f>
        <v>0</v>
      </c>
    </row>
    <row r="892" spans="1:14" ht="409.5">
      <c r="A892" s="7"/>
      <c r="J892" s="5">
        <f t="shared" si="140"/>
      </c>
      <c r="L892" s="5"/>
      <c r="N892" s="5"/>
    </row>
    <row r="893" ht="15">
      <c r="J893" s="5" t="s">
        <v>299</v>
      </c>
    </row>
  </sheetData>
  <sheetProtection/>
  <mergeCells count="6">
    <mergeCell ref="J394:J407"/>
    <mergeCell ref="J447:J460"/>
    <mergeCell ref="J615:J623"/>
    <mergeCell ref="J581:J589"/>
    <mergeCell ref="J604:J612"/>
    <mergeCell ref="J424:J432"/>
  </mergeCells>
  <printOptions horizontalCentered="1"/>
  <pageMargins left="0.45" right="0.45" top="0.5" bottom="0.25" header="0.3" footer="0.3"/>
  <pageSetup fitToHeight="0" fitToWidth="1" horizontalDpi="1200" verticalDpi="1200" orientation="landscape" scale="68" r:id="rId1"/>
  <headerFooter alignWithMargins="0">
    <oddHeader>&amp;RAttachment E
Summary of  Tariff Revisions
Page &amp;P of &amp;N</oddHeader>
    <oddFooter>&amp;CPage &amp;P of &amp;N</oddFooter>
  </headerFooter>
  <rowBreaks count="19" manualBreakCount="19">
    <brk id="60" max="13" man="1"/>
    <brk id="105" max="13" man="1"/>
    <brk id="150" max="13" man="1"/>
    <brk id="194" max="13" man="1"/>
    <brk id="240" max="13" man="1"/>
    <brk id="285" max="13" man="1"/>
    <brk id="330" max="13" man="1"/>
    <brk id="375" max="13" man="1"/>
    <brk id="420" max="13" man="1"/>
    <brk id="465" max="13" man="1"/>
    <brk id="510" max="13" man="1"/>
    <brk id="555" max="13" man="1"/>
    <brk id="600" max="13" man="1"/>
    <brk id="645" max="13" man="1"/>
    <brk id="690" max="13" man="1"/>
    <brk id="735" max="13" man="1"/>
    <brk id="780" max="13" man="1"/>
    <brk id="825" max="13" man="1"/>
    <brk id="87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130" zoomScaleNormal="130" zoomScalePageLayoutView="0" workbookViewId="0" topLeftCell="A1">
      <selection activeCell="A2" sqref="A1:A2"/>
    </sheetView>
  </sheetViews>
  <sheetFormatPr defaultColWidth="9.140625" defaultRowHeight="12.75"/>
  <cols>
    <col min="2" max="2" width="14.57421875" style="0" customWidth="1"/>
    <col min="3" max="8" width="3.421875" style="0" customWidth="1"/>
    <col min="9" max="9" width="11.00390625" style="0" bestFit="1" customWidth="1"/>
    <col min="11" max="11" width="12.7109375" style="0" bestFit="1" customWidth="1"/>
  </cols>
  <sheetData>
    <row r="1" ht="12.75">
      <c r="A1" s="183" t="s">
        <v>311</v>
      </c>
    </row>
    <row r="2" ht="12.75">
      <c r="A2" s="183" t="s">
        <v>309</v>
      </c>
    </row>
    <row r="4" ht="12.75">
      <c r="A4" t="s">
        <v>305</v>
      </c>
    </row>
    <row r="5" spans="1:13" s="172" customFormat="1" ht="52.5">
      <c r="A5" s="172" t="s">
        <v>249</v>
      </c>
      <c r="B5" s="172" t="s">
        <v>250</v>
      </c>
      <c r="I5" s="173" t="s">
        <v>302</v>
      </c>
      <c r="J5" s="174" t="s">
        <v>303</v>
      </c>
      <c r="K5" s="173" t="s">
        <v>304</v>
      </c>
      <c r="L5" s="173" t="s">
        <v>289</v>
      </c>
      <c r="M5" s="173" t="s">
        <v>290</v>
      </c>
    </row>
    <row r="6" spans="3:9" ht="12.75">
      <c r="C6" s="143"/>
      <c r="D6" s="143"/>
      <c r="E6" s="143"/>
      <c r="F6" s="143"/>
      <c r="G6" s="143"/>
      <c r="H6" s="143"/>
      <c r="I6" s="143">
        <v>-7</v>
      </c>
    </row>
    <row r="7" spans="1:15" ht="12.75">
      <c r="A7">
        <v>1</v>
      </c>
      <c r="B7" t="s">
        <v>251</v>
      </c>
      <c r="C7" s="144"/>
      <c r="D7" s="144"/>
      <c r="E7" s="144"/>
      <c r="F7" s="145"/>
      <c r="G7" s="146"/>
      <c r="H7" s="145"/>
      <c r="I7" s="142">
        <v>0</v>
      </c>
      <c r="J7">
        <v>0</v>
      </c>
      <c r="K7" s="175">
        <v>0.57</v>
      </c>
      <c r="O7" s="177"/>
    </row>
    <row r="8" spans="1:15" ht="12.75">
      <c r="A8">
        <v>2</v>
      </c>
      <c r="B8" t="s">
        <v>252</v>
      </c>
      <c r="C8" s="144"/>
      <c r="D8" s="144"/>
      <c r="E8" s="144"/>
      <c r="F8" s="145"/>
      <c r="G8" s="146"/>
      <c r="H8" s="145"/>
      <c r="I8" s="142">
        <v>0</v>
      </c>
      <c r="J8">
        <f>ROUND(I8*100,3)</f>
        <v>0</v>
      </c>
      <c r="K8" s="175">
        <v>0.57</v>
      </c>
      <c r="O8" s="177"/>
    </row>
    <row r="9" spans="1:15" ht="12.75">
      <c r="A9">
        <v>3</v>
      </c>
      <c r="B9" t="s">
        <v>253</v>
      </c>
      <c r="C9" s="144"/>
      <c r="D9" s="144"/>
      <c r="E9" s="144"/>
      <c r="F9" s="145"/>
      <c r="G9" s="146"/>
      <c r="H9" s="145"/>
      <c r="I9" s="142">
        <v>0</v>
      </c>
      <c r="J9">
        <f>ROUND(I9*100,3)</f>
        <v>0</v>
      </c>
      <c r="K9" s="175">
        <v>0.52</v>
      </c>
      <c r="O9" s="177"/>
    </row>
    <row r="10" spans="1:15" ht="12.75">
      <c r="A10">
        <v>4</v>
      </c>
      <c r="B10" s="178" t="s">
        <v>254</v>
      </c>
      <c r="C10" s="144"/>
      <c r="D10" s="144"/>
      <c r="E10" s="144"/>
      <c r="F10" s="145"/>
      <c r="G10" s="146"/>
      <c r="H10" s="145"/>
      <c r="I10" s="181">
        <v>0.00131</v>
      </c>
      <c r="J10">
        <f>ROUND(I10*100,3)</f>
        <v>0.131</v>
      </c>
      <c r="K10" s="175"/>
      <c r="O10" s="177"/>
    </row>
    <row r="11" spans="1:15" ht="12.75">
      <c r="A11">
        <v>5</v>
      </c>
      <c r="B11" s="178" t="s">
        <v>203</v>
      </c>
      <c r="C11" s="144"/>
      <c r="D11" s="144"/>
      <c r="E11" s="144"/>
      <c r="F11" s="145"/>
      <c r="G11" s="146"/>
      <c r="H11" s="145"/>
      <c r="I11" s="181">
        <v>0.00094</v>
      </c>
      <c r="J11">
        <f aca="true" t="shared" si="0" ref="J11:J24">ROUND(I11*100,3)</f>
        <v>0.094</v>
      </c>
      <c r="K11" s="175"/>
      <c r="O11" s="177"/>
    </row>
    <row r="12" spans="1:15" ht="12.75">
      <c r="A12">
        <v>6</v>
      </c>
      <c r="B12" s="178" t="s">
        <v>255</v>
      </c>
      <c r="C12" s="144"/>
      <c r="D12" s="144"/>
      <c r="E12" s="144"/>
      <c r="F12" s="145"/>
      <c r="G12" s="146"/>
      <c r="H12" s="145"/>
      <c r="I12" s="181">
        <v>0</v>
      </c>
      <c r="J12">
        <f t="shared" si="0"/>
        <v>0</v>
      </c>
      <c r="K12" s="175">
        <v>0.44</v>
      </c>
      <c r="O12" s="177"/>
    </row>
    <row r="13" spans="1:15" ht="12.75">
      <c r="A13">
        <v>7</v>
      </c>
      <c r="B13" s="178" t="s">
        <v>256</v>
      </c>
      <c r="C13" s="144"/>
      <c r="D13" s="144"/>
      <c r="E13" s="144"/>
      <c r="F13" s="145"/>
      <c r="G13" s="146"/>
      <c r="H13" s="145"/>
      <c r="I13" s="181"/>
      <c r="J13">
        <f t="shared" si="0"/>
        <v>0</v>
      </c>
      <c r="K13" s="175">
        <v>0.49</v>
      </c>
      <c r="O13" s="177"/>
    </row>
    <row r="14" spans="1:15" ht="12.75">
      <c r="A14">
        <v>8</v>
      </c>
      <c r="B14" s="178" t="s">
        <v>257</v>
      </c>
      <c r="C14" s="144"/>
      <c r="D14" s="144"/>
      <c r="E14" s="144"/>
      <c r="F14" s="145"/>
      <c r="G14" s="146"/>
      <c r="H14" s="145"/>
      <c r="I14" s="181"/>
      <c r="J14">
        <f t="shared" si="0"/>
        <v>0</v>
      </c>
      <c r="K14" s="175">
        <v>0.48</v>
      </c>
      <c r="O14" s="177"/>
    </row>
    <row r="15" spans="1:15" ht="12.75">
      <c r="A15">
        <v>9</v>
      </c>
      <c r="B15" s="178" t="s">
        <v>258</v>
      </c>
      <c r="C15" s="144"/>
      <c r="D15" s="144"/>
      <c r="E15" s="144"/>
      <c r="F15" s="145"/>
      <c r="G15" s="146"/>
      <c r="H15" s="145"/>
      <c r="I15" s="181"/>
      <c r="J15">
        <f t="shared" si="0"/>
        <v>0</v>
      </c>
      <c r="K15" s="175">
        <v>0.51</v>
      </c>
      <c r="O15" s="177"/>
    </row>
    <row r="16" spans="1:15" ht="12.75">
      <c r="A16">
        <v>10</v>
      </c>
      <c r="B16" s="178" t="s">
        <v>259</v>
      </c>
      <c r="C16" s="144"/>
      <c r="D16" s="144"/>
      <c r="E16" s="144"/>
      <c r="F16" s="145"/>
      <c r="G16" s="146"/>
      <c r="H16" s="145"/>
      <c r="I16" s="181"/>
      <c r="J16">
        <f t="shared" si="0"/>
        <v>0</v>
      </c>
      <c r="K16" s="175">
        <v>0.55</v>
      </c>
      <c r="O16" s="177"/>
    </row>
    <row r="17" spans="1:15" ht="12.75">
      <c r="A17">
        <v>11</v>
      </c>
      <c r="B17" s="178" t="s">
        <v>158</v>
      </c>
      <c r="C17" s="144"/>
      <c r="D17" s="144"/>
      <c r="E17" s="144"/>
      <c r="F17" s="145"/>
      <c r="G17" s="146"/>
      <c r="H17" s="145"/>
      <c r="I17" s="181">
        <v>0.00037</v>
      </c>
      <c r="J17">
        <f t="shared" si="0"/>
        <v>0.037</v>
      </c>
      <c r="K17" s="175"/>
      <c r="O17" s="177"/>
    </row>
    <row r="18" spans="1:15" ht="12.75">
      <c r="A18">
        <v>12</v>
      </c>
      <c r="B18" s="178" t="s">
        <v>66</v>
      </c>
      <c r="C18" s="144"/>
      <c r="D18" s="144"/>
      <c r="E18" s="144"/>
      <c r="F18" s="145"/>
      <c r="G18" s="146"/>
      <c r="H18" s="145"/>
      <c r="I18" s="181">
        <v>0.00063</v>
      </c>
      <c r="J18">
        <f t="shared" si="0"/>
        <v>0.063</v>
      </c>
      <c r="K18" s="175"/>
      <c r="O18" s="177"/>
    </row>
    <row r="19" spans="1:15" ht="12.75">
      <c r="A19">
        <v>13</v>
      </c>
      <c r="B19" s="178" t="s">
        <v>260</v>
      </c>
      <c r="C19" s="144"/>
      <c r="D19" s="144"/>
      <c r="E19" s="144"/>
      <c r="F19" s="145"/>
      <c r="G19" s="146"/>
      <c r="H19" s="145"/>
      <c r="I19" s="181">
        <v>0.00144</v>
      </c>
      <c r="J19">
        <f t="shared" si="0"/>
        <v>0.144</v>
      </c>
      <c r="K19" s="175"/>
      <c r="O19" s="177"/>
    </row>
    <row r="20" spans="1:15" ht="12.75">
      <c r="A20">
        <v>14</v>
      </c>
      <c r="B20" s="178" t="s">
        <v>99</v>
      </c>
      <c r="C20" s="144"/>
      <c r="D20" s="144"/>
      <c r="E20" s="144"/>
      <c r="F20" s="145"/>
      <c r="G20" s="146"/>
      <c r="H20" s="145"/>
      <c r="I20" s="181">
        <v>0.00037</v>
      </c>
      <c r="J20">
        <f t="shared" si="0"/>
        <v>0.037</v>
      </c>
      <c r="K20" s="175"/>
      <c r="O20" s="177"/>
    </row>
    <row r="21" spans="1:15" ht="12.75">
      <c r="A21">
        <v>15</v>
      </c>
      <c r="B21" s="178" t="s">
        <v>168</v>
      </c>
      <c r="C21" s="144"/>
      <c r="D21" s="144"/>
      <c r="E21" s="144"/>
      <c r="F21" s="145"/>
      <c r="G21" s="146"/>
      <c r="H21" s="145"/>
      <c r="I21" s="181">
        <v>0.00094</v>
      </c>
      <c r="J21">
        <f t="shared" si="0"/>
        <v>0.094</v>
      </c>
      <c r="K21" s="175"/>
      <c r="O21" s="177"/>
    </row>
    <row r="22" spans="1:15" ht="12.75">
      <c r="A22">
        <v>16</v>
      </c>
      <c r="B22" s="178" t="s">
        <v>261</v>
      </c>
      <c r="C22" s="144"/>
      <c r="D22" s="144"/>
      <c r="E22" s="144"/>
      <c r="F22" s="145"/>
      <c r="G22" s="146"/>
      <c r="H22" s="145"/>
      <c r="I22" s="142"/>
      <c r="J22">
        <f t="shared" si="0"/>
        <v>0</v>
      </c>
      <c r="K22" s="175"/>
      <c r="L22" s="175">
        <v>0.06</v>
      </c>
      <c r="M22" s="175">
        <v>0.03</v>
      </c>
      <c r="N22" s="175"/>
      <c r="O22" s="177"/>
    </row>
    <row r="23" spans="1:15" ht="12.75">
      <c r="A23">
        <v>17</v>
      </c>
      <c r="B23" s="178" t="s">
        <v>262</v>
      </c>
      <c r="C23" s="144"/>
      <c r="D23" s="144"/>
      <c r="E23" s="144"/>
      <c r="F23" s="145"/>
      <c r="G23" s="146"/>
      <c r="H23" s="145"/>
      <c r="I23" s="142"/>
      <c r="J23">
        <f t="shared" si="0"/>
        <v>0</v>
      </c>
      <c r="K23" s="175"/>
      <c r="L23" s="175">
        <v>0.06</v>
      </c>
      <c r="M23" s="175">
        <v>0.03</v>
      </c>
      <c r="O23" s="177"/>
    </row>
    <row r="24" spans="1:13" ht="12.75">
      <c r="A24">
        <v>18</v>
      </c>
      <c r="B24" t="s">
        <v>263</v>
      </c>
      <c r="C24" s="144"/>
      <c r="D24" s="144"/>
      <c r="E24" s="144"/>
      <c r="F24" s="144"/>
      <c r="G24" s="171"/>
      <c r="H24" s="144"/>
      <c r="I24" s="142"/>
      <c r="J24">
        <f t="shared" si="0"/>
        <v>0</v>
      </c>
      <c r="K24" s="175"/>
      <c r="L24" s="175"/>
      <c r="M24" s="175"/>
    </row>
    <row r="25" spans="12:13" ht="12.75">
      <c r="L25" s="175"/>
      <c r="M25" s="175"/>
    </row>
    <row r="26" spans="1:8" ht="12.75">
      <c r="A26">
        <v>19</v>
      </c>
      <c r="H26" s="144"/>
    </row>
    <row r="27" spans="2:6" ht="12.75">
      <c r="B27" s="178"/>
      <c r="C27" s="179"/>
      <c r="D27" s="178"/>
      <c r="E27" s="178"/>
      <c r="F27" s="178"/>
    </row>
  </sheetData>
  <sheetProtection/>
  <printOptions/>
  <pageMargins left="0.7" right="0.7" top="0.75" bottom="0.75" header="0.3" footer="0.3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Power &amp; Light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 Price</dc:creator>
  <cp:keywords/>
  <dc:description/>
  <cp:lastModifiedBy>FPL_User</cp:lastModifiedBy>
  <cp:lastPrinted>2015-10-28T13:58:50Z</cp:lastPrinted>
  <dcterms:created xsi:type="dcterms:W3CDTF">2010-05-27T11:29:10Z</dcterms:created>
  <dcterms:modified xsi:type="dcterms:W3CDTF">2016-04-18T11:42:36Z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