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56" windowWidth="19416" windowHeight="9012"/>
  </bookViews>
  <sheets>
    <sheet name="2017 COST ALLOCATION ANALYSIS" sheetId="4" r:id="rId1"/>
    <sheet name="SYA CUSTOMER CARE" sheetId="1" r:id="rId2"/>
    <sheet name="BUDGET DATA" sheetId="7" r:id="rId3"/>
  </sheets>
  <externalReferences>
    <externalReference r:id="rId4"/>
    <externalReference r:id="rId5"/>
    <externalReference r:id="rId6"/>
  </externalReferences>
  <definedNames>
    <definedName name="BARGAINING_UNIT_PWTI">'2017 COST ALLOCATION ANALYSIS'!$I$14</definedName>
    <definedName name="CORPORATE_AG_2017">'2017 COST ALLOCATION ANALYSIS'!$D$56</definedName>
    <definedName name="EXEMPT_PWTI">'2017 COST ALLOCATION ANALYSIS'!$I$13</definedName>
    <definedName name="NON_EXEMPT_PWTI">'2017 COST ALLOCATION ANALYSIS'!$I$12</definedName>
    <definedName name="PERP">'2017 COST ALLOCATION ANALYSIS'!$D$21</definedName>
    <definedName name="SAPBEXhrIndnt" hidden="1">"Wide"</definedName>
    <definedName name="SAPBEXrevision" hidden="1">0</definedName>
    <definedName name="SAPBEXsysID" hidden="1">"GD2"</definedName>
    <definedName name="SAPBEXwbID" hidden="1">"46VO5ZEKU1OSINXHSJ9MQ49V5"</definedName>
    <definedName name="SAPsysID" hidden="1">"708C5W7SBKP804JT78WJ0JNKI"</definedName>
    <definedName name="SAPwbID" hidden="1">"ARS"</definedName>
    <definedName name="TAXES_INSURANCE_PERP_2017">'2017 COST ALLOCATION ANALYSIS'!$D$29</definedName>
  </definedNames>
  <calcPr calcId="145621"/>
</workbook>
</file>

<file path=xl/calcChain.xml><?xml version="1.0" encoding="utf-8"?>
<calcChain xmlns="http://schemas.openxmlformats.org/spreadsheetml/2006/main">
  <c r="D30" i="1" l="1"/>
  <c r="D29" i="1"/>
  <c r="D46" i="1"/>
  <c r="D14" i="1"/>
  <c r="D13" i="1"/>
  <c r="D31" i="1"/>
  <c r="D25" i="1"/>
  <c r="D24" i="1"/>
  <c r="D23" i="1"/>
  <c r="D19" i="1"/>
  <c r="D18" i="1"/>
  <c r="D17" i="1"/>
  <c r="E52" i="1" l="1"/>
  <c r="E51" i="1"/>
  <c r="E50" i="1"/>
  <c r="E49" i="1"/>
  <c r="E38" i="1"/>
  <c r="E37" i="1"/>
  <c r="E36" i="1"/>
  <c r="F59" i="1" l="1"/>
  <c r="D45" i="1"/>
  <c r="D44" i="1"/>
  <c r="D43" i="1"/>
  <c r="D42" i="1"/>
  <c r="E42" i="1" s="1"/>
  <c r="D41" i="1"/>
  <c r="C52" i="4"/>
  <c r="C47" i="4"/>
  <c r="C49" i="4" s="1"/>
  <c r="C43" i="4"/>
  <c r="C41" i="4"/>
  <c r="C44" i="4" s="1"/>
  <c r="D45" i="4" s="1"/>
  <c r="C38" i="4"/>
  <c r="D39" i="4" s="1"/>
  <c r="D28" i="4"/>
  <c r="D26" i="4"/>
  <c r="D29" i="4" s="1"/>
  <c r="D25" i="4"/>
  <c r="D21" i="4"/>
  <c r="D30" i="4" s="1"/>
  <c r="D20" i="4"/>
  <c r="H14" i="4"/>
  <c r="E14" i="4"/>
  <c r="G14" i="4" s="1"/>
  <c r="I14" i="4" s="1"/>
  <c r="H13" i="4"/>
  <c r="E13" i="4"/>
  <c r="G13" i="4" s="1"/>
  <c r="I13" i="4" s="1"/>
  <c r="H12" i="4"/>
  <c r="G12" i="4"/>
  <c r="I12" i="4" s="1"/>
  <c r="E12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H59" i="1"/>
  <c r="D26" i="1"/>
  <c r="F23" i="1" l="1"/>
  <c r="G52" i="1"/>
  <c r="G49" i="1"/>
  <c r="G38" i="1"/>
  <c r="G51" i="1"/>
  <c r="G42" i="1"/>
  <c r="G50" i="1"/>
  <c r="G37" i="1"/>
  <c r="E39" i="1"/>
  <c r="E45" i="1"/>
  <c r="C51" i="4"/>
  <c r="C53" i="4" s="1"/>
  <c r="C54" i="4"/>
  <c r="D55" i="4" s="1"/>
  <c r="D56" i="4"/>
  <c r="C50" i="4"/>
  <c r="D42" i="4"/>
  <c r="E43" i="1"/>
  <c r="G43" i="1" s="1"/>
  <c r="D20" i="1"/>
  <c r="E44" i="1"/>
  <c r="D32" i="1"/>
  <c r="E41" i="1"/>
  <c r="G41" i="1" s="1"/>
  <c r="G36" i="1"/>
  <c r="G59" i="1"/>
  <c r="F17" i="1" l="1"/>
  <c r="F52" i="1"/>
  <c r="F41" i="1"/>
  <c r="F49" i="1"/>
  <c r="F38" i="1"/>
  <c r="F43" i="1"/>
  <c r="F51" i="1"/>
  <c r="F42" i="1"/>
  <c r="F50" i="1"/>
  <c r="H50" i="1"/>
  <c r="H45" i="1"/>
  <c r="H41" i="1"/>
  <c r="H51" i="1"/>
  <c r="H49" i="1"/>
  <c r="H44" i="1"/>
  <c r="H38" i="1"/>
  <c r="H52" i="1"/>
  <c r="H43" i="1"/>
  <c r="H37" i="1"/>
  <c r="H42" i="1"/>
  <c r="F44" i="1"/>
  <c r="G44" i="1"/>
  <c r="G45" i="1"/>
  <c r="F45" i="1"/>
  <c r="F29" i="1"/>
  <c r="F37" i="1"/>
  <c r="G39" i="1"/>
  <c r="F36" i="1"/>
  <c r="H36" i="1"/>
  <c r="H39" i="1" l="1"/>
  <c r="F39" i="1"/>
  <c r="E46" i="1" l="1"/>
  <c r="G46" i="1" l="1"/>
  <c r="F46" i="1"/>
  <c r="H46" i="1"/>
  <c r="E48" i="1" l="1"/>
  <c r="E53" i="1" s="1"/>
  <c r="H47" i="1"/>
  <c r="H48" i="1" s="1"/>
  <c r="H53" i="1" s="1"/>
  <c r="F47" i="1"/>
  <c r="F48" i="1" s="1"/>
  <c r="F53" i="1" s="1"/>
  <c r="G47" i="1"/>
  <c r="G48" i="1" s="1"/>
  <c r="G53" i="1" s="1"/>
  <c r="E29" i="1" l="1"/>
  <c r="G29" i="1" s="1"/>
  <c r="D10" i="1" s="1"/>
  <c r="E17" i="1"/>
  <c r="G17" i="1" s="1"/>
  <c r="D8" i="1" s="1"/>
  <c r="H58" i="1"/>
  <c r="E23" i="1"/>
  <c r="G23" i="1" s="1"/>
  <c r="D9" i="1" s="1"/>
  <c r="F61" i="1"/>
  <c r="G58" i="1"/>
  <c r="G61" i="1"/>
  <c r="F58" i="1"/>
  <c r="H61" i="1"/>
</calcChain>
</file>

<file path=xl/sharedStrings.xml><?xml version="1.0" encoding="utf-8"?>
<sst xmlns="http://schemas.openxmlformats.org/spreadsheetml/2006/main" count="545" uniqueCount="326">
  <si>
    <t>Customer Care Activity Expense Allocated to Initial Connect, Existing Connect, and Reconnect Service Charges</t>
  </si>
  <si>
    <t>Summary of Cost</t>
  </si>
  <si>
    <t>Service Charge Cost</t>
  </si>
  <si>
    <t>Notes</t>
  </si>
  <si>
    <t>1) Service Connect Call</t>
  </si>
  <si>
    <t>Applies to both Initial and Exisiting Service Charges</t>
  </si>
  <si>
    <t>2) Service Disconnect Call</t>
  </si>
  <si>
    <t>3) Reconnect (CONP) Call</t>
  </si>
  <si>
    <t>Applies to Reconnect for Non-Payment Service Charge</t>
  </si>
  <si>
    <t xml:space="preserve">Transaction </t>
  </si>
  <si>
    <t>Volume</t>
  </si>
  <si>
    <t>Connects/Disconnect</t>
  </si>
  <si>
    <t>Reconnects</t>
  </si>
  <si>
    <t>Connect only</t>
  </si>
  <si>
    <t>Per Call</t>
  </si>
  <si>
    <t>Cost per Service Charge</t>
  </si>
  <si>
    <t>Number of Calls</t>
  </si>
  <si>
    <t>Number of Seconds</t>
  </si>
  <si>
    <t>Total Seconds (All Calls)</t>
  </si>
  <si>
    <t>% of Total Workload</t>
  </si>
  <si>
    <t>Disconnect only</t>
  </si>
  <si>
    <t>Cost per Call Calculation</t>
  </si>
  <si>
    <t>Cost per Call (CM)</t>
  </si>
  <si>
    <t>Cost per Call (DM)</t>
  </si>
  <si>
    <t>Cost per Call (Reco)</t>
  </si>
  <si>
    <t>Non-Exempt Payroll</t>
  </si>
  <si>
    <t>Exempt Payroll</t>
  </si>
  <si>
    <t>Total Unloaded Labor</t>
  </si>
  <si>
    <t>Rate</t>
  </si>
  <si>
    <t>Non-Exempt PWTI loader</t>
  </si>
  <si>
    <t>Exempt PWTI loader</t>
  </si>
  <si>
    <t>Exempt PERP</t>
  </si>
  <si>
    <t>TI on PERP</t>
  </si>
  <si>
    <t>Corporate A&amp;G</t>
  </si>
  <si>
    <t>CS Support</t>
  </si>
  <si>
    <t>IM Support</t>
  </si>
  <si>
    <t>Refer to IM Support Tab</t>
  </si>
  <si>
    <t>Subtotal total labor and loaders</t>
  </si>
  <si>
    <t>Contractor expense</t>
  </si>
  <si>
    <t>Vehicle expense</t>
  </si>
  <si>
    <t>Material and supplies</t>
  </si>
  <si>
    <t>Non-payroll expenses</t>
  </si>
  <si>
    <t>Total Customer Care expense</t>
  </si>
  <si>
    <t>(Total Expense)(% of workload)</t>
  </si>
  <si>
    <t>OR</t>
  </si>
  <si>
    <t>Number of calls</t>
  </si>
  <si>
    <t>Allocated Cost</t>
  </si>
  <si>
    <t xml:space="preserve"> </t>
  </si>
  <si>
    <t>Table</t>
  </si>
  <si>
    <t>Account</t>
  </si>
  <si>
    <t/>
  </si>
  <si>
    <t>Resp. cost cntr</t>
  </si>
  <si>
    <t>FPLGRU10003</t>
  </si>
  <si>
    <t>OTHER OPERATING EXPENSES</t>
  </si>
  <si>
    <t>FPLGRU10019.1</t>
  </si>
  <si>
    <t>Exempt ST</t>
  </si>
  <si>
    <t>FPLGRU10019.2</t>
  </si>
  <si>
    <t>Non- Exempt ST</t>
  </si>
  <si>
    <t>FPLGRU10019</t>
  </si>
  <si>
    <t>REGULAR SALARIES &amp; WAGES</t>
  </si>
  <si>
    <t>5260000</t>
  </si>
  <si>
    <t>PAYROLL EXPENSE: Lump Sum Increases</t>
  </si>
  <si>
    <t>Time: Fiscal Year</t>
  </si>
  <si>
    <t>FPLGRU10021</t>
  </si>
  <si>
    <t>OTHER EARNINGS</t>
  </si>
  <si>
    <t>FPLGRU100060</t>
  </si>
  <si>
    <t>FPL SALARIES &amp; WAGES</t>
  </si>
  <si>
    <t>Version</t>
  </si>
  <si>
    <t>5992210</t>
  </si>
  <si>
    <t>POWER PLANT: FPL - Funded Welfare</t>
  </si>
  <si>
    <t>5992211</t>
  </si>
  <si>
    <t>POWER PLANT: FPL - Unfunded Service Cost</t>
  </si>
  <si>
    <t>5992257</t>
  </si>
  <si>
    <t>POWER PLANT: FPL - Unfunded Benefits Cos</t>
  </si>
  <si>
    <t>FPLGRU10024</t>
  </si>
  <si>
    <t>EMPLOYEE BENEFITS OVERHEADS</t>
  </si>
  <si>
    <t>5992218</t>
  </si>
  <si>
    <t>POWER PLANT: Performance Incentives OH</t>
  </si>
  <si>
    <t>FPLGRU10080</t>
  </si>
  <si>
    <t>PERFORMANCE INCENTIVES</t>
  </si>
  <si>
    <t>5992220</t>
  </si>
  <si>
    <t>POWER PLANT: BU - Workers Compensation</t>
  </si>
  <si>
    <t>FPLGRU10082</t>
  </si>
  <si>
    <t>BU WORKERS COMPENSATION</t>
  </si>
  <si>
    <t>FPLGRU10027</t>
  </si>
  <si>
    <t>FPL LABOR RELATED OVERHEADS</t>
  </si>
  <si>
    <t>FPLGRU10006</t>
  </si>
  <si>
    <t>FPL SALARIES, WAGES &amp; LABOR OVERHEADS</t>
  </si>
  <si>
    <t>5310000</t>
  </si>
  <si>
    <t>EMPLOYEE WELFARE</t>
  </si>
  <si>
    <t>5340000</t>
  </si>
  <si>
    <t>EDUCATION AND TRAINING</t>
  </si>
  <si>
    <t>5340100</t>
  </si>
  <si>
    <t>BOOKS PERIODICALS &amp; SUBSCRIPTIONS</t>
  </si>
  <si>
    <t>5600000</t>
  </si>
  <si>
    <t>BUSINESS TRAVEL: Lodging</t>
  </si>
  <si>
    <t>5600100</t>
  </si>
  <si>
    <t>Meals &amp; Entertainment - 50% Non-Deductib</t>
  </si>
  <si>
    <t>5600200</t>
  </si>
  <si>
    <t>BUSINESS TRAVEL: Air</t>
  </si>
  <si>
    <t>5600300</t>
  </si>
  <si>
    <t>BUSINESS TRAVEL: Car Rental</t>
  </si>
  <si>
    <t>5600500</t>
  </si>
  <si>
    <t>BUSINESS TRAVEL: Misc Expenses</t>
  </si>
  <si>
    <t>5600700</t>
  </si>
  <si>
    <t>BUSINESS TRAVEL: Occasional Use Mileage</t>
  </si>
  <si>
    <t>5610000</t>
  </si>
  <si>
    <t>DUES &amp; SUBSCRIPTIONS: Personal</t>
  </si>
  <si>
    <t>FPLGRU10026</t>
  </si>
  <si>
    <t>EMPLOYEE RELATED EXPENSES</t>
  </si>
  <si>
    <t>FPLGRU10008</t>
  </si>
  <si>
    <t>5750450</t>
  </si>
  <si>
    <t>OUTSIDE SERVICES: Information Technology</t>
  </si>
  <si>
    <t>5750500</t>
  </si>
  <si>
    <t>OUTSIDE SERVICES: Temporary Labor</t>
  </si>
  <si>
    <t>5750550</t>
  </si>
  <si>
    <t>OUTSIDE SERVICES: Contractor Straight Ti</t>
  </si>
  <si>
    <t>5750700</t>
  </si>
  <si>
    <t>OUTSIDE SERVICES: Other</t>
  </si>
  <si>
    <t>FPLGRU10009</t>
  </si>
  <si>
    <t>CONTRACTORS &amp; PROFESSIONAL SVCS</t>
  </si>
  <si>
    <t>5400100</t>
  </si>
  <si>
    <t>MATERIALS &amp; SUPPLIES: General</t>
  </si>
  <si>
    <t>FPLGRU10079</t>
  </si>
  <si>
    <t>MATERIALS, SUPPLIES &amp; EQUIPMENT</t>
  </si>
  <si>
    <t>FPLGRU10081</t>
  </si>
  <si>
    <t>VEHICLES &amp; TRANSPORTATION</t>
  </si>
  <si>
    <t>FPLGRU10010</t>
  </si>
  <si>
    <t>M&amp;S, TRANSPORTATION &amp; EQUIPMENT</t>
  </si>
  <si>
    <t>5400800</t>
  </si>
  <si>
    <t>STRUCTURES &amp; IMPROVEMENTS</t>
  </si>
  <si>
    <t>5440100</t>
  </si>
  <si>
    <t>RENT EXPENSE: Non Facility</t>
  </si>
  <si>
    <t>5760300</t>
  </si>
  <si>
    <t>OFFICE SUPPLIES</t>
  </si>
  <si>
    <t>5760350</t>
  </si>
  <si>
    <t>FORMS &amp; DUPLICATING</t>
  </si>
  <si>
    <t>5760400</t>
  </si>
  <si>
    <t>POSTAGE</t>
  </si>
  <si>
    <t>FPLGRU10016</t>
  </si>
  <si>
    <t>OFFICE FACILITIES, RENT &amp; ADMINISTRATION</t>
  </si>
  <si>
    <t>5500500</t>
  </si>
  <si>
    <t>CELLULAR TELEPHONE AND PAGERS</t>
  </si>
  <si>
    <t>FPLGRU100170</t>
  </si>
  <si>
    <t>TELECOMMUNICATIONS EXPENSES</t>
  </si>
  <si>
    <t>5760110</t>
  </si>
  <si>
    <t>COMPUTER EQUIPMENT PURCHASES</t>
  </si>
  <si>
    <t>FPLGRU100171</t>
  </si>
  <si>
    <t>HARDWARE EXPENSES</t>
  </si>
  <si>
    <t>5760220</t>
  </si>
  <si>
    <t>SOFTWARE PURCHASES</t>
  </si>
  <si>
    <t>FPLGRU100172</t>
  </si>
  <si>
    <t>SOFTWARE EXPENSES</t>
  </si>
  <si>
    <t>FPLGRU10017</t>
  </si>
  <si>
    <t>TECHNOLOGY EXPENSES</t>
  </si>
  <si>
    <t>5800000</t>
  </si>
  <si>
    <t>OTHER EXPENSE</t>
  </si>
  <si>
    <t>FPLGRU10018</t>
  </si>
  <si>
    <t>OTHER EXPENSES</t>
  </si>
  <si>
    <t>5410110</t>
  </si>
  <si>
    <t>TELECOM EQUIPMENT MAINTENANCE</t>
  </si>
  <si>
    <t>FPLGRU10020.2</t>
  </si>
  <si>
    <t>Non- Exempt Overtime</t>
  </si>
  <si>
    <t>FPLGRU10020</t>
  </si>
  <si>
    <t>OVERTIME SALARIES &amp; WAGES</t>
  </si>
  <si>
    <t>5250000</t>
  </si>
  <si>
    <t>PAYROLL EXPENSE: Other Earnings</t>
  </si>
  <si>
    <t>5610100</t>
  </si>
  <si>
    <t>DUES &amp; SUBSCRIPTIONS: Corporate</t>
  </si>
  <si>
    <t>5410000</t>
  </si>
  <si>
    <t>TELECOMMUNICATIONS: Leased Telephone Lin</t>
  </si>
  <si>
    <t>5500650</t>
  </si>
  <si>
    <t>UTILITIES: Long Distance Telephone</t>
  </si>
  <si>
    <t>FPLGRU10067</t>
  </si>
  <si>
    <t>COMMUNITY RELATIONS &amp; ADVERTISING</t>
  </si>
  <si>
    <t>5400600</t>
  </si>
  <si>
    <t>SAFETY EQUIPMENT</t>
  </si>
  <si>
    <t>5401700</t>
  </si>
  <si>
    <t>VEHICLE: Utilization Charges</t>
  </si>
  <si>
    <t>5500600</t>
  </si>
  <si>
    <t>UTILITIES: Telephone</t>
  </si>
  <si>
    <t>5600110</t>
  </si>
  <si>
    <t>Meals &amp; Entertainment - 100% Deductible</t>
  </si>
  <si>
    <t>5760210</t>
  </si>
  <si>
    <t>SOFTWARE MAINTENANCE</t>
  </si>
  <si>
    <t>FPLGRU10020.1</t>
  </si>
  <si>
    <t>Exempt Overtime</t>
  </si>
  <si>
    <t>5992208</t>
  </si>
  <si>
    <t>POWER PLANT: FPL - Other Labor</t>
  </si>
  <si>
    <t>5760000</t>
  </si>
  <si>
    <t>OFFICE EQUIPMENT REPAIR &amp; MAINTENANCE</t>
  </si>
  <si>
    <t>5760500</t>
  </si>
  <si>
    <t>OFFICE FURNITURE AND EQUIPMENT</t>
  </si>
  <si>
    <t>5772300</t>
  </si>
  <si>
    <t>COMMUNICATIONS: Print and Online</t>
  </si>
  <si>
    <t>5220000</t>
  </si>
  <si>
    <t>OVERTIME MEALS</t>
  </si>
  <si>
    <t>5402100</t>
  </si>
  <si>
    <t>NON-HAZARDOUS WASTE DISPOSAL</t>
  </si>
  <si>
    <t>5402300</t>
  </si>
  <si>
    <t>ENVIRONMENTAL SERVICES</t>
  </si>
  <si>
    <t>5750000</t>
  </si>
  <si>
    <t>OUTSIDE SERVICES: Security</t>
  </si>
  <si>
    <t>5500800</t>
  </si>
  <si>
    <t>UTILITIES: General</t>
  </si>
  <si>
    <t>5400300</t>
  </si>
  <si>
    <t>EQUIPMENT PARTS</t>
  </si>
  <si>
    <t>5440000</t>
  </si>
  <si>
    <t>RENT EXPENSE: Facility</t>
  </si>
  <si>
    <t>Customer Care</t>
  </si>
  <si>
    <t>5751000</t>
  </si>
  <si>
    <t>OUTSIDE SERVICES: Building Services</t>
  </si>
  <si>
    <t>5760120</t>
  </si>
  <si>
    <t>COMPUTER EQUIPMENT MAINTENANCE</t>
  </si>
  <si>
    <t>5400700</t>
  </si>
  <si>
    <t>FREIGHT: Excluding Fuel</t>
  </si>
  <si>
    <t>FPLGRU10019.4</t>
  </si>
  <si>
    <t>Bargaining Fixed ST</t>
  </si>
  <si>
    <t>5401710</t>
  </si>
  <si>
    <t>VEHICLE: Fuel</t>
  </si>
  <si>
    <t>FLORIDA POWER AND LIGHT COMPANY</t>
  </si>
  <si>
    <t>SUMMARY OF CUSTOMER SERVICE OVERHEADS</t>
  </si>
  <si>
    <t>For Customer Service Fees</t>
  </si>
  <si>
    <t>Line</t>
  </si>
  <si>
    <t>No.</t>
  </si>
  <si>
    <t>Customer Service Pension &amp; Welfare Taxes and Insurance</t>
  </si>
  <si>
    <t>(1)</t>
  </si>
  <si>
    <t>(2)</t>
  </si>
  <si>
    <t>(3)</t>
  </si>
  <si>
    <t>(4) = (2)+(3)</t>
  </si>
  <si>
    <t>(5)</t>
  </si>
  <si>
    <t>(6) = (5)/(4)</t>
  </si>
  <si>
    <t>(7)</t>
  </si>
  <si>
    <t>(8) = (6)+(7)</t>
  </si>
  <si>
    <t xml:space="preserve">2017 Average compensation  per employee </t>
  </si>
  <si>
    <t>Average Salary</t>
  </si>
  <si>
    <t>Average OT</t>
  </si>
  <si>
    <t>Total Average Salary</t>
  </si>
  <si>
    <t xml:space="preserve">2013 Medical Expense per employee </t>
  </si>
  <si>
    <t xml:space="preserve">% Medical Expense </t>
  </si>
  <si>
    <t>PWTI Rate excluding Medical</t>
  </si>
  <si>
    <t>Cust Serv PWTI</t>
  </si>
  <si>
    <t>Non-Bargaining, Non-exempt</t>
  </si>
  <si>
    <t>Non-Bargaining, Exempt</t>
  </si>
  <si>
    <t>Bargaining</t>
  </si>
  <si>
    <t>Performance Incentives - Exempt</t>
  </si>
  <si>
    <t>Exempt Incentive Estimate</t>
  </si>
  <si>
    <t>Exempt Straight Time</t>
  </si>
  <si>
    <t>Executive Straight Time</t>
  </si>
  <si>
    <t>(Line 9-Line 10)</t>
  </si>
  <si>
    <t>(Line 8/Line 11)</t>
  </si>
  <si>
    <t>Taxes and Insurance on Performance Incentives</t>
  </si>
  <si>
    <t>Total Payroll Base</t>
  </si>
  <si>
    <t>Federal Unemployment+ State Unemployment +FICA</t>
  </si>
  <si>
    <t>Payroll Tax (Line 16 /Line 15)</t>
  </si>
  <si>
    <t xml:space="preserve">Worker's Comp </t>
  </si>
  <si>
    <t>External Worker's Comp (Line 18/ Line 15)</t>
  </si>
  <si>
    <t>(Line 17 + Line 19 )</t>
  </si>
  <si>
    <t>Corporate Administrative and General Rate for Customer Service Fees</t>
  </si>
  <si>
    <t>Data from Corp A&amp;G Study</t>
  </si>
  <si>
    <t>Rates to apply to Customer Service Payroll &amp; Contractor base</t>
  </si>
  <si>
    <t>Payroll/Contractor Base in 2014 study</t>
  </si>
  <si>
    <t>Non Payroll Expenses</t>
  </si>
  <si>
    <t>Corporate Facilities</t>
  </si>
  <si>
    <t>For A&amp;G Rate exclude items that are direct charges to CS</t>
  </si>
  <si>
    <t>Capitalized Software</t>
  </si>
  <si>
    <t>A&amp;G dollars from 2015 A&amp;G recap</t>
  </si>
  <si>
    <t>Corp Staff Allocation</t>
  </si>
  <si>
    <t>(Line 29/Line 24)</t>
  </si>
  <si>
    <t>Payroll Expenses(Unloaded)</t>
  </si>
  <si>
    <t>(Line 32/Line 24)</t>
  </si>
  <si>
    <t>2017 PWTI</t>
  </si>
  <si>
    <t>2016 PWTI is derived using 2016 SAP rates developed in Nov of 2014</t>
  </si>
  <si>
    <t>(Line 32 * Line 34)</t>
  </si>
  <si>
    <t>(Line 35/Line 24)</t>
  </si>
  <si>
    <t>2017 PERP</t>
  </si>
  <si>
    <t>Corp staff allocation dollars includes incentive dollars so no incentive calc required</t>
  </si>
  <si>
    <t>Exempt %</t>
  </si>
  <si>
    <t>(Line 38 * Line 39)</t>
  </si>
  <si>
    <t>PERP Rate</t>
  </si>
  <si>
    <t>(Line 40 * Line 41)</t>
  </si>
  <si>
    <t>Taxes &amp; Insurance Loader</t>
  </si>
  <si>
    <t>Line 42 * Line 43)</t>
  </si>
  <si>
    <t>(Lines 42 + 44)</t>
  </si>
  <si>
    <t>(Line 45/Line 24)</t>
  </si>
  <si>
    <t>(Lines 30 + 33 + 36 + 46)</t>
  </si>
  <si>
    <t>Other Earnings</t>
  </si>
  <si>
    <t>2018</t>
  </si>
  <si>
    <t>8030208</t>
  </si>
  <si>
    <t>FPL Other Labor</t>
  </si>
  <si>
    <t>8030902</t>
  </si>
  <si>
    <t>FPL Vacation Buy Credits</t>
  </si>
  <si>
    <t>8560010</t>
  </si>
  <si>
    <t>FPL Funded Welfare</t>
  </si>
  <si>
    <t>8560020</t>
  </si>
  <si>
    <t>FPL Unfunded Service Cost</t>
  </si>
  <si>
    <t>8560025</t>
  </si>
  <si>
    <t>FPL Unfunded Benefits Cost</t>
  </si>
  <si>
    <t>8560090</t>
  </si>
  <si>
    <t>Performance Incentives Overhead</t>
  </si>
  <si>
    <t>8030220</t>
  </si>
  <si>
    <t>BU - Workers Compensation</t>
  </si>
  <si>
    <t>5400103</t>
  </si>
  <si>
    <t>MATERIALS &amp; SUPPLIES: General-No Stores</t>
  </si>
  <si>
    <t>5750400</t>
  </si>
  <si>
    <t>OUTSIDE SERVICES: General Business Consu</t>
  </si>
  <si>
    <t>8260080</t>
  </si>
  <si>
    <t>8030901</t>
  </si>
  <si>
    <t>FPL Final Vacation Pay</t>
  </si>
  <si>
    <t>5750100</t>
  </si>
  <si>
    <t>OUTSIDE SERVICES: Legal</t>
  </si>
  <si>
    <t>5410120</t>
  </si>
  <si>
    <t>TELECOM EQUIPMENT PURCHASES</t>
  </si>
  <si>
    <t>8110273</t>
  </si>
  <si>
    <t>Telecommunications</t>
  </si>
  <si>
    <t>201251</t>
  </si>
  <si>
    <t># Calls per Service Charge Transaction</t>
  </si>
  <si>
    <t>8110044</t>
  </si>
  <si>
    <t>Outside Services - Temporary Labor</t>
  </si>
  <si>
    <t>October 2014 - September 2015</t>
  </si>
  <si>
    <t>Collections / Disconnection and Reconnection process related Calls</t>
  </si>
  <si>
    <t>Total 
2018 O&amp;M Expense</t>
  </si>
  <si>
    <t>OPC 014924</t>
  </si>
  <si>
    <t>FPL RC-16</t>
  </si>
  <si>
    <t>OPC 014925</t>
  </si>
  <si>
    <t>OPC 014926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</si>
</sst>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\$\ #,##0.00\ ;\$\ &quot;(&quot;#,##0.00&quot;)&quot;"/>
    <numFmt numFmtId="170" formatCode="0.000%"/>
    <numFmt numFmtId="171" formatCode="&quot;$&quot;#,##0"/>
    <numFmt numFmtId="172" formatCode="_(&quot;$&quot;* #,##0.000000_);_(&quot;$&quot;* \(#,##0.000000\);_(&quot;$&quot;* &quot;-&quot;????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39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1"/>
      <color indexed="14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11"/>
        <bgColor indexed="11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5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/>
    <xf numFmtId="0" fontId="10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6" fillId="16" borderId="9" applyNumberFormat="0" applyProtection="0">
      <alignment vertical="center"/>
    </xf>
    <xf numFmtId="4" fontId="11" fillId="16" borderId="9" applyNumberFormat="0" applyProtection="0">
      <alignment vertical="center"/>
    </xf>
    <xf numFmtId="4" fontId="6" fillId="16" borderId="9" applyNumberFormat="0" applyProtection="0">
      <alignment horizontal="left" vertical="center" indent="1"/>
    </xf>
    <xf numFmtId="4" fontId="6" fillId="16" borderId="9" applyNumberFormat="0" applyProtection="0">
      <alignment horizontal="left" vertical="center" indent="1"/>
    </xf>
    <xf numFmtId="0" fontId="12" fillId="0" borderId="10" applyNumberFormat="0" applyProtection="0">
      <alignment horizontal="left" vertical="center" indent="1"/>
    </xf>
    <xf numFmtId="4" fontId="6" fillId="17" borderId="9" applyNumberFormat="0" applyProtection="0">
      <alignment horizontal="right" vertical="center"/>
    </xf>
    <xf numFmtId="4" fontId="6" fillId="18" borderId="9" applyNumberFormat="0" applyProtection="0">
      <alignment horizontal="right" vertical="center"/>
    </xf>
    <xf numFmtId="4" fontId="6" fillId="19" borderId="9" applyNumberFormat="0" applyProtection="0">
      <alignment horizontal="right" vertical="center"/>
    </xf>
    <xf numFmtId="4" fontId="6" fillId="20" borderId="9" applyNumberFormat="0" applyProtection="0">
      <alignment horizontal="right" vertical="center"/>
    </xf>
    <xf numFmtId="4" fontId="6" fillId="21" borderId="9" applyNumberFormat="0" applyProtection="0">
      <alignment horizontal="right" vertical="center"/>
    </xf>
    <xf numFmtId="4" fontId="6" fillId="22" borderId="9" applyNumberFormat="0" applyProtection="0">
      <alignment horizontal="right" vertical="center"/>
    </xf>
    <xf numFmtId="4" fontId="6" fillId="23" borderId="9" applyNumberFormat="0" applyProtection="0">
      <alignment horizontal="right" vertical="center"/>
    </xf>
    <xf numFmtId="4" fontId="6" fillId="24" borderId="9" applyNumberFormat="0" applyProtection="0">
      <alignment horizontal="right" vertical="center"/>
    </xf>
    <xf numFmtId="4" fontId="6" fillId="25" borderId="9" applyNumberFormat="0" applyProtection="0">
      <alignment horizontal="right" vertical="center"/>
    </xf>
    <xf numFmtId="4" fontId="13" fillId="26" borderId="9" applyNumberFormat="0" applyProtection="0">
      <alignment horizontal="left" vertical="center" indent="1"/>
    </xf>
    <xf numFmtId="4" fontId="13" fillId="26" borderId="9" applyNumberFormat="0" applyProtection="0">
      <alignment horizontal="left" vertical="center" indent="1"/>
    </xf>
    <xf numFmtId="4" fontId="6" fillId="0" borderId="11" applyNumberFormat="0" applyProtection="0">
      <alignment horizontal="left" vertical="center" indent="1"/>
    </xf>
    <xf numFmtId="4" fontId="14" fillId="27" borderId="0" applyNumberFormat="0" applyProtection="0">
      <alignment horizontal="left" vertical="center" indent="1"/>
    </xf>
    <xf numFmtId="0" fontId="4" fillId="28" borderId="9" applyNumberFormat="0" applyProtection="0">
      <alignment horizontal="left" vertical="center" indent="1"/>
    </xf>
    <xf numFmtId="4" fontId="13" fillId="0" borderId="9" applyNumberFormat="0" applyProtection="0">
      <alignment horizontal="left" vertical="center" indent="1"/>
    </xf>
    <xf numFmtId="4" fontId="13" fillId="0" borderId="9" applyNumberFormat="0" applyProtection="0">
      <alignment horizontal="left" vertical="center" indent="1"/>
    </xf>
    <xf numFmtId="0" fontId="5" fillId="0" borderId="9" applyNumberFormat="0" applyProtection="0">
      <alignment horizontal="left" vertical="center" indent="1"/>
    </xf>
    <xf numFmtId="0" fontId="5" fillId="0" borderId="9" applyNumberFormat="0" applyProtection="0">
      <alignment horizontal="left" vertical="center" indent="1"/>
    </xf>
    <xf numFmtId="0" fontId="4" fillId="29" borderId="9" applyNumberFormat="0" applyProtection="0">
      <alignment horizontal="left" vertical="center" indent="1"/>
    </xf>
    <xf numFmtId="0" fontId="4" fillId="0" borderId="9" applyNumberFormat="0" applyProtection="0">
      <alignment horizontal="left" vertical="center" indent="1"/>
    </xf>
    <xf numFmtId="0" fontId="4" fillId="30" borderId="9" applyNumberFormat="0" applyProtection="0">
      <alignment horizontal="left" vertical="center" indent="1"/>
    </xf>
    <xf numFmtId="0" fontId="4" fillId="0" borderId="9" applyNumberFormat="0" applyProtection="0">
      <alignment horizontal="left" vertical="center" indent="1"/>
    </xf>
    <xf numFmtId="0" fontId="4" fillId="31" borderId="9" applyNumberFormat="0" applyProtection="0">
      <alignment horizontal="left" vertical="center" indent="1"/>
    </xf>
    <xf numFmtId="0" fontId="4" fillId="0" borderId="9" applyNumberFormat="0" applyProtection="0">
      <alignment horizontal="left" vertical="center" indent="1"/>
    </xf>
    <xf numFmtId="0" fontId="4" fillId="28" borderId="9" applyNumberFormat="0" applyProtection="0">
      <alignment horizontal="left" vertical="center" indent="1"/>
    </xf>
    <xf numFmtId="0" fontId="4" fillId="0" borderId="0"/>
    <xf numFmtId="4" fontId="6" fillId="32" borderId="9" applyNumberFormat="0" applyProtection="0">
      <alignment vertical="center"/>
    </xf>
    <xf numFmtId="4" fontId="11" fillId="32" borderId="9" applyNumberFormat="0" applyProtection="0">
      <alignment vertical="center"/>
    </xf>
    <xf numFmtId="4" fontId="6" fillId="32" borderId="9" applyNumberFormat="0" applyProtection="0">
      <alignment horizontal="left" vertical="center" indent="1"/>
    </xf>
    <xf numFmtId="4" fontId="6" fillId="32" borderId="9" applyNumberFormat="0" applyProtection="0">
      <alignment horizontal="left" vertical="center" indent="1"/>
    </xf>
    <xf numFmtId="4" fontId="6" fillId="0" borderId="9" applyNumberFormat="0" applyProtection="0">
      <alignment horizontal="right" vertical="center"/>
    </xf>
    <xf numFmtId="4" fontId="11" fillId="33" borderId="9" applyNumberFormat="0" applyProtection="0">
      <alignment horizontal="right" vertical="center"/>
    </xf>
    <xf numFmtId="0" fontId="4" fillId="28" borderId="9" applyNumberFormat="0" applyProtection="0">
      <alignment horizontal="left" vertical="center" indent="1"/>
    </xf>
    <xf numFmtId="0" fontId="5" fillId="0" borderId="10" applyNumberFormat="0" applyProtection="0">
      <alignment horizontal="left" vertical="center" indent="1"/>
    </xf>
    <xf numFmtId="0" fontId="15" fillId="0" borderId="0"/>
    <xf numFmtId="4" fontId="16" fillId="33" borderId="9" applyNumberFormat="0" applyProtection="0">
      <alignment horizontal="right" vertical="center"/>
    </xf>
    <xf numFmtId="0" fontId="17" fillId="0" borderId="0" applyNumberFormat="0" applyFill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19" fillId="11" borderId="0" applyNumberFormat="0" applyBorder="0" applyAlignment="0" applyProtection="0"/>
    <xf numFmtId="0" fontId="20" fillId="41" borderId="12" applyNumberFormat="0" applyAlignment="0" applyProtection="0"/>
    <xf numFmtId="0" fontId="21" fillId="38" borderId="13" applyNumberFormat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7" fillId="42" borderId="0" applyNumberFormat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2" borderId="12" applyNumberFormat="0" applyAlignment="0" applyProtection="0"/>
    <xf numFmtId="0" fontId="27" fillId="0" borderId="17" applyNumberFormat="0" applyFill="0" applyAlignment="0" applyProtection="0"/>
    <xf numFmtId="0" fontId="27" fillId="12" borderId="0" applyNumberFormat="0" applyBorder="0" applyAlignment="0" applyProtection="0"/>
    <xf numFmtId="0" fontId="28" fillId="43" borderId="0"/>
    <xf numFmtId="0" fontId="4" fillId="0" borderId="0"/>
    <xf numFmtId="0" fontId="29" fillId="0" borderId="0"/>
    <xf numFmtId="0" fontId="1" fillId="0" borderId="0"/>
    <xf numFmtId="0" fontId="22" fillId="0" borderId="0"/>
    <xf numFmtId="0" fontId="4" fillId="0" borderId="0"/>
    <xf numFmtId="0" fontId="28" fillId="11" borderId="12" applyNumberFormat="0" applyFont="0" applyAlignment="0" applyProtection="0"/>
    <xf numFmtId="0" fontId="30" fillId="41" borderId="9" applyNumberForma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4" fontId="28" fillId="44" borderId="12" applyNumberFormat="0" applyProtection="0">
      <alignment horizontal="left" vertical="center" indent="1"/>
    </xf>
    <xf numFmtId="0" fontId="28" fillId="45" borderId="12" applyNumberFormat="0" applyProtection="0">
      <alignment horizontal="left" vertical="center" indent="1"/>
    </xf>
    <xf numFmtId="0" fontId="28" fillId="46" borderId="18" applyNumberFormat="0" applyProtection="0">
      <alignment horizontal="left" vertical="top" indent="1"/>
    </xf>
    <xf numFmtId="0" fontId="28" fillId="47" borderId="12" applyNumberFormat="0" applyProtection="0">
      <alignment horizontal="left" vertical="center" indent="1"/>
    </xf>
    <xf numFmtId="0" fontId="28" fillId="47" borderId="12" applyNumberFormat="0" applyProtection="0">
      <alignment horizontal="left" vertical="center" indent="1"/>
    </xf>
    <xf numFmtId="0" fontId="28" fillId="48" borderId="18" applyNumberFormat="0" applyProtection="0">
      <alignment horizontal="left" vertical="top" indent="1"/>
    </xf>
    <xf numFmtId="0" fontId="28" fillId="49" borderId="12" applyNumberFormat="0" applyProtection="0">
      <alignment horizontal="left" vertical="center" indent="1"/>
    </xf>
    <xf numFmtId="0" fontId="28" fillId="49" borderId="12" applyNumberFormat="0" applyProtection="0">
      <alignment horizontal="left" vertical="center" indent="1"/>
    </xf>
    <xf numFmtId="0" fontId="28" fillId="50" borderId="12" applyNumberFormat="0" applyProtection="0">
      <alignment horizontal="left" vertical="center" indent="1"/>
    </xf>
    <xf numFmtId="0" fontId="28" fillId="50" borderId="12" applyNumberFormat="0" applyProtection="0">
      <alignment horizontal="left" vertical="center" indent="1"/>
    </xf>
    <xf numFmtId="0" fontId="31" fillId="46" borderId="19" applyBorder="0"/>
    <xf numFmtId="4" fontId="28" fillId="0" borderId="12" applyNumberFormat="0" applyProtection="0">
      <alignment horizontal="right" vertical="center"/>
    </xf>
    <xf numFmtId="4" fontId="28" fillId="0" borderId="12" applyNumberFormat="0" applyProtection="0">
      <alignment horizontal="right" vertical="center"/>
    </xf>
    <xf numFmtId="4" fontId="28" fillId="44" borderId="12" applyNumberFormat="0" applyProtection="0">
      <alignment horizontal="left" vertical="center" indent="1"/>
    </xf>
    <xf numFmtId="0" fontId="28" fillId="51" borderId="20"/>
    <xf numFmtId="0" fontId="9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37" fillId="43" borderId="0"/>
    <xf numFmtId="4" fontId="28" fillId="16" borderId="12" applyNumberFormat="0" applyProtection="0">
      <alignment horizontal="left" vertical="center" indent="1"/>
    </xf>
    <xf numFmtId="4" fontId="28" fillId="54" borderId="12" applyNumberFormat="0" applyProtection="0">
      <alignment vertical="center"/>
    </xf>
    <xf numFmtId="0" fontId="38" fillId="43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44" fontId="0" fillId="0" borderId="0" xfId="0" applyNumberFormat="1"/>
    <xf numFmtId="7" fontId="0" fillId="0" borderId="0" xfId="0" applyNumberFormat="1"/>
    <xf numFmtId="39" fontId="0" fillId="0" borderId="0" xfId="1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0" fillId="0" borderId="0" xfId="3" applyNumberFormat="1" applyFont="1"/>
    <xf numFmtId="39" fontId="0" fillId="0" borderId="7" xfId="1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5" fontId="4" fillId="0" borderId="0" xfId="1" applyNumberFormat="1" applyFont="1"/>
    <xf numFmtId="43" fontId="4" fillId="0" borderId="0" xfId="0" applyNumberFormat="1" applyFont="1"/>
    <xf numFmtId="164" fontId="0" fillId="0" borderId="7" xfId="0" applyNumberFormat="1" applyBorder="1" applyAlignment="1">
      <alignment horizontal="center"/>
    </xf>
    <xf numFmtId="0" fontId="5" fillId="0" borderId="8" xfId="0" applyFont="1" applyBorder="1"/>
    <xf numFmtId="0" fontId="0" fillId="0" borderId="8" xfId="0" applyBorder="1"/>
    <xf numFmtId="165" fontId="0" fillId="0" borderId="8" xfId="0" applyNumberFormat="1" applyBorder="1"/>
    <xf numFmtId="167" fontId="0" fillId="0" borderId="0" xfId="2" applyNumberFormat="1" applyFont="1"/>
    <xf numFmtId="44" fontId="0" fillId="0" borderId="0" xfId="2" applyNumberFormat="1" applyFont="1"/>
    <xf numFmtId="44" fontId="0" fillId="0" borderId="7" xfId="2" applyNumberFormat="1" applyFont="1" applyBorder="1"/>
    <xf numFmtId="167" fontId="5" fillId="0" borderId="0" xfId="2" applyNumberFormat="1" applyFont="1"/>
    <xf numFmtId="44" fontId="5" fillId="0" borderId="0" xfId="2" applyNumberFormat="1" applyFont="1"/>
    <xf numFmtId="165" fontId="5" fillId="0" borderId="0" xfId="0" applyNumberFormat="1" applyFont="1" applyAlignment="1">
      <alignment horizontal="center"/>
    </xf>
    <xf numFmtId="10" fontId="0" fillId="0" borderId="0" xfId="3" applyNumberFormat="1" applyFont="1" applyAlignment="1">
      <alignment horizontal="center"/>
    </xf>
    <xf numFmtId="0" fontId="5" fillId="0" borderId="0" xfId="0" applyFont="1" applyFill="1"/>
    <xf numFmtId="0" fontId="0" fillId="0" borderId="0" xfId="0" applyFill="1"/>
    <xf numFmtId="10" fontId="0" fillId="0" borderId="0" xfId="3" applyNumberFormat="1" applyFont="1" applyFill="1" applyAlignment="1">
      <alignment horizontal="center"/>
    </xf>
    <xf numFmtId="167" fontId="0" fillId="0" borderId="0" xfId="2" applyNumberFormat="1" applyFont="1" applyFill="1"/>
    <xf numFmtId="44" fontId="0" fillId="0" borderId="0" xfId="2" applyNumberFormat="1" applyFont="1" applyFill="1"/>
    <xf numFmtId="167" fontId="5" fillId="0" borderId="0" xfId="0" applyNumberFormat="1" applyFont="1"/>
    <xf numFmtId="44" fontId="5" fillId="0" borderId="0" xfId="0" applyNumberFormat="1" applyFont="1"/>
    <xf numFmtId="165" fontId="0" fillId="0" borderId="0" xfId="4" applyNumberFormat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44" fontId="5" fillId="0" borderId="0" xfId="0" applyNumberFormat="1" applyFont="1" applyFill="1"/>
    <xf numFmtId="0" fontId="4" fillId="0" borderId="7" xfId="0" applyFont="1" applyBorder="1"/>
    <xf numFmtId="0" fontId="4" fillId="0" borderId="0" xfId="0" applyFont="1" applyAlignment="1">
      <alignment horizontal="center"/>
    </xf>
    <xf numFmtId="165" fontId="4" fillId="0" borderId="0" xfId="0" quotePrefix="1" applyNumberFormat="1" applyFont="1" applyAlignment="1">
      <alignment horizontal="center"/>
    </xf>
    <xf numFmtId="165" fontId="0" fillId="0" borderId="0" xfId="1" applyNumberFormat="1" applyFont="1" applyAlignment="1"/>
    <xf numFmtId="44" fontId="0" fillId="0" borderId="0" xfId="2" applyNumberFormat="1" applyFont="1" applyBorder="1"/>
    <xf numFmtId="0" fontId="4" fillId="53" borderId="0" xfId="102" applyFont="1" applyFill="1"/>
    <xf numFmtId="0" fontId="2" fillId="53" borderId="0" xfId="101" applyFont="1" applyFill="1" applyAlignment="1">
      <alignment horizontal="center"/>
    </xf>
    <xf numFmtId="0" fontId="4" fillId="53" borderId="0" xfId="102" applyFont="1" applyFill="1" applyAlignment="1">
      <alignment wrapText="1"/>
    </xf>
    <xf numFmtId="0" fontId="2" fillId="53" borderId="7" xfId="101" applyFont="1" applyFill="1" applyBorder="1" applyAlignment="1">
      <alignment horizontal="center" vertical="top"/>
    </xf>
    <xf numFmtId="0" fontId="2" fillId="53" borderId="0" xfId="101" applyFont="1" applyFill="1" applyBorder="1" applyAlignment="1">
      <alignment horizontal="center" vertical="top"/>
    </xf>
    <xf numFmtId="0" fontId="2" fillId="53" borderId="0" xfId="101" applyFont="1" applyFill="1" applyAlignment="1">
      <alignment horizontal="center" vertical="top"/>
    </xf>
    <xf numFmtId="0" fontId="34" fillId="53" borderId="5" xfId="102" quotePrefix="1" applyFont="1" applyFill="1" applyBorder="1" applyAlignment="1">
      <alignment horizontal="center" wrapText="1"/>
    </xf>
    <xf numFmtId="0" fontId="34" fillId="53" borderId="7" xfId="102" quotePrefix="1" applyFont="1" applyFill="1" applyBorder="1" applyAlignment="1">
      <alignment horizontal="center" wrapText="1"/>
    </xf>
    <xf numFmtId="0" fontId="34" fillId="53" borderId="7" xfId="102" applyFont="1" applyFill="1" applyBorder="1" applyAlignment="1">
      <alignment horizontal="center" wrapText="1"/>
    </xf>
    <xf numFmtId="0" fontId="34" fillId="53" borderId="6" xfId="102" applyFont="1" applyFill="1" applyBorder="1" applyAlignment="1">
      <alignment horizontal="center" wrapText="1"/>
    </xf>
    <xf numFmtId="0" fontId="6" fillId="53" borderId="20" xfId="102" applyFont="1" applyFill="1" applyBorder="1" applyAlignment="1">
      <alignment horizontal="center" wrapText="1"/>
    </xf>
    <xf numFmtId="0" fontId="4" fillId="53" borderId="20" xfId="102" applyFont="1" applyFill="1" applyBorder="1" applyAlignment="1">
      <alignment horizontal="center" wrapText="1"/>
    </xf>
    <xf numFmtId="10" fontId="4" fillId="53" borderId="20" xfId="102" applyNumberFormat="1" applyFont="1" applyFill="1" applyBorder="1" applyAlignment="1">
      <alignment horizontal="center" wrapText="1"/>
    </xf>
    <xf numFmtId="10" fontId="5" fillId="53" borderId="20" xfId="102" applyNumberFormat="1" applyFont="1" applyFill="1" applyBorder="1" applyAlignment="1">
      <alignment horizontal="center" wrapText="1"/>
    </xf>
    <xf numFmtId="0" fontId="6" fillId="53" borderId="20" xfId="102" applyFont="1" applyFill="1" applyBorder="1" applyAlignment="1">
      <alignment wrapText="1"/>
    </xf>
    <xf numFmtId="167" fontId="6" fillId="53" borderId="20" xfId="88" applyNumberFormat="1" applyFont="1" applyFill="1" applyBorder="1" applyAlignment="1">
      <alignment horizontal="right"/>
    </xf>
    <xf numFmtId="167" fontId="4" fillId="53" borderId="20" xfId="88" applyNumberFormat="1" applyFont="1" applyFill="1" applyBorder="1"/>
    <xf numFmtId="10" fontId="4" fillId="53" borderId="20" xfId="102" applyNumberFormat="1" applyFont="1" applyFill="1" applyBorder="1"/>
    <xf numFmtId="10" fontId="4" fillId="53" borderId="0" xfId="102" applyNumberFormat="1" applyFont="1" applyFill="1"/>
    <xf numFmtId="170" fontId="4" fillId="53" borderId="0" xfId="102" applyNumberFormat="1" applyFont="1" applyFill="1"/>
    <xf numFmtId="0" fontId="6" fillId="53" borderId="0" xfId="102" applyFont="1" applyFill="1" applyBorder="1" applyAlignment="1">
      <alignment wrapText="1"/>
    </xf>
    <xf numFmtId="6" fontId="6" fillId="53" borderId="0" xfId="102" applyNumberFormat="1" applyFont="1" applyFill="1" applyBorder="1" applyAlignment="1">
      <alignment horizontal="right"/>
    </xf>
    <xf numFmtId="6" fontId="13" fillId="53" borderId="0" xfId="102" applyNumberFormat="1" applyFont="1" applyFill="1" applyBorder="1" applyAlignment="1">
      <alignment horizontal="right"/>
    </xf>
    <xf numFmtId="171" fontId="4" fillId="53" borderId="0" xfId="102" applyNumberFormat="1" applyFont="1" applyFill="1"/>
    <xf numFmtId="9" fontId="13" fillId="53" borderId="0" xfId="106" applyFont="1" applyFill="1" applyBorder="1" applyAlignment="1">
      <alignment horizontal="right"/>
    </xf>
    <xf numFmtId="43" fontId="4" fillId="53" borderId="0" xfId="86" applyFont="1" applyFill="1"/>
    <xf numFmtId="0" fontId="4" fillId="53" borderId="3" xfId="101" applyFont="1" applyFill="1" applyBorder="1" applyAlignment="1">
      <alignment wrapText="1"/>
    </xf>
    <xf numFmtId="0" fontId="4" fillId="53" borderId="24" xfId="102" applyFont="1" applyFill="1" applyBorder="1"/>
    <xf numFmtId="167" fontId="6" fillId="53" borderId="25" xfId="88" applyNumberFormat="1" applyFont="1" applyFill="1" applyBorder="1" applyAlignment="1">
      <alignment horizontal="right"/>
    </xf>
    <xf numFmtId="167" fontId="6" fillId="53" borderId="0" xfId="88" applyNumberFormat="1" applyFont="1" applyFill="1" applyBorder="1" applyAlignment="1">
      <alignment horizontal="right"/>
    </xf>
    <xf numFmtId="0" fontId="4" fillId="53" borderId="4" xfId="102" applyFont="1" applyFill="1" applyBorder="1"/>
    <xf numFmtId="0" fontId="4" fillId="53" borderId="3" xfId="101" applyFont="1" applyFill="1" applyBorder="1" applyAlignment="1">
      <alignment horizontal="left" wrapText="1"/>
    </xf>
    <xf numFmtId="165" fontId="4" fillId="53" borderId="4" xfId="86" applyNumberFormat="1" applyFont="1" applyFill="1" applyBorder="1"/>
    <xf numFmtId="165" fontId="4" fillId="53" borderId="0" xfId="86" applyNumberFormat="1" applyFont="1" applyFill="1" applyBorder="1"/>
    <xf numFmtId="167" fontId="6" fillId="53" borderId="4" xfId="88" applyNumberFormat="1" applyFont="1" applyFill="1" applyBorder="1" applyAlignment="1">
      <alignment horizontal="right"/>
    </xf>
    <xf numFmtId="0" fontId="4" fillId="53" borderId="5" xfId="101" applyFont="1" applyFill="1" applyBorder="1" applyAlignment="1">
      <alignment wrapText="1"/>
    </xf>
    <xf numFmtId="0" fontId="4" fillId="53" borderId="7" xfId="102" applyFont="1" applyFill="1" applyBorder="1"/>
    <xf numFmtId="0" fontId="4" fillId="53" borderId="0" xfId="101" applyFont="1" applyFill="1" applyAlignment="1">
      <alignment wrapText="1"/>
    </xf>
    <xf numFmtId="165" fontId="4" fillId="53" borderId="0" xfId="86" applyNumberFormat="1" applyFont="1" applyFill="1"/>
    <xf numFmtId="0" fontId="4" fillId="53" borderId="0" xfId="101" applyFont="1" applyFill="1"/>
    <xf numFmtId="0" fontId="4" fillId="53" borderId="0" xfId="102" applyFont="1" applyFill="1" applyBorder="1"/>
    <xf numFmtId="10" fontId="4" fillId="53" borderId="4" xfId="106" applyNumberFormat="1" applyFont="1" applyFill="1" applyBorder="1"/>
    <xf numFmtId="0" fontId="35" fillId="53" borderId="0" xfId="102" applyFont="1" applyFill="1"/>
    <xf numFmtId="0" fontId="4" fillId="53" borderId="23" xfId="101" applyFont="1" applyFill="1" applyBorder="1" applyAlignment="1">
      <alignment horizontal="center" wrapText="1"/>
    </xf>
    <xf numFmtId="0" fontId="4" fillId="53" borderId="2" xfId="101" applyFont="1" applyFill="1" applyBorder="1" applyAlignment="1">
      <alignment horizontal="center" wrapText="1"/>
    </xf>
    <xf numFmtId="0" fontId="4" fillId="53" borderId="4" xfId="101" applyFont="1" applyFill="1" applyBorder="1" applyAlignment="1">
      <alignment horizontal="center" wrapText="1"/>
    </xf>
    <xf numFmtId="0" fontId="36" fillId="53" borderId="3" xfId="101" applyNumberFormat="1" applyFont="1" applyFill="1" applyBorder="1" applyAlignment="1">
      <alignment horizontal="left" wrapText="1"/>
    </xf>
    <xf numFmtId="0" fontId="4" fillId="53" borderId="4" xfId="101" applyFont="1" applyFill="1" applyBorder="1"/>
    <xf numFmtId="0" fontId="4" fillId="53" borderId="3" xfId="88" applyNumberFormat="1" applyFont="1" applyFill="1" applyBorder="1" applyAlignment="1">
      <alignment horizontal="left" wrapText="1"/>
    </xf>
    <xf numFmtId="0" fontId="4" fillId="53" borderId="3" xfId="101" applyNumberFormat="1" applyFont="1" applyFill="1" applyBorder="1" applyAlignment="1">
      <alignment horizontal="left" wrapText="1"/>
    </xf>
    <xf numFmtId="167" fontId="4" fillId="53" borderId="0" xfId="88" applyNumberFormat="1" applyFont="1" applyFill="1" applyBorder="1"/>
    <xf numFmtId="0" fontId="4" fillId="53" borderId="3" xfId="88" applyNumberFormat="1" applyFont="1" applyFill="1" applyBorder="1" applyAlignment="1">
      <alignment wrapText="1"/>
    </xf>
    <xf numFmtId="167" fontId="4" fillId="53" borderId="7" xfId="88" applyNumberFormat="1" applyFont="1" applyFill="1" applyBorder="1"/>
    <xf numFmtId="10" fontId="4" fillId="53" borderId="4" xfId="101" applyNumberFormat="1" applyFont="1" applyFill="1" applyBorder="1"/>
    <xf numFmtId="0" fontId="36" fillId="53" borderId="3" xfId="88" applyNumberFormat="1" applyFont="1" applyFill="1" applyBorder="1" applyAlignment="1">
      <alignment horizontal="left" wrapText="1"/>
    </xf>
    <xf numFmtId="0" fontId="4" fillId="53" borderId="0" xfId="101" applyFont="1" applyFill="1" applyBorder="1"/>
    <xf numFmtId="10" fontId="4" fillId="53" borderId="0" xfId="101" applyNumberFormat="1" applyFont="1" applyFill="1" applyBorder="1"/>
    <xf numFmtId="171" fontId="4" fillId="53" borderId="0" xfId="101" applyNumberFormat="1" applyFont="1" applyFill="1" applyBorder="1"/>
    <xf numFmtId="10" fontId="4" fillId="53" borderId="0" xfId="101" applyNumberFormat="1" applyFont="1" applyFill="1" applyBorder="1" applyAlignment="1">
      <alignment wrapText="1"/>
    </xf>
    <xf numFmtId="0" fontId="4" fillId="53" borderId="7" xfId="101" applyFont="1" applyFill="1" applyBorder="1"/>
    <xf numFmtId="167" fontId="0" fillId="0" borderId="0" xfId="2" applyNumberFormat="1" applyFont="1" applyFill="1" applyBorder="1"/>
    <xf numFmtId="167" fontId="0" fillId="0" borderId="7" xfId="2" applyNumberFormat="1" applyFont="1" applyFill="1" applyBorder="1"/>
    <xf numFmtId="165" fontId="0" fillId="0" borderId="0" xfId="1" applyNumberFormat="1" applyFont="1" applyFill="1"/>
    <xf numFmtId="0" fontId="5" fillId="0" borderId="7" xfId="0" applyFont="1" applyFill="1" applyBorder="1" applyAlignment="1">
      <alignment horizontal="center"/>
    </xf>
    <xf numFmtId="10" fontId="0" fillId="0" borderId="0" xfId="3" applyNumberFormat="1" applyFont="1" applyFill="1"/>
    <xf numFmtId="164" fontId="0" fillId="0" borderId="0" xfId="0" applyNumberFormat="1" applyFill="1" applyAlignment="1">
      <alignment horizontal="center"/>
    </xf>
    <xf numFmtId="0" fontId="28" fillId="44" borderId="12" xfId="107" quotePrefix="1" applyNumberFormat="1">
      <alignment horizontal="left" vertical="center" indent="1"/>
    </xf>
    <xf numFmtId="0" fontId="28" fillId="44" borderId="12" xfId="120" quotePrefix="1" applyNumberFormat="1">
      <alignment horizontal="left" vertical="center" indent="1"/>
    </xf>
    <xf numFmtId="0" fontId="28" fillId="49" borderId="12" xfId="113" quotePrefix="1" applyAlignment="1">
      <alignment horizontal="left" vertical="center" indent="4"/>
    </xf>
    <xf numFmtId="0" fontId="28" fillId="49" borderId="12" xfId="113" quotePrefix="1">
      <alignment horizontal="left" vertical="center" indent="1"/>
    </xf>
    <xf numFmtId="0" fontId="28" fillId="50" borderId="12" xfId="115" quotePrefix="1" applyAlignment="1">
      <alignment horizontal="left" vertical="center" indent="5"/>
    </xf>
    <xf numFmtId="0" fontId="28" fillId="50" borderId="12" xfId="115" quotePrefix="1">
      <alignment horizontal="left" vertical="center" indent="1"/>
    </xf>
    <xf numFmtId="169" fontId="28" fillId="0" borderId="12" xfId="118" applyNumberFormat="1">
      <alignment horizontal="right" vertical="center"/>
    </xf>
    <xf numFmtId="0" fontId="28" fillId="0" borderId="12" xfId="118" applyNumberFormat="1">
      <alignment horizontal="right" vertical="center"/>
    </xf>
    <xf numFmtId="0" fontId="28" fillId="47" borderId="12" xfId="110" quotePrefix="1" applyAlignment="1">
      <alignment horizontal="left" vertical="center" indent="3"/>
    </xf>
    <xf numFmtId="0" fontId="28" fillId="47" borderId="12" xfId="110" quotePrefix="1">
      <alignment horizontal="left" vertical="center" indent="1"/>
    </xf>
    <xf numFmtId="0" fontId="28" fillId="50" borderId="12" xfId="115" quotePrefix="1" applyAlignment="1">
      <alignment horizontal="left" vertical="center" indent="7"/>
    </xf>
    <xf numFmtId="0" fontId="28" fillId="50" borderId="12" xfId="115" quotePrefix="1" applyAlignment="1">
      <alignment horizontal="left" vertical="center" indent="6"/>
    </xf>
    <xf numFmtId="0" fontId="5" fillId="0" borderId="22" xfId="0" applyFont="1" applyBorder="1" applyAlignment="1">
      <alignment horizontal="center" wrapText="1"/>
    </xf>
    <xf numFmtId="167" fontId="5" fillId="0" borderId="7" xfId="0" applyNumberFormat="1" applyFont="1" applyBorder="1"/>
    <xf numFmtId="165" fontId="0" fillId="0" borderId="6" xfId="1" applyNumberFormat="1" applyFont="1" applyFill="1" applyBorder="1"/>
    <xf numFmtId="0" fontId="4" fillId="0" borderId="0" xfId="0" applyFont="1" applyFill="1"/>
    <xf numFmtId="166" fontId="4" fillId="0" borderId="0" xfId="3" applyNumberFormat="1" applyFont="1" applyFill="1" applyAlignment="1">
      <alignment horizontal="center"/>
    </xf>
    <xf numFmtId="44" fontId="0" fillId="0" borderId="7" xfId="2" applyNumberFormat="1" applyFont="1" applyFill="1" applyBorder="1"/>
    <xf numFmtId="167" fontId="0" fillId="0" borderId="0" xfId="0" applyNumberFormat="1"/>
    <xf numFmtId="165" fontId="0" fillId="0" borderId="4" xfId="1" applyNumberFormat="1" applyFont="1" applyFill="1" applyBorder="1"/>
    <xf numFmtId="0" fontId="28" fillId="43" borderId="0" xfId="97"/>
    <xf numFmtId="0" fontId="5" fillId="55" borderId="0" xfId="97" applyFont="1" applyFill="1"/>
    <xf numFmtId="0" fontId="28" fillId="52" borderId="0" xfId="97" applyFill="1"/>
    <xf numFmtId="0" fontId="28" fillId="52" borderId="0" xfId="97" applyFont="1" applyFill="1"/>
    <xf numFmtId="169" fontId="28" fillId="52" borderId="0" xfId="97" applyNumberFormat="1" applyFill="1"/>
    <xf numFmtId="0" fontId="31" fillId="56" borderId="12" xfId="110" quotePrefix="1" applyFont="1" applyFill="1" applyAlignment="1">
      <alignment horizontal="left" vertical="center" indent="3"/>
    </xf>
    <xf numFmtId="0" fontId="31" fillId="56" borderId="12" xfId="110" quotePrefix="1" applyFont="1" applyFill="1">
      <alignment horizontal="left" vertical="center" indent="1"/>
    </xf>
    <xf numFmtId="0" fontId="31" fillId="56" borderId="12" xfId="115" quotePrefix="1" applyFont="1" applyFill="1" applyAlignment="1">
      <alignment horizontal="left" vertical="center" indent="7"/>
    </xf>
    <xf numFmtId="0" fontId="31" fillId="56" borderId="12" xfId="115" quotePrefix="1" applyFont="1" applyFill="1">
      <alignment horizontal="left" vertical="center" indent="1"/>
    </xf>
    <xf numFmtId="169" fontId="31" fillId="56" borderId="12" xfId="118" applyNumberFormat="1" applyFont="1" applyFill="1">
      <alignment horizontal="right" vertical="center"/>
    </xf>
    <xf numFmtId="0" fontId="31" fillId="56" borderId="12" xfId="115" quotePrefix="1" applyFont="1" applyFill="1" applyAlignment="1">
      <alignment horizontal="left" vertical="center" indent="6"/>
    </xf>
    <xf numFmtId="172" fontId="0" fillId="0" borderId="0" xfId="0" applyNumberFormat="1"/>
    <xf numFmtId="10" fontId="5" fillId="57" borderId="20" xfId="102" applyNumberFormat="1" applyFont="1" applyFill="1" applyBorder="1"/>
    <xf numFmtId="10" fontId="5" fillId="57" borderId="20" xfId="106" applyNumberFormat="1" applyFont="1" applyFill="1" applyBorder="1"/>
    <xf numFmtId="10" fontId="5" fillId="57" borderId="20" xfId="101" applyNumberFormat="1" applyFont="1" applyFill="1" applyBorder="1"/>
    <xf numFmtId="44" fontId="0" fillId="57" borderId="0" xfId="2" applyFont="1" applyFill="1"/>
    <xf numFmtId="0" fontId="4" fillId="53" borderId="0" xfId="102" applyFont="1" applyFill="1" applyAlignment="1">
      <alignment horizontal="center" vertical="top" wrapText="1"/>
    </xf>
    <xf numFmtId="0" fontId="4" fillId="53" borderId="3" xfId="101" applyFont="1" applyFill="1" applyBorder="1" applyAlignment="1">
      <alignment horizontal="left" wrapText="1"/>
    </xf>
    <xf numFmtId="0" fontId="4" fillId="53" borderId="0" xfId="101" applyFont="1" applyFill="1" applyBorder="1" applyAlignment="1">
      <alignment horizontal="left" wrapText="1"/>
    </xf>
    <xf numFmtId="0" fontId="5" fillId="53" borderId="1" xfId="101" applyFont="1" applyFill="1" applyBorder="1" applyAlignment="1">
      <alignment horizontal="center"/>
    </xf>
    <xf numFmtId="0" fontId="5" fillId="53" borderId="23" xfId="101" applyFont="1" applyFill="1" applyBorder="1" applyAlignment="1">
      <alignment horizontal="center"/>
    </xf>
    <xf numFmtId="0" fontId="5" fillId="53" borderId="2" xfId="101" applyFont="1" applyFill="1" applyBorder="1" applyAlignment="1">
      <alignment horizontal="center"/>
    </xf>
    <xf numFmtId="0" fontId="33" fillId="53" borderId="0" xfId="101" applyFont="1" applyFill="1" applyAlignment="1">
      <alignment horizontal="center"/>
    </xf>
    <xf numFmtId="0" fontId="5" fillId="53" borderId="1" xfId="102" applyFont="1" applyFill="1" applyBorder="1" applyAlignment="1">
      <alignment horizontal="center" wrapText="1"/>
    </xf>
    <xf numFmtId="0" fontId="5" fillId="53" borderId="23" xfId="102" applyFont="1" applyFill="1" applyBorder="1" applyAlignment="1">
      <alignment horizontal="center" wrapText="1"/>
    </xf>
    <xf numFmtId="0" fontId="5" fillId="53" borderId="2" xfId="102" applyFont="1" applyFill="1" applyBorder="1" applyAlignment="1">
      <alignment horizontal="center" wrapText="1"/>
    </xf>
    <xf numFmtId="0" fontId="5" fillId="53" borderId="0" xfId="102" applyFont="1" applyFill="1"/>
    <xf numFmtId="0" fontId="5" fillId="53" borderId="0" xfId="102" applyFont="1" applyFill="1" applyAlignment="1">
      <alignment wrapText="1"/>
    </xf>
  </cellXfs>
  <cellStyles count="128">
    <cellStyle name="60% - Accent1 2" xfId="76"/>
    <cellStyle name="Accent1 - 20%" xfId="5"/>
    <cellStyle name="Accent1 - 40%" xfId="6"/>
    <cellStyle name="Accent1 - 60%" xfId="7"/>
    <cellStyle name="Accent1 2" xfId="77"/>
    <cellStyle name="Accent2 - 20%" xfId="8"/>
    <cellStyle name="Accent2 - 40%" xfId="9"/>
    <cellStyle name="Accent2 - 60%" xfId="10"/>
    <cellStyle name="Accent2 2" xfId="78"/>
    <cellStyle name="Accent3 - 20%" xfId="11"/>
    <cellStyle name="Accent3 - 40%" xfId="12"/>
    <cellStyle name="Accent3 - 60%" xfId="13"/>
    <cellStyle name="Accent3 2" xfId="79"/>
    <cellStyle name="Accent4 - 20%" xfId="14"/>
    <cellStyle name="Accent4 - 40%" xfId="15"/>
    <cellStyle name="Accent4 - 60%" xfId="16"/>
    <cellStyle name="Accent4 2" xfId="80"/>
    <cellStyle name="Accent5 - 20%" xfId="17"/>
    <cellStyle name="Accent5 - 40%" xfId="18"/>
    <cellStyle name="Accent5 - 60%" xfId="19"/>
    <cellStyle name="Accent5 2" xfId="81"/>
    <cellStyle name="Accent6 - 20%" xfId="20"/>
    <cellStyle name="Accent6 - 40%" xfId="21"/>
    <cellStyle name="Accent6 - 60%" xfId="22"/>
    <cellStyle name="Accent6 2" xfId="82"/>
    <cellStyle name="Bad 2" xfId="83"/>
    <cellStyle name="Calculation 2" xfId="84"/>
    <cellStyle name="Check Cell 2" xfId="85"/>
    <cellStyle name="Comma" xfId="1" builtinId="3"/>
    <cellStyle name="Comma 2" xfId="23"/>
    <cellStyle name="Comma 3" xfId="4"/>
    <cellStyle name="Comma 4" xfId="24"/>
    <cellStyle name="Comma 5" xfId="86"/>
    <cellStyle name="Comma 6" xfId="87"/>
    <cellStyle name="Currency" xfId="2" builtinId="4"/>
    <cellStyle name="Currency 2" xfId="25"/>
    <cellStyle name="Currency 3" xfId="26"/>
    <cellStyle name="Currency 4" xfId="88"/>
    <cellStyle name="Emphasis 1" xfId="27"/>
    <cellStyle name="Emphasis 2" xfId="28"/>
    <cellStyle name="Emphasis 3" xfId="29"/>
    <cellStyle name="Good 2" xfId="89"/>
    <cellStyle name="Heading 1 2" xfId="90"/>
    <cellStyle name="Heading 2 2" xfId="91"/>
    <cellStyle name="Heading 3 2" xfId="92"/>
    <cellStyle name="Heading 4 2" xfId="93"/>
    <cellStyle name="Input 2" xfId="94"/>
    <cellStyle name="Linked Cell 2" xfId="95"/>
    <cellStyle name="Neutral 2" xfId="96"/>
    <cellStyle name="Normal" xfId="0" builtinId="0"/>
    <cellStyle name="Normal 10" xfId="127"/>
    <cellStyle name="Normal 2" xfId="30"/>
    <cellStyle name="Normal 3" xfId="31"/>
    <cellStyle name="Normal 4" xfId="97"/>
    <cellStyle name="Normal 5" xfId="98"/>
    <cellStyle name="Normal 6" xfId="99"/>
    <cellStyle name="Normal 7" xfId="100"/>
    <cellStyle name="Normal 8" xfId="101"/>
    <cellStyle name="Normal 9" xfId="124"/>
    <cellStyle name="Normal_Customer Servive PWTI for Service Fees (2)" xfId="102"/>
    <cellStyle name="Note 2" xfId="103"/>
    <cellStyle name="Output 2" xfId="104"/>
    <cellStyle name="Percent" xfId="3" builtinId="5"/>
    <cellStyle name="Percent 2" xfId="32"/>
    <cellStyle name="Percent 3" xfId="33"/>
    <cellStyle name="Percent 4" xfId="105"/>
    <cellStyle name="Percent 5" xfId="106"/>
    <cellStyle name="SAPBEXaggData" xfId="34"/>
    <cellStyle name="SAPBEXaggData 2" xfId="126"/>
    <cellStyle name="SAPBEXaggDataEmph" xfId="35"/>
    <cellStyle name="SAPBEXaggItem" xfId="36"/>
    <cellStyle name="SAPBEXaggItem 2" xfId="125"/>
    <cellStyle name="SAPBEXaggItemX" xfId="37"/>
    <cellStyle name="SAPBEXchaText" xfId="38"/>
    <cellStyle name="SAPBEXchaText 2" xfId="107"/>
    <cellStyle name="SAPBEXexcBad7" xfId="39"/>
    <cellStyle name="SAPBEXexcBad8" xfId="40"/>
    <cellStyle name="SAPBEXexcBad9" xfId="41"/>
    <cellStyle name="SAPBEXexcCritical4" xfId="42"/>
    <cellStyle name="SAPBEXexcCritical5" xfId="43"/>
    <cellStyle name="SAPBEXexcCritical6" xfId="44"/>
    <cellStyle name="SAPBEXexcGood1" xfId="45"/>
    <cellStyle name="SAPBEXexcGood2" xfId="46"/>
    <cellStyle name="SAPBEXexcGood3" xfId="47"/>
    <cellStyle name="SAPBEXfilterDrill" xfId="48"/>
    <cellStyle name="SAPBEXfilterDrill 2" xfId="49"/>
    <cellStyle name="SAPBEXfilterItem" xfId="50"/>
    <cellStyle name="SAPBEXfilterText" xfId="51"/>
    <cellStyle name="SAPBEXformats" xfId="52"/>
    <cellStyle name="SAPBEXheaderItem" xfId="53"/>
    <cellStyle name="SAPBEXheaderText" xfId="54"/>
    <cellStyle name="SAPBEXHLevel0" xfId="55"/>
    <cellStyle name="SAPBEXHLevel0 2" xfId="56"/>
    <cellStyle name="SAPBEXHLevel0 3" xfId="108"/>
    <cellStyle name="SAPBEXHLevel0X" xfId="57"/>
    <cellStyle name="SAPBEXHLevel0X 2" xfId="109"/>
    <cellStyle name="SAPBEXHLevel1" xfId="58"/>
    <cellStyle name="SAPBEXHLevel1 2" xfId="110"/>
    <cellStyle name="SAPBEXHLevel1_Fully Loaded AMI Meter Change Cost - Backup for Nelly (3)" xfId="111"/>
    <cellStyle name="SAPBEXHLevel1X" xfId="59"/>
    <cellStyle name="SAPBEXHLevel1X 2" xfId="112"/>
    <cellStyle name="SAPBEXHLevel2" xfId="60"/>
    <cellStyle name="SAPBEXHLevel2 2" xfId="113"/>
    <cellStyle name="SAPBEXHLevel2_Fully Loaded AMI Meter Change Cost - Backup for Nelly (3)" xfId="114"/>
    <cellStyle name="SAPBEXHLevel2X" xfId="61"/>
    <cellStyle name="SAPBEXHLevel3" xfId="62"/>
    <cellStyle name="SAPBEXHLevel3 2" xfId="115"/>
    <cellStyle name="SAPBEXHLevel3_Fully Loaded AMI Meter Change Cost - Backup for Nelly (3)" xfId="116"/>
    <cellStyle name="SAPBEXHLevel3X" xfId="63"/>
    <cellStyle name="SAPBEXinputData" xfId="64"/>
    <cellStyle name="SAPBEXItemHeader" xfId="117"/>
    <cellStyle name="SAPBEXresData" xfId="65"/>
    <cellStyle name="SAPBEXresDataEmph" xfId="66"/>
    <cellStyle name="SAPBEXresItem" xfId="67"/>
    <cellStyle name="SAPBEXresItemX" xfId="68"/>
    <cellStyle name="SAPBEXstdData" xfId="69"/>
    <cellStyle name="SAPBEXstdData 2" xfId="118"/>
    <cellStyle name="SAPBEXstdData_Fully Loaded AMI Meter Change Cost - Backup for Nelly (3)" xfId="119"/>
    <cellStyle name="SAPBEXstdDataEmph" xfId="70"/>
    <cellStyle name="SAPBEXstdItem" xfId="71"/>
    <cellStyle name="SAPBEXstdItem 2" xfId="120"/>
    <cellStyle name="SAPBEXstdItemX" xfId="72"/>
    <cellStyle name="SAPBEXtitle" xfId="73"/>
    <cellStyle name="SAPBEXunassignedItem" xfId="121"/>
    <cellStyle name="SAPBEXundefined" xfId="74"/>
    <cellStyle name="Sheet Title" xfId="75"/>
    <cellStyle name="Total 2" xfId="122"/>
    <cellStyle name="Warning Text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53</xdr:row>
      <xdr:rowOff>38100</xdr:rowOff>
    </xdr:from>
    <xdr:to>
      <xdr:col>5</xdr:col>
      <xdr:colOff>466725</xdr:colOff>
      <xdr:row>56</xdr:row>
      <xdr:rowOff>85725</xdr:rowOff>
    </xdr:to>
    <xdr:cxnSp macro="">
      <xdr:nvCxnSpPr>
        <xdr:cNvPr id="2" name="Straight Arrow Connector 1"/>
        <xdr:cNvCxnSpPr/>
      </xdr:nvCxnSpPr>
      <xdr:spPr>
        <a:xfrm flipH="1" flipV="1">
          <a:off x="5619750" y="8839200"/>
          <a:ext cx="9525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466725</xdr:colOff>
      <xdr:row>53</xdr:row>
      <xdr:rowOff>28575</xdr:rowOff>
    </xdr:from>
    <xdr:to>
      <xdr:col>6</xdr:col>
      <xdr:colOff>476250</xdr:colOff>
      <xdr:row>56</xdr:row>
      <xdr:rowOff>76200</xdr:rowOff>
    </xdr:to>
    <xdr:cxnSp macro="">
      <xdr:nvCxnSpPr>
        <xdr:cNvPr id="3" name="Straight Arrow Connector 2"/>
        <xdr:cNvCxnSpPr/>
      </xdr:nvCxnSpPr>
      <xdr:spPr>
        <a:xfrm flipH="1" flipV="1">
          <a:off x="6943725" y="8829675"/>
          <a:ext cx="9525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485775</xdr:colOff>
      <xdr:row>53</xdr:row>
      <xdr:rowOff>9525</xdr:rowOff>
    </xdr:from>
    <xdr:to>
      <xdr:col>7</xdr:col>
      <xdr:colOff>495300</xdr:colOff>
      <xdr:row>56</xdr:row>
      <xdr:rowOff>57150</xdr:rowOff>
    </xdr:to>
    <xdr:cxnSp macro="">
      <xdr:nvCxnSpPr>
        <xdr:cNvPr id="4" name="Straight Arrow Connector 3"/>
        <xdr:cNvCxnSpPr/>
      </xdr:nvCxnSpPr>
      <xdr:spPr>
        <a:xfrm flipH="1" flipV="1">
          <a:off x="8258175" y="8810625"/>
          <a:ext cx="9525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5</xdr:col>
      <xdr:colOff>0</xdr:colOff>
      <xdr:row>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3462337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0</xdr:col>
      <xdr:colOff>200025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0" name="TextQueryTitle"/>
        <xdr:cNvSpPr txBox="1">
          <a:spLocks noChangeArrowheads="1"/>
        </xdr:cNvSpPr>
      </xdr:nvSpPr>
      <xdr:spPr bwMode="auto">
        <a:xfrm>
          <a:off x="3048000" y="0"/>
          <a:ext cx="7953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1</xdr:col>
      <xdr:colOff>571500</xdr:colOff>
      <xdr:row>3</xdr:row>
      <xdr:rowOff>295275</xdr:rowOff>
    </xdr:from>
    <xdr:to>
      <xdr:col>1</xdr:col>
      <xdr:colOff>1266825</xdr:colOff>
      <xdr:row>5</xdr:row>
      <xdr:rowOff>13335</xdr:rowOff>
    </xdr:to>
    <xdr:pic>
      <xdr:nvPicPr>
        <xdr:cNvPr id="4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790575</xdr:colOff>
      <xdr:row>3</xdr:row>
      <xdr:rowOff>295275</xdr:rowOff>
    </xdr:from>
    <xdr:to>
      <xdr:col>1</xdr:col>
      <xdr:colOff>381000</xdr:colOff>
      <xdr:row>5</xdr:row>
      <xdr:rowOff>13335</xdr:rowOff>
    </xdr:to>
    <xdr:pic>
      <xdr:nvPicPr>
        <xdr:cNvPr id="46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180975</xdr:colOff>
      <xdr:row>4</xdr:row>
      <xdr:rowOff>0</xdr:rowOff>
    </xdr:from>
    <xdr:to>
      <xdr:col>0</xdr:col>
      <xdr:colOff>600075</xdr:colOff>
      <xdr:row>5</xdr:row>
      <xdr:rowOff>22860</xdr:rowOff>
    </xdr:to>
    <xdr:pic>
      <xdr:nvPicPr>
        <xdr:cNvPr id="4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9</xdr:row>
      <xdr:rowOff>0</xdr:rowOff>
    </xdr:from>
    <xdr:to>
      <xdr:col>0</xdr:col>
      <xdr:colOff>228600</xdr:colOff>
      <xdr:row>9</xdr:row>
      <xdr:rowOff>123825</xdr:rowOff>
    </xdr:to>
    <xdr:pic>
      <xdr:nvPicPr>
        <xdr:cNvPr id="411" name="BExIHNC1DB9HQU00M99QPXUMRK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2942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9</xdr:row>
      <xdr:rowOff>0</xdr:rowOff>
    </xdr:from>
    <xdr:to>
      <xdr:col>2</xdr:col>
      <xdr:colOff>571500</xdr:colOff>
      <xdr:row>9</xdr:row>
      <xdr:rowOff>123825</xdr:rowOff>
    </xdr:to>
    <xdr:pic>
      <xdr:nvPicPr>
        <xdr:cNvPr id="412" name="BExO7AGZDVCJGP1ENV207Q6859T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42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10</xdr:row>
      <xdr:rowOff>0</xdr:rowOff>
    </xdr:from>
    <xdr:to>
      <xdr:col>2</xdr:col>
      <xdr:colOff>571500</xdr:colOff>
      <xdr:row>10</xdr:row>
      <xdr:rowOff>123825</xdr:rowOff>
    </xdr:to>
    <xdr:pic>
      <xdr:nvPicPr>
        <xdr:cNvPr id="413" name="BEx7IAOU9U7YWU8UFYFA8Q6HCF2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56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11</xdr:row>
      <xdr:rowOff>0</xdr:rowOff>
    </xdr:from>
    <xdr:to>
      <xdr:col>2</xdr:col>
      <xdr:colOff>571500</xdr:colOff>
      <xdr:row>11</xdr:row>
      <xdr:rowOff>123825</xdr:rowOff>
    </xdr:to>
    <xdr:pic>
      <xdr:nvPicPr>
        <xdr:cNvPr id="414" name="BExMJLU3FSN7MW9PN0L3I34VA6W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71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12</xdr:row>
      <xdr:rowOff>0</xdr:rowOff>
    </xdr:from>
    <xdr:to>
      <xdr:col>2</xdr:col>
      <xdr:colOff>485775</xdr:colOff>
      <xdr:row>12</xdr:row>
      <xdr:rowOff>123825</xdr:rowOff>
    </xdr:to>
    <xdr:pic>
      <xdr:nvPicPr>
        <xdr:cNvPr id="415" name="BExSFLHTVC5JH77BHY0NR8AL5T8B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2985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13</xdr:row>
      <xdr:rowOff>0</xdr:rowOff>
    </xdr:from>
    <xdr:to>
      <xdr:col>2</xdr:col>
      <xdr:colOff>571500</xdr:colOff>
      <xdr:row>13</xdr:row>
      <xdr:rowOff>123825</xdr:rowOff>
    </xdr:to>
    <xdr:pic>
      <xdr:nvPicPr>
        <xdr:cNvPr id="416" name="BEx7AV25LPW25LRPWLXYHIT0UYV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2999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14</xdr:row>
      <xdr:rowOff>0</xdr:rowOff>
    </xdr:from>
    <xdr:to>
      <xdr:col>2</xdr:col>
      <xdr:colOff>571500</xdr:colOff>
      <xdr:row>14</xdr:row>
      <xdr:rowOff>123825</xdr:rowOff>
    </xdr:to>
    <xdr:pic>
      <xdr:nvPicPr>
        <xdr:cNvPr id="417" name="BExQ4MWILIIUW17OB1A2VSDA6U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301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15</xdr:row>
      <xdr:rowOff>0</xdr:rowOff>
    </xdr:from>
    <xdr:to>
      <xdr:col>2</xdr:col>
      <xdr:colOff>485775</xdr:colOff>
      <xdr:row>15</xdr:row>
      <xdr:rowOff>123825</xdr:rowOff>
    </xdr:to>
    <xdr:pic>
      <xdr:nvPicPr>
        <xdr:cNvPr id="418" name="BExQ94LBUYO1GFY875Q1KD7E8AF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3028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24</xdr:row>
      <xdr:rowOff>0</xdr:rowOff>
    </xdr:from>
    <xdr:to>
      <xdr:col>2</xdr:col>
      <xdr:colOff>485775</xdr:colOff>
      <xdr:row>24</xdr:row>
      <xdr:rowOff>123825</xdr:rowOff>
    </xdr:to>
    <xdr:pic>
      <xdr:nvPicPr>
        <xdr:cNvPr id="419" name="BExZTZ0U31MJCA6FQXK2QGK3XFKG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3156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25</xdr:row>
      <xdr:rowOff>0</xdr:rowOff>
    </xdr:from>
    <xdr:to>
      <xdr:col>2</xdr:col>
      <xdr:colOff>400050</xdr:colOff>
      <xdr:row>25</xdr:row>
      <xdr:rowOff>123825</xdr:rowOff>
    </xdr:to>
    <xdr:pic>
      <xdr:nvPicPr>
        <xdr:cNvPr id="420" name="BExML7J2ZN3MDQ7P9YQY99YTV53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17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32</xdr:row>
      <xdr:rowOff>0</xdr:rowOff>
    </xdr:from>
    <xdr:to>
      <xdr:col>2</xdr:col>
      <xdr:colOff>485775</xdr:colOff>
      <xdr:row>32</xdr:row>
      <xdr:rowOff>123825</xdr:rowOff>
    </xdr:to>
    <xdr:pic>
      <xdr:nvPicPr>
        <xdr:cNvPr id="421" name="BExDARVETB1GMF7M6WK1H7ZO85A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3271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35</xdr:row>
      <xdr:rowOff>0</xdr:rowOff>
    </xdr:from>
    <xdr:to>
      <xdr:col>2</xdr:col>
      <xdr:colOff>485775</xdr:colOff>
      <xdr:row>35</xdr:row>
      <xdr:rowOff>123825</xdr:rowOff>
    </xdr:to>
    <xdr:pic>
      <xdr:nvPicPr>
        <xdr:cNvPr id="422" name="BExXSBCEDYWNWZMGD79RSK9M07OU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3314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38</xdr:row>
      <xdr:rowOff>0</xdr:rowOff>
    </xdr:from>
    <xdr:to>
      <xdr:col>2</xdr:col>
      <xdr:colOff>485775</xdr:colOff>
      <xdr:row>38</xdr:row>
      <xdr:rowOff>123825</xdr:rowOff>
    </xdr:to>
    <xdr:pic>
      <xdr:nvPicPr>
        <xdr:cNvPr id="423" name="BEx9AMJZNZC7Y8QZ2CBXCVYELQNH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3356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39</xdr:row>
      <xdr:rowOff>0</xdr:rowOff>
    </xdr:from>
    <xdr:to>
      <xdr:col>2</xdr:col>
      <xdr:colOff>400050</xdr:colOff>
      <xdr:row>39</xdr:row>
      <xdr:rowOff>123825</xdr:rowOff>
    </xdr:to>
    <xdr:pic>
      <xdr:nvPicPr>
        <xdr:cNvPr id="424" name="BExSBKFQUO5HV3T3Y2DLWYMKIJQD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371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40</xdr:row>
      <xdr:rowOff>0</xdr:rowOff>
    </xdr:from>
    <xdr:to>
      <xdr:col>2</xdr:col>
      <xdr:colOff>314325</xdr:colOff>
      <xdr:row>40</xdr:row>
      <xdr:rowOff>123825</xdr:rowOff>
    </xdr:to>
    <xdr:pic>
      <xdr:nvPicPr>
        <xdr:cNvPr id="425" name="BExU36OJQJ98WHKDMTB5I93964C3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3385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53</xdr:row>
      <xdr:rowOff>0</xdr:rowOff>
    </xdr:from>
    <xdr:to>
      <xdr:col>2</xdr:col>
      <xdr:colOff>400050</xdr:colOff>
      <xdr:row>53</xdr:row>
      <xdr:rowOff>123825</xdr:rowOff>
    </xdr:to>
    <xdr:pic>
      <xdr:nvPicPr>
        <xdr:cNvPr id="426" name="BExOMTEPOZIPIT6T76YTENDF38HX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571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54</xdr:row>
      <xdr:rowOff>0</xdr:rowOff>
    </xdr:from>
    <xdr:to>
      <xdr:col>2</xdr:col>
      <xdr:colOff>314325</xdr:colOff>
      <xdr:row>54</xdr:row>
      <xdr:rowOff>123825</xdr:rowOff>
    </xdr:to>
    <xdr:pic>
      <xdr:nvPicPr>
        <xdr:cNvPr id="427" name="BExF6SSW1QHAU2UQ7MOOWH6SG4VR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3585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66</xdr:row>
      <xdr:rowOff>0</xdr:rowOff>
    </xdr:from>
    <xdr:to>
      <xdr:col>2</xdr:col>
      <xdr:colOff>314325</xdr:colOff>
      <xdr:row>66</xdr:row>
      <xdr:rowOff>123825</xdr:rowOff>
    </xdr:to>
    <xdr:pic>
      <xdr:nvPicPr>
        <xdr:cNvPr id="428" name="BExXMA27ICDULVBHLI0W0ELHB7M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3756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72</xdr:row>
      <xdr:rowOff>0</xdr:rowOff>
    </xdr:from>
    <xdr:to>
      <xdr:col>2</xdr:col>
      <xdr:colOff>400050</xdr:colOff>
      <xdr:row>72</xdr:row>
      <xdr:rowOff>123825</xdr:rowOff>
    </xdr:to>
    <xdr:pic>
      <xdr:nvPicPr>
        <xdr:cNvPr id="429" name="BExKLDHKVD32N4AZBFZPHBZKNYV6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42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75</xdr:row>
      <xdr:rowOff>0</xdr:rowOff>
    </xdr:from>
    <xdr:to>
      <xdr:col>2</xdr:col>
      <xdr:colOff>400050</xdr:colOff>
      <xdr:row>75</xdr:row>
      <xdr:rowOff>123825</xdr:rowOff>
    </xdr:to>
    <xdr:pic>
      <xdr:nvPicPr>
        <xdr:cNvPr id="430" name="BExQ643LQMAISAJPL0ST5MSB0QDJ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3885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76</xdr:row>
      <xdr:rowOff>0</xdr:rowOff>
    </xdr:from>
    <xdr:to>
      <xdr:col>2</xdr:col>
      <xdr:colOff>314325</xdr:colOff>
      <xdr:row>76</xdr:row>
      <xdr:rowOff>123825</xdr:rowOff>
    </xdr:to>
    <xdr:pic>
      <xdr:nvPicPr>
        <xdr:cNvPr id="431" name="BExIS95IXYJ5DL255Y61Y0I0TGIE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389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86</xdr:row>
      <xdr:rowOff>0</xdr:rowOff>
    </xdr:from>
    <xdr:to>
      <xdr:col>2</xdr:col>
      <xdr:colOff>314325</xdr:colOff>
      <xdr:row>86</xdr:row>
      <xdr:rowOff>123825</xdr:rowOff>
    </xdr:to>
    <xdr:pic>
      <xdr:nvPicPr>
        <xdr:cNvPr id="432" name="BExF1E5FEF8T2LQ127BMBUC1PD98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4042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94</xdr:row>
      <xdr:rowOff>0</xdr:rowOff>
    </xdr:from>
    <xdr:to>
      <xdr:col>2</xdr:col>
      <xdr:colOff>400050</xdr:colOff>
      <xdr:row>94</xdr:row>
      <xdr:rowOff>123825</xdr:rowOff>
    </xdr:to>
    <xdr:pic>
      <xdr:nvPicPr>
        <xdr:cNvPr id="433" name="BExMM0QYCPXWOF116GPTODF6W1BI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4157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97</xdr:row>
      <xdr:rowOff>0</xdr:rowOff>
    </xdr:from>
    <xdr:to>
      <xdr:col>2</xdr:col>
      <xdr:colOff>400050</xdr:colOff>
      <xdr:row>97</xdr:row>
      <xdr:rowOff>123825</xdr:rowOff>
    </xdr:to>
    <xdr:pic>
      <xdr:nvPicPr>
        <xdr:cNvPr id="434" name="BExOG5NGUZTL3VE5W8FVIV9V0FBY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4199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100</xdr:row>
      <xdr:rowOff>0</xdr:rowOff>
    </xdr:from>
    <xdr:to>
      <xdr:col>2</xdr:col>
      <xdr:colOff>400050</xdr:colOff>
      <xdr:row>100</xdr:row>
      <xdr:rowOff>123825</xdr:rowOff>
    </xdr:to>
    <xdr:pic>
      <xdr:nvPicPr>
        <xdr:cNvPr id="435" name="BExU0LX8JH14P5RQQDU0B2V9UCML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4242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101</xdr:row>
      <xdr:rowOff>0</xdr:rowOff>
    </xdr:from>
    <xdr:to>
      <xdr:col>2</xdr:col>
      <xdr:colOff>314325</xdr:colOff>
      <xdr:row>101</xdr:row>
      <xdr:rowOff>123825</xdr:rowOff>
    </xdr:to>
    <xdr:pic>
      <xdr:nvPicPr>
        <xdr:cNvPr id="436" name="BExZM2B4U0VROC8POBBMPXK6TN7N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4257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103</xdr:row>
      <xdr:rowOff>0</xdr:rowOff>
    </xdr:from>
    <xdr:to>
      <xdr:col>2</xdr:col>
      <xdr:colOff>314325</xdr:colOff>
      <xdr:row>103</xdr:row>
      <xdr:rowOff>123825</xdr:rowOff>
    </xdr:to>
    <xdr:pic>
      <xdr:nvPicPr>
        <xdr:cNvPr id="437" name="BExUB271JJG41RX9VZJ0QIMMD9S0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4285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105</xdr:row>
      <xdr:rowOff>0</xdr:rowOff>
    </xdr:from>
    <xdr:to>
      <xdr:col>2</xdr:col>
      <xdr:colOff>314325</xdr:colOff>
      <xdr:row>105</xdr:row>
      <xdr:rowOff>123825</xdr:rowOff>
    </xdr:to>
    <xdr:pic>
      <xdr:nvPicPr>
        <xdr:cNvPr id="438" name="BExOFEOG4HTK1DE4A2I66EKPCRSA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4314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106</xdr:row>
      <xdr:rowOff>0</xdr:rowOff>
    </xdr:from>
    <xdr:to>
      <xdr:col>2</xdr:col>
      <xdr:colOff>228600</xdr:colOff>
      <xdr:row>106</xdr:row>
      <xdr:rowOff>123825</xdr:rowOff>
    </xdr:to>
    <xdr:pic>
      <xdr:nvPicPr>
        <xdr:cNvPr id="439" name="BEx5ASRVBG75X930ITSI0G48ZOX7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14328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C%201st%20Set%20POD%201Q%20MFR%20E-7%20SYA%20TRANSACTION%20VOLUME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C%201st%20Set%20POD%201Q%20MFR%20E-7%20SYA%20Care%20Center%20Cost%20per%20Call%20-%20CM%20DM%20and%20Transfer%202014%20rev%2010-20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PC%201st%20Set%20POD%201Q%20MFR%20E-7%20SYA%20CC-Service%20Charge%20Analysis-%2012%20Month%20Rolling%20Updated%2010-20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A TRANSACTION VOLUME SUMMARY"/>
      <sheetName val="2015 SERVICE CHARGE REVENUE"/>
      <sheetName val="2014 SERVICE CHARGE REVENUE"/>
      <sheetName val="2018_FIELD METERS WORKLOAD DATA"/>
      <sheetName val="FIELD COLLECTIONS WORKLOAD DATA"/>
      <sheetName val="FMO BUDGET DATA"/>
      <sheetName val="RCS RECONNECT REVENUE FORECAST"/>
      <sheetName val="NSA FORECAST"/>
      <sheetName val="IM Support"/>
      <sheetName val="CUSTOMER SUPPORT"/>
      <sheetName val="BUDGET DATA"/>
      <sheetName val="RRD TRANSACTION DATA"/>
    </sheetNames>
    <sheetDataSet>
      <sheetData sheetId="0">
        <row r="6">
          <cell r="D6">
            <v>1252771.8089751801</v>
          </cell>
        </row>
        <row r="28">
          <cell r="D28">
            <v>832038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4">
          <cell r="K54">
            <v>9.6081350345543881E-2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per Call updated"/>
      <sheetName val="NCH-AHT data"/>
      <sheetName val="Skill Reference List"/>
      <sheetName val="Skill 50 - Serv Conn Eng"/>
      <sheetName val="Skill 51 - Serv Conn Spa"/>
      <sheetName val="Skill 53 - Disc Eng"/>
      <sheetName val="Skill 132 Pos ID E (former 126)"/>
      <sheetName val="Skill 133 Pos ID S (former 127)"/>
      <sheetName val="Skill 742 PR Eng (Former 103)"/>
      <sheetName val="Skill 743 PR Spa (Former 129)"/>
      <sheetName val="Skill 740 RRD UAR Eng"/>
      <sheetName val="Skill 741 RRD UAR Spa"/>
      <sheetName val="Skill 744 RRD UKU Eng"/>
      <sheetName val="Skill 745 RRD UKU Spa"/>
      <sheetName val="RRD Summary - All Skills"/>
    </sheetNames>
    <sheetDataSet>
      <sheetData sheetId="0">
        <row r="6">
          <cell r="E6">
            <v>2168739865.1673512</v>
          </cell>
        </row>
        <row r="11">
          <cell r="E11">
            <v>1237306</v>
          </cell>
        </row>
        <row r="12">
          <cell r="E12">
            <v>476255342</v>
          </cell>
        </row>
        <row r="15">
          <cell r="E15">
            <v>128538</v>
          </cell>
        </row>
        <row r="16">
          <cell r="E16">
            <v>34334425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Month Rolling"/>
      <sheetName val="Methodology Summary"/>
    </sheetNames>
    <sheetDataSet>
      <sheetData sheetId="0">
        <row r="4">
          <cell r="N4">
            <v>420646</v>
          </cell>
        </row>
        <row r="6">
          <cell r="N6">
            <v>324.11436958790733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fitToPage="1"/>
  </sheetPr>
  <dimension ref="A1:J56"/>
  <sheetViews>
    <sheetView tabSelected="1" zoomScale="80" zoomScaleNormal="80" zoomScaleSheetLayoutView="100" workbookViewId="0">
      <selection sqref="A1:B2"/>
    </sheetView>
  </sheetViews>
  <sheetFormatPr defaultColWidth="9.109375" defaultRowHeight="13.2" x14ac:dyDescent="0.25"/>
  <cols>
    <col min="1" max="1" width="12" style="52" customWidth="1"/>
    <col min="2" max="2" width="37.5546875" style="54" customWidth="1"/>
    <col min="3" max="4" width="16" style="52" bestFit="1" customWidth="1"/>
    <col min="5" max="5" width="11.33203125" style="52" customWidth="1"/>
    <col min="6" max="6" width="12.44140625" style="52" customWidth="1"/>
    <col min="7" max="7" width="9.6640625" style="52" bestFit="1" customWidth="1"/>
    <col min="8" max="8" width="11" style="52" customWidth="1"/>
    <col min="9" max="9" width="11.44140625" style="52" customWidth="1"/>
    <col min="10" max="10" width="6.44140625" style="52" customWidth="1"/>
    <col min="11" max="16384" width="9.109375" style="52"/>
  </cols>
  <sheetData>
    <row r="1" spans="1:10" x14ac:dyDescent="0.25">
      <c r="A1" s="164" t="s">
        <v>322</v>
      </c>
      <c r="B1" s="165"/>
    </row>
    <row r="2" spans="1:10" x14ac:dyDescent="0.25">
      <c r="A2" s="164" t="s">
        <v>323</v>
      </c>
      <c r="B2" s="165"/>
    </row>
    <row r="4" spans="1:10" ht="17.399999999999999" x14ac:dyDescent="0.3">
      <c r="A4" s="160" t="s">
        <v>220</v>
      </c>
      <c r="B4" s="160"/>
      <c r="C4" s="160"/>
      <c r="D4" s="160"/>
      <c r="E4" s="160"/>
      <c r="F4" s="160"/>
      <c r="G4" s="160"/>
      <c r="H4" s="160"/>
      <c r="I4" s="160"/>
    </row>
    <row r="5" spans="1:10" ht="17.399999999999999" x14ac:dyDescent="0.3">
      <c r="A5" s="160" t="s">
        <v>221</v>
      </c>
      <c r="B5" s="160"/>
      <c r="C5" s="160"/>
      <c r="D5" s="160"/>
      <c r="E5" s="160"/>
      <c r="F5" s="160"/>
      <c r="G5" s="160"/>
      <c r="H5" s="160"/>
      <c r="I5" s="160"/>
    </row>
    <row r="6" spans="1:10" ht="17.399999999999999" x14ac:dyDescent="0.3">
      <c r="A6" s="160" t="s">
        <v>222</v>
      </c>
      <c r="B6" s="160"/>
      <c r="C6" s="160"/>
      <c r="D6" s="160"/>
      <c r="E6" s="160"/>
      <c r="F6" s="160"/>
      <c r="G6" s="160"/>
      <c r="H6" s="160"/>
      <c r="I6" s="160"/>
    </row>
    <row r="7" spans="1:10" ht="13.8" x14ac:dyDescent="0.25">
      <c r="A7" s="53" t="s">
        <v>223</v>
      </c>
    </row>
    <row r="8" spans="1:10" ht="13.8" x14ac:dyDescent="0.25">
      <c r="A8" s="55" t="s">
        <v>224</v>
      </c>
      <c r="B8" s="52"/>
    </row>
    <row r="9" spans="1:10" ht="13.8" x14ac:dyDescent="0.25">
      <c r="A9" s="56"/>
      <c r="B9" s="161" t="s">
        <v>225</v>
      </c>
      <c r="C9" s="162"/>
      <c r="D9" s="162"/>
      <c r="E9" s="162"/>
      <c r="F9" s="162"/>
      <c r="G9" s="162"/>
      <c r="H9" s="162"/>
      <c r="I9" s="163"/>
    </row>
    <row r="10" spans="1:10" ht="13.8" x14ac:dyDescent="0.25">
      <c r="A10" s="57">
        <v>1</v>
      </c>
      <c r="B10" s="58" t="s">
        <v>226</v>
      </c>
      <c r="C10" s="59" t="s">
        <v>227</v>
      </c>
      <c r="D10" s="59" t="s">
        <v>228</v>
      </c>
      <c r="E10" s="60" t="s">
        <v>229</v>
      </c>
      <c r="F10" s="59" t="s">
        <v>230</v>
      </c>
      <c r="G10" s="60" t="s">
        <v>231</v>
      </c>
      <c r="H10" s="59" t="s">
        <v>232</v>
      </c>
      <c r="I10" s="61" t="s">
        <v>233</v>
      </c>
    </row>
    <row r="11" spans="1:10" ht="39.6" x14ac:dyDescent="0.25">
      <c r="A11" s="57">
        <f t="shared" ref="A11:A56" si="0">A10+1</f>
        <v>2</v>
      </c>
      <c r="B11" s="62" t="s">
        <v>234</v>
      </c>
      <c r="C11" s="62" t="s">
        <v>235</v>
      </c>
      <c r="D11" s="62" t="s">
        <v>236</v>
      </c>
      <c r="E11" s="62" t="s">
        <v>237</v>
      </c>
      <c r="F11" s="63" t="s">
        <v>238</v>
      </c>
      <c r="G11" s="64" t="s">
        <v>239</v>
      </c>
      <c r="H11" s="63" t="s">
        <v>240</v>
      </c>
      <c r="I11" s="65" t="s">
        <v>241</v>
      </c>
    </row>
    <row r="12" spans="1:10" ht="13.8" x14ac:dyDescent="0.25">
      <c r="A12" s="57">
        <f t="shared" si="0"/>
        <v>3</v>
      </c>
      <c r="B12" s="66" t="s">
        <v>242</v>
      </c>
      <c r="C12" s="67">
        <v>42989</v>
      </c>
      <c r="D12" s="67">
        <v>3133</v>
      </c>
      <c r="E12" s="67">
        <f>+C12+D12</f>
        <v>46122</v>
      </c>
      <c r="F12" s="68">
        <v>9563</v>
      </c>
      <c r="G12" s="69">
        <f>F12/E12</f>
        <v>0.20734139889857334</v>
      </c>
      <c r="H12" s="69">
        <f>-0.0106+0.0666+0.0062</f>
        <v>6.2200000000000005E-2</v>
      </c>
      <c r="I12" s="150">
        <f>G12+H12</f>
        <v>0.26954139889857331</v>
      </c>
      <c r="J12" s="70"/>
    </row>
    <row r="13" spans="1:10" ht="13.8" x14ac:dyDescent="0.25">
      <c r="A13" s="57">
        <f t="shared" si="0"/>
        <v>4</v>
      </c>
      <c r="B13" s="66" t="s">
        <v>243</v>
      </c>
      <c r="C13" s="67">
        <v>82414</v>
      </c>
      <c r="D13" s="67">
        <v>352</v>
      </c>
      <c r="E13" s="67">
        <f>+C13+D13</f>
        <v>82766</v>
      </c>
      <c r="F13" s="68">
        <v>9563</v>
      </c>
      <c r="G13" s="69">
        <f>F13/E13</f>
        <v>0.11554261411690792</v>
      </c>
      <c r="H13" s="69">
        <f>-0.0106+0.0666+0.0062</f>
        <v>6.2200000000000005E-2</v>
      </c>
      <c r="I13" s="150">
        <f>G13+H13</f>
        <v>0.17774261411690792</v>
      </c>
      <c r="J13" s="70"/>
    </row>
    <row r="14" spans="1:10" ht="13.8" x14ac:dyDescent="0.25">
      <c r="A14" s="57">
        <f t="shared" si="0"/>
        <v>5</v>
      </c>
      <c r="B14" s="66" t="s">
        <v>244</v>
      </c>
      <c r="C14" s="67">
        <v>73080</v>
      </c>
      <c r="D14" s="67">
        <v>13312</v>
      </c>
      <c r="E14" s="67">
        <f>+C14+D14</f>
        <v>86392</v>
      </c>
      <c r="F14" s="68">
        <v>14150</v>
      </c>
      <c r="G14" s="69">
        <f>F14/E14</f>
        <v>0.16378831373275304</v>
      </c>
      <c r="H14" s="69">
        <f>-0.0106+0.0666+0.0062</f>
        <v>6.2200000000000005E-2</v>
      </c>
      <c r="I14" s="150">
        <f>G14+H14</f>
        <v>0.22598831373275305</v>
      </c>
      <c r="J14" s="71"/>
    </row>
    <row r="15" spans="1:10" ht="13.8" x14ac:dyDescent="0.25">
      <c r="A15" s="57">
        <f t="shared" si="0"/>
        <v>6</v>
      </c>
      <c r="B15" s="72"/>
      <c r="C15" s="73"/>
      <c r="D15" s="73"/>
      <c r="E15" s="74"/>
      <c r="F15" s="75"/>
      <c r="G15" s="70"/>
      <c r="H15" s="70"/>
      <c r="I15" s="70"/>
      <c r="J15" s="70"/>
    </row>
    <row r="16" spans="1:10" ht="13.8" x14ac:dyDescent="0.25">
      <c r="A16" s="57">
        <f t="shared" si="0"/>
        <v>7</v>
      </c>
      <c r="B16" s="157" t="s">
        <v>245</v>
      </c>
      <c r="C16" s="158"/>
      <c r="D16" s="159"/>
      <c r="E16" s="76"/>
      <c r="F16" s="75"/>
      <c r="G16" s="77"/>
      <c r="H16" s="70"/>
      <c r="I16" s="70"/>
    </row>
    <row r="17" spans="1:9" ht="13.8" x14ac:dyDescent="0.25">
      <c r="A17" s="57">
        <f t="shared" si="0"/>
        <v>8</v>
      </c>
      <c r="B17" s="78" t="s">
        <v>246</v>
      </c>
      <c r="C17" s="79"/>
      <c r="D17" s="80">
        <v>63300000</v>
      </c>
      <c r="E17" s="74"/>
      <c r="F17" s="75"/>
      <c r="G17" s="70"/>
      <c r="H17" s="70"/>
      <c r="I17" s="70"/>
    </row>
    <row r="18" spans="1:9" ht="13.8" x14ac:dyDescent="0.25">
      <c r="A18" s="57">
        <f t="shared" si="0"/>
        <v>9</v>
      </c>
      <c r="B18" s="78" t="s">
        <v>247</v>
      </c>
      <c r="C18" s="81">
        <v>504127311.31999999</v>
      </c>
      <c r="D18" s="82"/>
      <c r="E18" s="74"/>
      <c r="F18" s="75"/>
      <c r="G18" s="70"/>
      <c r="H18" s="70"/>
      <c r="I18" s="70"/>
    </row>
    <row r="19" spans="1:9" ht="13.8" x14ac:dyDescent="0.25">
      <c r="A19" s="57">
        <f t="shared" si="0"/>
        <v>10</v>
      </c>
      <c r="B19" s="83" t="s">
        <v>248</v>
      </c>
      <c r="C19" s="81">
        <v>17310751.739999998</v>
      </c>
      <c r="D19" s="84"/>
      <c r="E19" s="74"/>
      <c r="F19" s="75"/>
      <c r="G19" s="70"/>
      <c r="H19" s="70"/>
      <c r="I19" s="70"/>
    </row>
    <row r="20" spans="1:9" ht="13.8" x14ac:dyDescent="0.25">
      <c r="A20" s="57">
        <f t="shared" si="0"/>
        <v>11</v>
      </c>
      <c r="B20" s="83" t="s">
        <v>249</v>
      </c>
      <c r="C20" s="85"/>
      <c r="D20" s="86">
        <f>+C18-C19</f>
        <v>486816559.57999998</v>
      </c>
      <c r="E20" s="74"/>
      <c r="F20" s="75"/>
      <c r="G20" s="70"/>
      <c r="H20" s="70"/>
      <c r="I20" s="70"/>
    </row>
    <row r="21" spans="1:9" ht="13.8" x14ac:dyDescent="0.25">
      <c r="A21" s="57">
        <f t="shared" si="0"/>
        <v>12</v>
      </c>
      <c r="B21" s="87" t="s">
        <v>250</v>
      </c>
      <c r="C21" s="88"/>
      <c r="D21" s="151">
        <f>D17/D20</f>
        <v>0.13002844450199466</v>
      </c>
      <c r="E21" s="74"/>
      <c r="F21" s="75"/>
      <c r="G21" s="70"/>
      <c r="H21" s="70"/>
      <c r="I21" s="70"/>
    </row>
    <row r="22" spans="1:9" ht="13.8" x14ac:dyDescent="0.25">
      <c r="A22" s="57">
        <f t="shared" si="0"/>
        <v>13</v>
      </c>
      <c r="B22" s="89"/>
      <c r="C22" s="90" t="s">
        <v>47</v>
      </c>
      <c r="D22" s="91"/>
      <c r="E22" s="74"/>
      <c r="F22" s="75"/>
      <c r="G22" s="70"/>
      <c r="H22" s="70"/>
      <c r="I22" s="70"/>
    </row>
    <row r="23" spans="1:9" ht="13.8" x14ac:dyDescent="0.25">
      <c r="A23" s="57">
        <f t="shared" si="0"/>
        <v>14</v>
      </c>
      <c r="B23" s="157" t="s">
        <v>251</v>
      </c>
      <c r="C23" s="158"/>
      <c r="D23" s="159"/>
      <c r="E23" s="74"/>
      <c r="F23" s="75"/>
      <c r="G23" s="70"/>
      <c r="H23" s="70"/>
      <c r="I23" s="70"/>
    </row>
    <row r="24" spans="1:9" ht="13.8" x14ac:dyDescent="0.25">
      <c r="A24" s="57">
        <f t="shared" si="0"/>
        <v>15</v>
      </c>
      <c r="B24" s="78" t="s">
        <v>252</v>
      </c>
      <c r="C24" s="92"/>
      <c r="D24" s="80">
        <v>994907267</v>
      </c>
      <c r="E24" s="74"/>
      <c r="F24" s="75"/>
      <c r="G24" s="70"/>
      <c r="H24" s="70"/>
      <c r="I24" s="70"/>
    </row>
    <row r="25" spans="1:9" ht="13.8" x14ac:dyDescent="0.25">
      <c r="A25" s="57">
        <f t="shared" si="0"/>
        <v>16</v>
      </c>
      <c r="B25" s="155" t="s">
        <v>253</v>
      </c>
      <c r="C25" s="156"/>
      <c r="D25" s="86">
        <f>49480874+14439259+404977+1907610</f>
        <v>66232720</v>
      </c>
      <c r="E25" s="74"/>
      <c r="F25" s="75"/>
      <c r="G25" s="70"/>
      <c r="H25" s="70"/>
      <c r="I25" s="70"/>
    </row>
    <row r="26" spans="1:9" ht="13.8" x14ac:dyDescent="0.25">
      <c r="A26" s="57">
        <f t="shared" si="0"/>
        <v>17</v>
      </c>
      <c r="B26" s="78" t="s">
        <v>254</v>
      </c>
      <c r="C26" s="92"/>
      <c r="D26" s="93">
        <f>D25/D24</f>
        <v>6.6571752159088407E-2</v>
      </c>
      <c r="E26" s="74"/>
      <c r="F26" s="75"/>
      <c r="G26" s="70"/>
      <c r="H26" s="70"/>
      <c r="I26" s="70"/>
    </row>
    <row r="27" spans="1:9" ht="13.8" x14ac:dyDescent="0.25">
      <c r="A27" s="57">
        <f t="shared" si="0"/>
        <v>18</v>
      </c>
      <c r="B27" s="78" t="s">
        <v>255</v>
      </c>
      <c r="C27" s="92"/>
      <c r="D27" s="86">
        <v>6166331</v>
      </c>
      <c r="E27" s="74"/>
      <c r="F27" s="75"/>
      <c r="G27" s="70"/>
      <c r="H27" s="70"/>
      <c r="I27" s="70"/>
    </row>
    <row r="28" spans="1:9" ht="13.8" x14ac:dyDescent="0.25">
      <c r="A28" s="57">
        <f t="shared" si="0"/>
        <v>19</v>
      </c>
      <c r="B28" s="78" t="s">
        <v>256</v>
      </c>
      <c r="C28" s="92"/>
      <c r="D28" s="93">
        <f>D27/D24</f>
        <v>6.1978952255456786E-3</v>
      </c>
      <c r="E28" s="74"/>
      <c r="F28" s="75"/>
      <c r="G28" s="70"/>
      <c r="H28" s="70"/>
      <c r="I28" s="70"/>
    </row>
    <row r="29" spans="1:9" ht="13.8" x14ac:dyDescent="0.25">
      <c r="A29" s="57">
        <f t="shared" si="0"/>
        <v>20</v>
      </c>
      <c r="B29" s="87" t="s">
        <v>257</v>
      </c>
      <c r="C29" s="88"/>
      <c r="D29" s="151">
        <f>D26+D28</f>
        <v>7.2769647384634081E-2</v>
      </c>
      <c r="E29" s="74"/>
      <c r="F29" s="75"/>
      <c r="G29" s="70"/>
      <c r="H29" s="70"/>
      <c r="I29" s="70"/>
    </row>
    <row r="30" spans="1:9" ht="13.8" x14ac:dyDescent="0.25">
      <c r="A30" s="57">
        <f t="shared" si="0"/>
        <v>21</v>
      </c>
      <c r="D30" s="94">
        <f>SUM(D21*(1+D29))</f>
        <v>0.13949056855837727</v>
      </c>
    </row>
    <row r="31" spans="1:9" ht="13.8" x14ac:dyDescent="0.25">
      <c r="A31" s="57">
        <f t="shared" si="0"/>
        <v>22</v>
      </c>
      <c r="B31" s="157" t="s">
        <v>258</v>
      </c>
      <c r="C31" s="158"/>
      <c r="D31" s="159"/>
    </row>
    <row r="32" spans="1:9" ht="52.8" x14ac:dyDescent="0.25">
      <c r="A32" s="57">
        <f t="shared" si="0"/>
        <v>23</v>
      </c>
      <c r="B32" s="78"/>
      <c r="C32" s="95" t="s">
        <v>259</v>
      </c>
      <c r="D32" s="96" t="s">
        <v>260</v>
      </c>
    </row>
    <row r="33" spans="1:9" ht="13.8" x14ac:dyDescent="0.25">
      <c r="A33" s="57">
        <f t="shared" si="0"/>
        <v>24</v>
      </c>
      <c r="B33" s="78" t="s">
        <v>261</v>
      </c>
      <c r="C33" s="81">
        <v>112083627</v>
      </c>
      <c r="D33" s="97"/>
    </row>
    <row r="34" spans="1:9" ht="13.8" x14ac:dyDescent="0.25">
      <c r="A34" s="57">
        <f t="shared" si="0"/>
        <v>25</v>
      </c>
      <c r="B34" s="98" t="s">
        <v>262</v>
      </c>
      <c r="C34" s="81"/>
      <c r="D34" s="99"/>
      <c r="F34" s="52" t="s">
        <v>264</v>
      </c>
    </row>
    <row r="35" spans="1:9" ht="13.8" x14ac:dyDescent="0.25">
      <c r="A35" s="57">
        <f t="shared" si="0"/>
        <v>26</v>
      </c>
      <c r="B35" s="100" t="s">
        <v>263</v>
      </c>
      <c r="C35" s="81">
        <v>1637186</v>
      </c>
      <c r="D35" s="99"/>
      <c r="F35" s="52" t="s">
        <v>266</v>
      </c>
    </row>
    <row r="36" spans="1:9" ht="13.8" x14ac:dyDescent="0.25">
      <c r="A36" s="57">
        <f t="shared" si="0"/>
        <v>27</v>
      </c>
      <c r="B36" s="101" t="s">
        <v>265</v>
      </c>
      <c r="C36" s="102">
        <v>23190313</v>
      </c>
      <c r="D36" s="99"/>
    </row>
    <row r="37" spans="1:9" ht="13.8" x14ac:dyDescent="0.25">
      <c r="A37" s="57">
        <f t="shared" si="0"/>
        <v>28</v>
      </c>
      <c r="B37" s="103" t="s">
        <v>267</v>
      </c>
      <c r="C37" s="104">
        <v>7135403</v>
      </c>
      <c r="D37" s="99"/>
    </row>
    <row r="38" spans="1:9" ht="13.8" x14ac:dyDescent="0.25">
      <c r="A38" s="57">
        <f t="shared" si="0"/>
        <v>29</v>
      </c>
      <c r="B38" s="78"/>
      <c r="C38" s="102">
        <f>SUM(C35:C37)</f>
        <v>31962902</v>
      </c>
      <c r="D38" s="82"/>
    </row>
    <row r="39" spans="1:9" ht="13.8" x14ac:dyDescent="0.25">
      <c r="A39" s="57">
        <f t="shared" si="0"/>
        <v>30</v>
      </c>
      <c r="B39" s="78" t="s">
        <v>268</v>
      </c>
      <c r="C39" s="102"/>
      <c r="D39" s="105">
        <f>C38/C33</f>
        <v>0.28517012569552197</v>
      </c>
    </row>
    <row r="40" spans="1:9" ht="13.8" x14ac:dyDescent="0.25">
      <c r="A40" s="57">
        <f t="shared" si="0"/>
        <v>31</v>
      </c>
      <c r="B40" s="106" t="s">
        <v>269</v>
      </c>
      <c r="C40" s="102"/>
      <c r="D40" s="105"/>
    </row>
    <row r="41" spans="1:9" ht="13.8" x14ac:dyDescent="0.25">
      <c r="A41" s="57">
        <f t="shared" si="0"/>
        <v>32</v>
      </c>
      <c r="B41" s="100" t="s">
        <v>267</v>
      </c>
      <c r="C41" s="102">
        <f>+C37</f>
        <v>7135403</v>
      </c>
      <c r="D41" s="82"/>
    </row>
    <row r="42" spans="1:9" ht="76.5" customHeight="1" x14ac:dyDescent="0.25">
      <c r="A42" s="57">
        <f t="shared" si="0"/>
        <v>33</v>
      </c>
      <c r="B42" s="78" t="s">
        <v>270</v>
      </c>
      <c r="C42" s="107"/>
      <c r="D42" s="105">
        <f>C41/C33</f>
        <v>6.3661421306432209E-2</v>
      </c>
      <c r="F42" s="154" t="s">
        <v>272</v>
      </c>
      <c r="G42" s="154"/>
      <c r="H42" s="154"/>
      <c r="I42" s="154"/>
    </row>
    <row r="43" spans="1:9" ht="13.8" x14ac:dyDescent="0.25">
      <c r="A43" s="57">
        <f t="shared" si="0"/>
        <v>34</v>
      </c>
      <c r="B43" s="78" t="s">
        <v>271</v>
      </c>
      <c r="C43" s="108">
        <f>0.0666+0.1061+0.0062</f>
        <v>0.17890000000000003</v>
      </c>
      <c r="D43" s="105"/>
    </row>
    <row r="44" spans="1:9" ht="13.8" x14ac:dyDescent="0.25">
      <c r="A44" s="57">
        <f t="shared" si="0"/>
        <v>35</v>
      </c>
      <c r="B44" s="78" t="s">
        <v>273</v>
      </c>
      <c r="C44" s="102">
        <f>C41*C43</f>
        <v>1276523.5967000001</v>
      </c>
      <c r="D44" s="82"/>
    </row>
    <row r="45" spans="1:9" ht="13.8" x14ac:dyDescent="0.25">
      <c r="A45" s="57">
        <f t="shared" si="0"/>
        <v>36</v>
      </c>
      <c r="B45" s="78" t="s">
        <v>274</v>
      </c>
      <c r="C45" s="109"/>
      <c r="D45" s="105">
        <f>C44/C33</f>
        <v>1.1389028271720723E-2</v>
      </c>
    </row>
    <row r="46" spans="1:9" ht="102" customHeight="1" x14ac:dyDescent="0.25">
      <c r="A46" s="57">
        <f t="shared" si="0"/>
        <v>37</v>
      </c>
      <c r="B46" s="106" t="s">
        <v>275</v>
      </c>
      <c r="C46" s="109"/>
      <c r="D46" s="105"/>
      <c r="F46" s="154" t="s">
        <v>276</v>
      </c>
      <c r="G46" s="154"/>
      <c r="H46" s="154"/>
      <c r="I46" s="154"/>
    </row>
    <row r="47" spans="1:9" ht="13.8" x14ac:dyDescent="0.25">
      <c r="A47" s="57">
        <f t="shared" si="0"/>
        <v>38</v>
      </c>
      <c r="B47" s="100" t="s">
        <v>267</v>
      </c>
      <c r="C47" s="102">
        <f>+C41</f>
        <v>7135403</v>
      </c>
      <c r="D47" s="105"/>
    </row>
    <row r="48" spans="1:9" ht="13.8" x14ac:dyDescent="0.25">
      <c r="A48" s="57">
        <f t="shared" si="0"/>
        <v>39</v>
      </c>
      <c r="B48" s="100" t="s">
        <v>277</v>
      </c>
      <c r="C48" s="108">
        <v>0</v>
      </c>
      <c r="D48" s="105"/>
    </row>
    <row r="49" spans="1:4" ht="13.8" x14ac:dyDescent="0.25">
      <c r="A49" s="57">
        <f t="shared" si="0"/>
        <v>40</v>
      </c>
      <c r="B49" s="100" t="s">
        <v>278</v>
      </c>
      <c r="C49" s="102">
        <f>C47*C48</f>
        <v>0</v>
      </c>
      <c r="D49" s="105"/>
    </row>
    <row r="50" spans="1:4" ht="13.8" x14ac:dyDescent="0.25">
      <c r="A50" s="57">
        <f t="shared" si="0"/>
        <v>41</v>
      </c>
      <c r="B50" s="100" t="s">
        <v>279</v>
      </c>
      <c r="C50" s="110">
        <f>+D21</f>
        <v>0.13002844450199466</v>
      </c>
      <c r="D50" s="105"/>
    </row>
    <row r="51" spans="1:4" ht="13.8" x14ac:dyDescent="0.25">
      <c r="A51" s="57">
        <f t="shared" si="0"/>
        <v>42</v>
      </c>
      <c r="B51" s="100" t="s">
        <v>280</v>
      </c>
      <c r="C51" s="102">
        <f>C49*C50</f>
        <v>0</v>
      </c>
      <c r="D51" s="105"/>
    </row>
    <row r="52" spans="1:4" ht="13.8" x14ac:dyDescent="0.25">
      <c r="A52" s="57">
        <f t="shared" si="0"/>
        <v>43</v>
      </c>
      <c r="B52" s="100" t="s">
        <v>281</v>
      </c>
      <c r="C52" s="108">
        <f>0.0666+0.0062</f>
        <v>7.2800000000000004E-2</v>
      </c>
      <c r="D52" s="105"/>
    </row>
    <row r="53" spans="1:4" ht="13.8" x14ac:dyDescent="0.25">
      <c r="A53" s="57">
        <f t="shared" si="0"/>
        <v>44</v>
      </c>
      <c r="B53" s="100" t="s">
        <v>282</v>
      </c>
      <c r="C53" s="102">
        <f>C51*C52</f>
        <v>0</v>
      </c>
      <c r="D53" s="105"/>
    </row>
    <row r="54" spans="1:4" ht="13.8" x14ac:dyDescent="0.25">
      <c r="A54" s="57">
        <f t="shared" si="0"/>
        <v>45</v>
      </c>
      <c r="B54" s="100" t="s">
        <v>283</v>
      </c>
      <c r="C54" s="102">
        <f>C49*C50*(1+C52)</f>
        <v>0</v>
      </c>
      <c r="D54" s="82"/>
    </row>
    <row r="55" spans="1:4" ht="13.8" x14ac:dyDescent="0.25">
      <c r="A55" s="57">
        <f t="shared" si="0"/>
        <v>46</v>
      </c>
      <c r="B55" s="100" t="s">
        <v>284</v>
      </c>
      <c r="C55" s="102"/>
      <c r="D55" s="105">
        <f>C54/C33</f>
        <v>0</v>
      </c>
    </row>
    <row r="56" spans="1:4" ht="13.8" x14ac:dyDescent="0.25">
      <c r="A56" s="57">
        <f t="shared" si="0"/>
        <v>47</v>
      </c>
      <c r="B56" s="87" t="s">
        <v>285</v>
      </c>
      <c r="C56" s="111"/>
      <c r="D56" s="152">
        <f>SUM(D35:D55)</f>
        <v>0.3602205752736749</v>
      </c>
    </row>
  </sheetData>
  <mergeCells count="10">
    <mergeCell ref="F42:I42"/>
    <mergeCell ref="F46:I46"/>
    <mergeCell ref="B25:C25"/>
    <mergeCell ref="B31:D31"/>
    <mergeCell ref="A4:I4"/>
    <mergeCell ref="A5:I5"/>
    <mergeCell ref="A6:I6"/>
    <mergeCell ref="B9:I9"/>
    <mergeCell ref="B16:D16"/>
    <mergeCell ref="B23:D23"/>
  </mergeCells>
  <pageMargins left="0.72" right="0.26" top="1" bottom="1" header="0.5" footer="0.5"/>
  <pageSetup scale="71" orientation="portrait" r:id="rId1"/>
  <headerFooter alignWithMargins="0">
    <oddHeader>&amp;REXHIBIT B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L72"/>
  <sheetViews>
    <sheetView zoomScale="80" zoomScaleNormal="80" zoomScaleSheetLayoutView="85" workbookViewId="0">
      <selection sqref="A1:A2"/>
    </sheetView>
  </sheetViews>
  <sheetFormatPr defaultRowHeight="13.2" x14ac:dyDescent="0.25"/>
  <cols>
    <col min="1" max="1" width="14.109375" style="12" customWidth="1"/>
    <col min="2" max="2" width="3.33203125" customWidth="1"/>
    <col min="3" max="3" width="25.6640625" customWidth="1"/>
    <col min="4" max="4" width="32.44140625" bestFit="1" customWidth="1"/>
    <col min="5" max="5" width="16.109375" customWidth="1"/>
    <col min="6" max="8" width="21" customWidth="1"/>
    <col min="10" max="10" width="16.33203125" bestFit="1" customWidth="1"/>
    <col min="11" max="11" width="13.44140625" bestFit="1" customWidth="1"/>
    <col min="12" max="12" width="14" bestFit="1" customWidth="1"/>
  </cols>
  <sheetData>
    <row r="1" spans="1:9" x14ac:dyDescent="0.25">
      <c r="A1" s="164" t="s">
        <v>324</v>
      </c>
      <c r="B1" s="165"/>
    </row>
    <row r="2" spans="1:9" x14ac:dyDescent="0.25">
      <c r="A2" s="164" t="s">
        <v>323</v>
      </c>
      <c r="B2" s="165"/>
    </row>
    <row r="4" spans="1:9" ht="13.8" x14ac:dyDescent="0.25">
      <c r="A4" s="1" t="s">
        <v>0</v>
      </c>
    </row>
    <row r="5" spans="1:9" ht="13.8" x14ac:dyDescent="0.25">
      <c r="A5" s="1"/>
    </row>
    <row r="6" spans="1:9" ht="13.8" x14ac:dyDescent="0.25">
      <c r="A6" s="1"/>
    </row>
    <row r="7" spans="1:9" s="3" customFormat="1" x14ac:dyDescent="0.25">
      <c r="A7" s="2" t="s">
        <v>1</v>
      </c>
      <c r="D7" s="4" t="s">
        <v>2</v>
      </c>
      <c r="E7" s="4" t="s">
        <v>3</v>
      </c>
    </row>
    <row r="8" spans="1:9" ht="13.8" x14ac:dyDescent="0.25">
      <c r="A8" s="1"/>
      <c r="B8" s="5" t="s">
        <v>4</v>
      </c>
      <c r="D8" s="6">
        <f>G17</f>
        <v>7.9513728467851514</v>
      </c>
      <c r="E8" s="7" t="s">
        <v>5</v>
      </c>
    </row>
    <row r="9" spans="1:9" ht="13.8" x14ac:dyDescent="0.25">
      <c r="A9" s="1"/>
      <c r="B9" s="5" t="s">
        <v>6</v>
      </c>
      <c r="D9" s="6">
        <f>G23</f>
        <v>0.57323412585465816</v>
      </c>
      <c r="E9" s="7" t="s">
        <v>5</v>
      </c>
    </row>
    <row r="10" spans="1:9" ht="13.8" x14ac:dyDescent="0.25">
      <c r="A10" s="1"/>
      <c r="B10" s="5" t="s">
        <v>7</v>
      </c>
      <c r="C10" s="37"/>
      <c r="D10" s="117">
        <f>G29</f>
        <v>3.4272526288006655</v>
      </c>
      <c r="E10" s="7" t="s">
        <v>8</v>
      </c>
    </row>
    <row r="11" spans="1:9" ht="13.8" x14ac:dyDescent="0.25">
      <c r="A11" s="1"/>
    </row>
    <row r="12" spans="1:9" ht="13.8" x14ac:dyDescent="0.25">
      <c r="A12" s="1"/>
      <c r="C12" s="8" t="s">
        <v>9</v>
      </c>
      <c r="D12" s="9" t="s">
        <v>10</v>
      </c>
    </row>
    <row r="13" spans="1:9" ht="13.8" x14ac:dyDescent="0.25">
      <c r="A13" s="1"/>
      <c r="C13" s="10" t="s">
        <v>11</v>
      </c>
      <c r="D13" s="137">
        <f>'[1]SYA TRANSACTION VOLUME SUMMARY'!$D$6</f>
        <v>1252771.8089751801</v>
      </c>
    </row>
    <row r="14" spans="1:9" ht="13.8" x14ac:dyDescent="0.25">
      <c r="A14" s="1"/>
      <c r="C14" s="11" t="s">
        <v>12</v>
      </c>
      <c r="D14" s="132">
        <f>'[1]SYA TRANSACTION VOLUME SUMMARY'!$D$28</f>
        <v>832038</v>
      </c>
    </row>
    <row r="15" spans="1:9" x14ac:dyDescent="0.25">
      <c r="D15" s="37"/>
    </row>
    <row r="16" spans="1:9" ht="51.75" customHeight="1" x14ac:dyDescent="0.25">
      <c r="A16" s="12" t="s">
        <v>13</v>
      </c>
      <c r="D16" s="115" t="s">
        <v>319</v>
      </c>
      <c r="E16" s="14" t="s">
        <v>14</v>
      </c>
      <c r="F16" s="14" t="s">
        <v>316</v>
      </c>
      <c r="G16" s="14" t="s">
        <v>15</v>
      </c>
      <c r="H16" s="5"/>
      <c r="I16" s="15"/>
    </row>
    <row r="17" spans="1:9" x14ac:dyDescent="0.25">
      <c r="C17" t="s">
        <v>16</v>
      </c>
      <c r="D17" s="114">
        <f>'[2]Cost per Call updated'!$E$11</f>
        <v>1237306</v>
      </c>
      <c r="E17" s="16">
        <f>$E$53*D20/D17</f>
        <v>8.0507616912090967</v>
      </c>
      <c r="F17" s="17">
        <f>D17/D13</f>
        <v>0.98765472780886421</v>
      </c>
      <c r="G17" s="18">
        <f>F17*E17</f>
        <v>7.9513728467851514</v>
      </c>
      <c r="H17" s="5"/>
      <c r="I17" s="15"/>
    </row>
    <row r="18" spans="1:9" x14ac:dyDescent="0.25">
      <c r="C18" t="s">
        <v>17</v>
      </c>
      <c r="D18" s="114">
        <f>'[2]Cost per Call updated'!$E$12</f>
        <v>476255342</v>
      </c>
      <c r="F18" s="17"/>
      <c r="G18" s="19"/>
      <c r="H18" s="5"/>
      <c r="I18" s="15"/>
    </row>
    <row r="19" spans="1:9" x14ac:dyDescent="0.25">
      <c r="C19" t="s">
        <v>18</v>
      </c>
      <c r="D19" s="114">
        <f>'[2]Cost per Call updated'!$E$6</f>
        <v>2168739865.1673512</v>
      </c>
      <c r="E19" s="16"/>
      <c r="F19" s="17"/>
      <c r="G19" s="19"/>
      <c r="H19" s="5"/>
      <c r="I19" s="15"/>
    </row>
    <row r="20" spans="1:9" x14ac:dyDescent="0.25">
      <c r="C20" t="s">
        <v>19</v>
      </c>
      <c r="D20" s="116">
        <f>D18/D19</f>
        <v>0.21960003117443946</v>
      </c>
      <c r="E20" s="16"/>
      <c r="F20" s="17"/>
      <c r="G20" s="19"/>
      <c r="H20" s="5"/>
      <c r="I20" s="15"/>
    </row>
    <row r="21" spans="1:9" x14ac:dyDescent="0.25">
      <c r="D21" s="116"/>
      <c r="E21" s="16"/>
      <c r="F21" s="17"/>
      <c r="G21" s="19"/>
      <c r="H21" s="5"/>
      <c r="I21" s="15"/>
    </row>
    <row r="22" spans="1:9" x14ac:dyDescent="0.25">
      <c r="A22" s="12" t="s">
        <v>20</v>
      </c>
      <c r="D22" s="115"/>
      <c r="E22" s="14"/>
      <c r="F22" s="21"/>
      <c r="G22" s="22"/>
      <c r="H22" s="5"/>
      <c r="I22" s="15"/>
    </row>
    <row r="23" spans="1:9" x14ac:dyDescent="0.25">
      <c r="C23" t="s">
        <v>16</v>
      </c>
      <c r="D23" s="114">
        <f>'[2]Cost per Call updated'!$E$15</f>
        <v>128538</v>
      </c>
      <c r="E23" s="16">
        <f>$E$53*D26/D23</f>
        <v>5.5869202322523002</v>
      </c>
      <c r="F23" s="17">
        <f>D23/D13</f>
        <v>0.10260288352525228</v>
      </c>
      <c r="G23" s="18">
        <f>F23*E23</f>
        <v>0.57323412585465816</v>
      </c>
      <c r="H23" s="5"/>
      <c r="I23" s="15"/>
    </row>
    <row r="24" spans="1:9" x14ac:dyDescent="0.25">
      <c r="C24" t="s">
        <v>17</v>
      </c>
      <c r="D24" s="114">
        <f>'[2]Cost per Call updated'!$E$16</f>
        <v>34334425</v>
      </c>
      <c r="F24" s="17"/>
      <c r="G24" s="19"/>
      <c r="H24" s="23"/>
      <c r="I24" s="15"/>
    </row>
    <row r="25" spans="1:9" x14ac:dyDescent="0.25">
      <c r="C25" t="s">
        <v>18</v>
      </c>
      <c r="D25" s="114">
        <f>'[2]Cost per Call updated'!$E$6</f>
        <v>2168739865.1673512</v>
      </c>
      <c r="E25" s="16"/>
      <c r="F25" s="17"/>
      <c r="G25" s="19"/>
      <c r="H25" s="23"/>
      <c r="I25" s="15"/>
    </row>
    <row r="26" spans="1:9" x14ac:dyDescent="0.25">
      <c r="C26" t="s">
        <v>19</v>
      </c>
      <c r="D26" s="20">
        <f>D24/D25</f>
        <v>1.5831509141070073E-2</v>
      </c>
      <c r="E26" s="16"/>
      <c r="F26" s="17"/>
      <c r="G26" s="19"/>
      <c r="H26" s="23"/>
      <c r="I26" s="15"/>
    </row>
    <row r="27" spans="1:9" x14ac:dyDescent="0.25">
      <c r="D27" s="20"/>
      <c r="E27" s="16"/>
      <c r="F27" s="17"/>
      <c r="G27" s="19"/>
      <c r="H27" s="24"/>
      <c r="I27" s="15"/>
    </row>
    <row r="28" spans="1:9" x14ac:dyDescent="0.25">
      <c r="A28" s="12" t="s">
        <v>320</v>
      </c>
      <c r="D28" s="13"/>
      <c r="E28" s="14"/>
      <c r="F28" s="21"/>
      <c r="G28" s="25"/>
      <c r="I28" s="15"/>
    </row>
    <row r="29" spans="1:9" x14ac:dyDescent="0.25">
      <c r="C29" s="37" t="s">
        <v>16</v>
      </c>
      <c r="D29" s="114">
        <f>'[3]12 Month Rolling'!$N$4</f>
        <v>420646</v>
      </c>
      <c r="E29" s="16">
        <f>$E$53*D32/D29</f>
        <v>6.7791074270575455</v>
      </c>
      <c r="F29" s="17">
        <f>D29/D14</f>
        <v>0.5055610440869287</v>
      </c>
      <c r="G29" s="18">
        <f>F29*E29</f>
        <v>3.4272526288006655</v>
      </c>
      <c r="I29" s="15"/>
    </row>
    <row r="30" spans="1:9" x14ac:dyDescent="0.25">
      <c r="C30" s="37" t="s">
        <v>17</v>
      </c>
      <c r="D30" s="114">
        <f>'[3]12 Month Rolling'!$N$4*'[3]12 Month Rolling'!$N$6</f>
        <v>136337413.10967487</v>
      </c>
      <c r="F30" s="17"/>
      <c r="G30" s="6"/>
      <c r="I30" s="15"/>
    </row>
    <row r="31" spans="1:9" x14ac:dyDescent="0.25">
      <c r="C31" t="s">
        <v>18</v>
      </c>
      <c r="D31" s="114">
        <f>'[2]Cost per Call updated'!$E$6</f>
        <v>2168739865.1673512</v>
      </c>
      <c r="E31" s="16"/>
      <c r="F31" s="17"/>
      <c r="G31" s="6"/>
      <c r="I31" s="15"/>
    </row>
    <row r="32" spans="1:9" x14ac:dyDescent="0.25">
      <c r="C32" t="s">
        <v>19</v>
      </c>
      <c r="D32" s="20">
        <f>D30/D31</f>
        <v>6.2864807024310576E-2</v>
      </c>
      <c r="E32" s="16"/>
      <c r="F32" s="6"/>
      <c r="G32" s="6"/>
      <c r="H32" s="15"/>
      <c r="I32" s="15"/>
    </row>
    <row r="33" spans="1:10" x14ac:dyDescent="0.25">
      <c r="D33" s="20"/>
      <c r="E33" s="6"/>
      <c r="F33" s="6"/>
      <c r="H33" s="149"/>
      <c r="I33" s="15"/>
    </row>
    <row r="34" spans="1:10" ht="13.8" thickBot="1" x14ac:dyDescent="0.3">
      <c r="A34" s="26" t="s">
        <v>21</v>
      </c>
      <c r="B34" s="27"/>
      <c r="C34" s="27"/>
      <c r="D34" s="28"/>
      <c r="E34" s="27"/>
      <c r="F34" s="27"/>
      <c r="G34" s="27"/>
      <c r="H34" s="27"/>
    </row>
    <row r="35" spans="1:10" ht="39.6" x14ac:dyDescent="0.25">
      <c r="E35" s="130" t="s">
        <v>321</v>
      </c>
      <c r="F35" s="130" t="s">
        <v>22</v>
      </c>
      <c r="G35" s="130" t="s">
        <v>23</v>
      </c>
      <c r="H35" s="130" t="s">
        <v>24</v>
      </c>
    </row>
    <row r="36" spans="1:10" x14ac:dyDescent="0.25">
      <c r="B36" t="s">
        <v>26</v>
      </c>
      <c r="D36" s="112"/>
      <c r="E36" s="112">
        <f>SUM('BUDGET DATA'!E10,'BUDGET DATA'!E14)</f>
        <v>6507122.3600000003</v>
      </c>
      <c r="F36" s="51">
        <f>($D$20*E36)/$D$17</f>
        <v>1.1548996554707502</v>
      </c>
      <c r="G36" s="51">
        <f>($D$26*E36)/$D$23</f>
        <v>0.8014561228928524</v>
      </c>
      <c r="H36" s="51">
        <f>($D$32*E36)/$D$29</f>
        <v>0.97247802533478611</v>
      </c>
    </row>
    <row r="37" spans="1:10" x14ac:dyDescent="0.25">
      <c r="B37" t="s">
        <v>25</v>
      </c>
      <c r="D37" s="112"/>
      <c r="E37" s="112">
        <f>SUM('BUDGET DATA'!E11,'BUDGET DATA'!E15)</f>
        <v>8779689.9900000002</v>
      </c>
      <c r="F37" s="51">
        <f>($D$20*E37)/$D$17</f>
        <v>1.5582403993077816</v>
      </c>
      <c r="G37" s="51">
        <f t="shared" ref="G37:G38" si="0">($D$26*E37)/$D$23</f>
        <v>1.0813591492978452</v>
      </c>
      <c r="H37" s="51">
        <f t="shared" ref="H37:H38" si="1">($D$32*E37)/$D$29</f>
        <v>1.3121092722969463</v>
      </c>
    </row>
    <row r="38" spans="1:10" x14ac:dyDescent="0.25">
      <c r="B38" t="s">
        <v>286</v>
      </c>
      <c r="D38" s="113"/>
      <c r="E38" s="113">
        <f>'BUDGET DATA'!E25</f>
        <v>85993.25</v>
      </c>
      <c r="F38" s="31">
        <f>($D$20*E38)/$D$17</f>
        <v>1.5262287890619916E-2</v>
      </c>
      <c r="G38" s="31">
        <f t="shared" si="0"/>
        <v>1.059144317980149E-2</v>
      </c>
      <c r="H38" s="31">
        <f t="shared" si="1"/>
        <v>1.2851540408427266E-2</v>
      </c>
    </row>
    <row r="39" spans="1:10" ht="17.25" customHeight="1" x14ac:dyDescent="0.25">
      <c r="B39" s="12" t="s">
        <v>27</v>
      </c>
      <c r="C39" s="12"/>
      <c r="E39" s="32">
        <f>SUM(E36:E38)</f>
        <v>15372805.600000001</v>
      </c>
      <c r="F39" s="33">
        <f t="shared" ref="F39:H39" si="2">SUM(F36:F38)</f>
        <v>2.7284023426691522</v>
      </c>
      <c r="G39" s="33">
        <f t="shared" si="2"/>
        <v>1.893406715370499</v>
      </c>
      <c r="H39" s="33">
        <f t="shared" si="2"/>
        <v>2.2974388380401596</v>
      </c>
    </row>
    <row r="40" spans="1:10" x14ac:dyDescent="0.25">
      <c r="B40" s="12"/>
      <c r="C40" s="12"/>
      <c r="D40" s="34" t="s">
        <v>28</v>
      </c>
      <c r="E40" s="32"/>
      <c r="F40" s="33"/>
      <c r="G40" s="33"/>
      <c r="H40" s="33"/>
    </row>
    <row r="41" spans="1:10" x14ac:dyDescent="0.25">
      <c r="C41" s="5" t="s">
        <v>30</v>
      </c>
      <c r="D41" s="35">
        <f>EXEMPT_PWTI</f>
        <v>0.17774261411690792</v>
      </c>
      <c r="E41" s="29">
        <f>$E$36*D41</f>
        <v>1156592.9386449833</v>
      </c>
      <c r="F41" s="30">
        <f t="shared" ref="F41:F47" si="3">($D$20*E41)/$D$17</f>
        <v>0.20527488380608749</v>
      </c>
      <c r="G41" s="30">
        <f t="shared" ref="G41:G47" si="4">($D$26*E41)/$D$23</f>
        <v>0.14245290638297742</v>
      </c>
      <c r="H41" s="30">
        <f t="shared" ref="H41:H47" si="5">($D$32*E41)/$D$29</f>
        <v>0.17285078639425352</v>
      </c>
    </row>
    <row r="42" spans="1:10" x14ac:dyDescent="0.25">
      <c r="C42" t="s">
        <v>31</v>
      </c>
      <c r="D42" s="35">
        <f>PERP</f>
        <v>0.13002844450199466</v>
      </c>
      <c r="E42" s="29">
        <f>$E$36*D42</f>
        <v>846110.99865494855</v>
      </c>
      <c r="F42" s="30">
        <f t="shared" si="3"/>
        <v>0.15016980575675121</v>
      </c>
      <c r="G42" s="30">
        <f t="shared" si="4"/>
        <v>0.10421209299635709</v>
      </c>
      <c r="H42" s="30">
        <f t="shared" si="5"/>
        <v>0.12644980494665359</v>
      </c>
    </row>
    <row r="43" spans="1:10" s="37" customFormat="1" x14ac:dyDescent="0.25">
      <c r="A43" s="36"/>
      <c r="C43" s="37" t="s">
        <v>32</v>
      </c>
      <c r="D43" s="38">
        <f>TAXES_INSURANCE_PERP_2017</f>
        <v>7.2769647384634081E-2</v>
      </c>
      <c r="E43" s="39">
        <f>E42*D43</f>
        <v>61571.199020381209</v>
      </c>
      <c r="F43" s="40">
        <f t="shared" si="3"/>
        <v>1.092780381273778E-2</v>
      </c>
      <c r="G43" s="40">
        <f t="shared" si="4"/>
        <v>7.583477260559599E-3</v>
      </c>
      <c r="H43" s="40">
        <f t="shared" si="5"/>
        <v>9.2017077178237396E-3</v>
      </c>
    </row>
    <row r="44" spans="1:10" x14ac:dyDescent="0.25">
      <c r="C44" s="5" t="s">
        <v>29</v>
      </c>
      <c r="D44" s="35">
        <f>NON_EXEMPT_PWTI</f>
        <v>0.26954139889857331</v>
      </c>
      <c r="E44" s="29">
        <f>E37*D44</f>
        <v>2366489.9218004011</v>
      </c>
      <c r="F44" s="30">
        <f t="shared" si="3"/>
        <v>0.42001029704969095</v>
      </c>
      <c r="G44" s="30">
        <f t="shared" si="4"/>
        <v>0.29147105781351235</v>
      </c>
      <c r="H44" s="30">
        <f t="shared" si="5"/>
        <v>0.35366776876270789</v>
      </c>
    </row>
    <row r="45" spans="1:10" x14ac:dyDescent="0.25">
      <c r="C45" s="5" t="s">
        <v>33</v>
      </c>
      <c r="D45" s="35">
        <f>CORPORATE_AG_2017</f>
        <v>0.3602205752736749</v>
      </c>
      <c r="E45" s="29">
        <f>SUM(E36:E38,E49)*D45</f>
        <v>8975473.664491931</v>
      </c>
      <c r="F45" s="30">
        <f t="shared" si="3"/>
        <v>1.5929885545918216</v>
      </c>
      <c r="G45" s="30">
        <f t="shared" si="4"/>
        <v>1.1054730380497417</v>
      </c>
      <c r="H45" s="30">
        <f t="shared" si="5"/>
        <v>1.3413687991091485</v>
      </c>
      <c r="J45" s="15"/>
    </row>
    <row r="46" spans="1:10" x14ac:dyDescent="0.25">
      <c r="C46" s="133" t="s">
        <v>34</v>
      </c>
      <c r="D46" s="38">
        <f>'[1]CUSTOMER SUPPORT'!$K$54</f>
        <v>9.6081350345543881E-2</v>
      </c>
      <c r="E46" s="39">
        <f>SUM(E36:E38,E49)*D46</f>
        <v>2394021.0217588716</v>
      </c>
      <c r="F46" s="40">
        <f t="shared" si="3"/>
        <v>0.42489658258386498</v>
      </c>
      <c r="G46" s="40">
        <f t="shared" si="4"/>
        <v>0.29486195280687028</v>
      </c>
      <c r="H46" s="40">
        <f t="shared" si="5"/>
        <v>0.35778224337094444</v>
      </c>
    </row>
    <row r="47" spans="1:10" x14ac:dyDescent="0.25">
      <c r="C47" s="133" t="s">
        <v>35</v>
      </c>
      <c r="D47" s="134" t="s">
        <v>36</v>
      </c>
      <c r="E47" s="113">
        <v>346652.40226979979</v>
      </c>
      <c r="F47" s="135">
        <f t="shared" si="3"/>
        <v>6.1524698292210953E-2</v>
      </c>
      <c r="G47" s="135">
        <f t="shared" si="4"/>
        <v>4.2695783933997998E-2</v>
      </c>
      <c r="H47" s="135">
        <f t="shared" si="5"/>
        <v>5.180659360413422E-2</v>
      </c>
    </row>
    <row r="48" spans="1:10" ht="20.25" customHeight="1" x14ac:dyDescent="0.25">
      <c r="B48" s="12" t="s">
        <v>37</v>
      </c>
      <c r="C48" s="12"/>
      <c r="D48" s="12"/>
      <c r="E48" s="41">
        <f>SUM(E39:E47)</f>
        <v>31519717.746641316</v>
      </c>
      <c r="F48" s="42">
        <f>SUM(F39:F47)</f>
        <v>5.5941949685623173</v>
      </c>
      <c r="G48" s="42">
        <f>SUM(G39:G47)</f>
        <v>3.8821570246145156</v>
      </c>
      <c r="H48" s="42">
        <f>SUM(H39:H47)</f>
        <v>4.7105665419458251</v>
      </c>
    </row>
    <row r="49" spans="2:12" x14ac:dyDescent="0.25">
      <c r="B49" s="5" t="s">
        <v>38</v>
      </c>
      <c r="D49" s="39"/>
      <c r="E49" s="39">
        <f>'BUDGET DATA'!E67</f>
        <v>9543799.0600000005</v>
      </c>
      <c r="F49" s="30">
        <f t="shared" ref="F49:F52" si="6">($D$20*E49)/$D$17</f>
        <v>1.6938563064420491</v>
      </c>
      <c r="G49" s="30">
        <f t="shared" ref="G49:G52" si="7">($D$26*E49)/$D$23</f>
        <v>1.1754713941318986</v>
      </c>
      <c r="H49" s="30">
        <f t="shared" ref="H49:H52" si="8">($D$32*E49)/$D$29</f>
        <v>1.4263040328107166</v>
      </c>
    </row>
    <row r="50" spans="2:12" x14ac:dyDescent="0.25">
      <c r="B50" s="5" t="s">
        <v>39</v>
      </c>
      <c r="E50" s="39">
        <f>'BUDGET DATA'!E51</f>
        <v>34680.94</v>
      </c>
      <c r="F50" s="30">
        <f t="shared" si="6"/>
        <v>6.1552562625242788E-3</v>
      </c>
      <c r="G50" s="30">
        <f t="shared" si="7"/>
        <v>4.2715120713789139E-3</v>
      </c>
      <c r="H50" s="30">
        <f t="shared" si="8"/>
        <v>5.1830056639589912E-3</v>
      </c>
      <c r="J50" s="43"/>
      <c r="K50" s="44"/>
      <c r="L50" s="45"/>
    </row>
    <row r="51" spans="2:12" ht="15" customHeight="1" x14ac:dyDescent="0.25">
      <c r="B51" s="5" t="s">
        <v>40</v>
      </c>
      <c r="E51" s="39">
        <f>'BUDGET DATA'!E77</f>
        <v>6936.58</v>
      </c>
      <c r="F51" s="30">
        <f t="shared" si="6"/>
        <v>1.2311208256033618E-3</v>
      </c>
      <c r="G51" s="30">
        <f t="shared" si="7"/>
        <v>8.543506953411741E-4</v>
      </c>
      <c r="H51" s="30">
        <f t="shared" si="8"/>
        <v>1.0366597165043581E-3</v>
      </c>
      <c r="J51" s="43"/>
      <c r="K51" s="44"/>
      <c r="L51" s="45"/>
    </row>
    <row r="52" spans="2:12" x14ac:dyDescent="0.25">
      <c r="B52" s="5" t="s">
        <v>41</v>
      </c>
      <c r="E52" s="113">
        <f>SUM('BUDGET DATA'!E106,'BUDGET DATA'!E104,'BUDGET DATA'!E102,'BUDGET DATA'!E87,'BUDGET DATA'!E55)-'BUDGET DATA'!E51</f>
        <v>4255768.8199999994</v>
      </c>
      <c r="F52" s="31">
        <f t="shared" si="6"/>
        <v>0.75532403911660284</v>
      </c>
      <c r="G52" s="31">
        <f t="shared" si="7"/>
        <v>0.5241659507391665</v>
      </c>
      <c r="H52" s="31">
        <f t="shared" si="8"/>
        <v>0.63601718692054099</v>
      </c>
      <c r="K52" s="44"/>
    </row>
    <row r="53" spans="2:12" s="12" customFormat="1" ht="18" customHeight="1" x14ac:dyDescent="0.25">
      <c r="B53" s="12" t="s">
        <v>42</v>
      </c>
      <c r="E53" s="41">
        <f>SUM(E48:E52)</f>
        <v>45360903.146641314</v>
      </c>
      <c r="F53" s="46">
        <f>SUM(F48:F52)</f>
        <v>8.0507616912090967</v>
      </c>
      <c r="G53" s="46">
        <f>SUM(G48:G52)</f>
        <v>5.5869202322523019</v>
      </c>
      <c r="H53" s="46">
        <f>SUM(H48:H52)</f>
        <v>6.7791074270575464</v>
      </c>
      <c r="J53" s="42"/>
      <c r="K53" s="44"/>
    </row>
    <row r="54" spans="2:12" ht="13.5" customHeight="1" x14ac:dyDescent="0.25">
      <c r="E54" s="15"/>
      <c r="J54" s="15"/>
      <c r="K54" s="44"/>
    </row>
    <row r="55" spans="2:12" x14ac:dyDescent="0.25">
      <c r="L55" s="20"/>
    </row>
    <row r="58" spans="2:12" x14ac:dyDescent="0.25">
      <c r="D58" s="47" t="s">
        <v>43</v>
      </c>
      <c r="E58" s="48" t="s">
        <v>44</v>
      </c>
      <c r="F58" s="131" t="str">
        <f>CONCATENATE("(",(TEXT($E$53,"$##,#")),")(",TEXT(D20,"0.00%"),")")</f>
        <v>($45,360,903)(21.96%)</v>
      </c>
      <c r="G58" s="131" t="str">
        <f>CONCATENATE("(",(TEXT($E$53,"$##,#")),")(",TEXT(D26,"0.00%"),")")</f>
        <v>($45,360,903)(1.58%)</v>
      </c>
      <c r="H58" s="131" t="str">
        <f>CONCATENATE("(",(TEXT($E$53,"$##,#")),")(",TEXT(D32,"0.00%"),")")</f>
        <v>($45,360,903)(6.29%)</v>
      </c>
    </row>
    <row r="59" spans="2:12" x14ac:dyDescent="0.25">
      <c r="D59" s="48" t="s">
        <v>45</v>
      </c>
      <c r="F59" s="49">
        <f>D17</f>
        <v>1237306</v>
      </c>
      <c r="G59" s="49">
        <f>D23</f>
        <v>128538</v>
      </c>
      <c r="H59" s="49">
        <f>D29</f>
        <v>420646</v>
      </c>
    </row>
    <row r="60" spans="2:12" x14ac:dyDescent="0.25">
      <c r="F60" s="50"/>
    </row>
    <row r="61" spans="2:12" x14ac:dyDescent="0.25">
      <c r="E61" s="5" t="s">
        <v>46</v>
      </c>
      <c r="F61" s="153">
        <f>(E53*D20)/F59</f>
        <v>8.0507616912090967</v>
      </c>
      <c r="G61" s="153">
        <f>(E53*D26)/G59</f>
        <v>5.5869202322523002</v>
      </c>
      <c r="H61" s="153">
        <f>(E53*D32)/H59</f>
        <v>6.7791074270575455</v>
      </c>
    </row>
    <row r="63" spans="2:12" x14ac:dyDescent="0.25">
      <c r="H63" s="15"/>
    </row>
    <row r="70" spans="6:11" x14ac:dyDescent="0.25">
      <c r="F70" s="136"/>
    </row>
    <row r="71" spans="6:11" x14ac:dyDescent="0.25">
      <c r="K71" s="5" t="s">
        <v>47</v>
      </c>
    </row>
    <row r="72" spans="6:11" x14ac:dyDescent="0.25">
      <c r="F72" s="136"/>
    </row>
  </sheetData>
  <printOptions horizontalCentered="1"/>
  <pageMargins left="0.7" right="0.5" top="0.7" bottom="0.5" header="0.3" footer="0.3"/>
  <pageSetup scale="51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/>
    <pageSetUpPr autoPageBreaks="0" fitToPage="1"/>
  </sheetPr>
  <dimension ref="A1:E109"/>
  <sheetViews>
    <sheetView showGridLines="0" workbookViewId="0">
      <pane xSplit="3" ySplit="9" topLeftCell="D10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ColWidth="9.109375" defaultRowHeight="10.199999999999999" x14ac:dyDescent="0.2"/>
  <cols>
    <col min="1" max="1" width="13" style="140" customWidth="1"/>
    <col min="2" max="2" width="30.6640625" style="140" customWidth="1"/>
    <col min="3" max="3" width="25" style="140" bestFit="1" customWidth="1"/>
    <col min="4" max="4" width="39.44140625" style="140" customWidth="1"/>
    <col min="5" max="5" width="13.5546875" style="140" customWidth="1"/>
    <col min="6" max="16384" width="9.109375" style="140"/>
  </cols>
  <sheetData>
    <row r="1" spans="1:5" ht="13.2" x14ac:dyDescent="0.25">
      <c r="A1" s="164" t="s">
        <v>325</v>
      </c>
    </row>
    <row r="2" spans="1:5" ht="13.2" x14ac:dyDescent="0.25">
      <c r="A2" s="164" t="s">
        <v>323</v>
      </c>
    </row>
    <row r="4" spans="1:5" ht="24" customHeight="1" x14ac:dyDescent="0.2">
      <c r="A4" s="138"/>
      <c r="B4" s="138"/>
      <c r="C4" s="138"/>
      <c r="D4" s="138"/>
      <c r="E4" s="138"/>
    </row>
    <row r="5" spans="1:5" x14ac:dyDescent="0.2">
      <c r="A5" s="141"/>
    </row>
    <row r="6" spans="1:5" ht="13.2" x14ac:dyDescent="0.25">
      <c r="A6" s="139" t="s">
        <v>48</v>
      </c>
      <c r="B6" s="139"/>
      <c r="C6" s="139"/>
      <c r="D6" s="139"/>
      <c r="E6" s="139"/>
    </row>
    <row r="7" spans="1:5" x14ac:dyDescent="0.2">
      <c r="A7" s="118" t="s">
        <v>50</v>
      </c>
      <c r="B7" s="118" t="s">
        <v>50</v>
      </c>
      <c r="C7" s="118" t="s">
        <v>50</v>
      </c>
      <c r="D7" s="118" t="s">
        <v>50</v>
      </c>
      <c r="E7" s="119" t="s">
        <v>50</v>
      </c>
    </row>
    <row r="8" spans="1:5" x14ac:dyDescent="0.2">
      <c r="A8" s="118" t="s">
        <v>50</v>
      </c>
      <c r="B8" s="118" t="s">
        <v>50</v>
      </c>
      <c r="C8" s="118" t="s">
        <v>50</v>
      </c>
      <c r="D8" s="118" t="s">
        <v>67</v>
      </c>
      <c r="E8" s="119" t="s">
        <v>50</v>
      </c>
    </row>
    <row r="9" spans="1:5" x14ac:dyDescent="0.2">
      <c r="A9" s="118" t="s">
        <v>51</v>
      </c>
      <c r="B9" s="118" t="s">
        <v>50</v>
      </c>
      <c r="C9" s="118" t="s">
        <v>49</v>
      </c>
      <c r="D9" s="118" t="s">
        <v>62</v>
      </c>
      <c r="E9" s="119" t="s">
        <v>287</v>
      </c>
    </row>
    <row r="10" spans="1:5" x14ac:dyDescent="0.2">
      <c r="A10" s="143" t="s">
        <v>315</v>
      </c>
      <c r="B10" s="144" t="s">
        <v>209</v>
      </c>
      <c r="C10" s="145" t="s">
        <v>54</v>
      </c>
      <c r="D10" s="146" t="s">
        <v>55</v>
      </c>
      <c r="E10" s="147">
        <v>6471832.5800000001</v>
      </c>
    </row>
    <row r="11" spans="1:5" x14ac:dyDescent="0.2">
      <c r="A11" s="143" t="s">
        <v>50</v>
      </c>
      <c r="B11" s="144" t="s">
        <v>50</v>
      </c>
      <c r="C11" s="145" t="s">
        <v>56</v>
      </c>
      <c r="D11" s="146" t="s">
        <v>57</v>
      </c>
      <c r="E11" s="147">
        <v>8267628.8499999996</v>
      </c>
    </row>
    <row r="12" spans="1:5" x14ac:dyDescent="0.2">
      <c r="A12" s="126" t="s">
        <v>50</v>
      </c>
      <c r="B12" s="127" t="s">
        <v>50</v>
      </c>
      <c r="C12" s="128" t="s">
        <v>216</v>
      </c>
      <c r="D12" s="123" t="s">
        <v>217</v>
      </c>
      <c r="E12" s="125"/>
    </row>
    <row r="13" spans="1:5" x14ac:dyDescent="0.2">
      <c r="A13" s="126" t="s">
        <v>50</v>
      </c>
      <c r="B13" s="127" t="s">
        <v>50</v>
      </c>
      <c r="C13" s="129" t="s">
        <v>58</v>
      </c>
      <c r="D13" s="123" t="s">
        <v>59</v>
      </c>
      <c r="E13" s="124">
        <v>14739461.43</v>
      </c>
    </row>
    <row r="14" spans="1:5" x14ac:dyDescent="0.2">
      <c r="A14" s="143" t="s">
        <v>50</v>
      </c>
      <c r="B14" s="144" t="s">
        <v>50</v>
      </c>
      <c r="C14" s="145" t="s">
        <v>185</v>
      </c>
      <c r="D14" s="146" t="s">
        <v>186</v>
      </c>
      <c r="E14" s="147">
        <v>35289.78</v>
      </c>
    </row>
    <row r="15" spans="1:5" x14ac:dyDescent="0.2">
      <c r="A15" s="143" t="s">
        <v>50</v>
      </c>
      <c r="B15" s="144" t="s">
        <v>50</v>
      </c>
      <c r="C15" s="145" t="s">
        <v>161</v>
      </c>
      <c r="D15" s="146" t="s">
        <v>162</v>
      </c>
      <c r="E15" s="147">
        <v>512061.14</v>
      </c>
    </row>
    <row r="16" spans="1:5" x14ac:dyDescent="0.2">
      <c r="A16" s="126" t="s">
        <v>50</v>
      </c>
      <c r="B16" s="127" t="s">
        <v>50</v>
      </c>
      <c r="C16" s="129" t="s">
        <v>163</v>
      </c>
      <c r="D16" s="123" t="s">
        <v>164</v>
      </c>
      <c r="E16" s="124">
        <v>547350.92000000004</v>
      </c>
    </row>
    <row r="17" spans="1:5" x14ac:dyDescent="0.2">
      <c r="A17" s="126" t="s">
        <v>50</v>
      </c>
      <c r="B17" s="127" t="s">
        <v>50</v>
      </c>
      <c r="C17" s="128" t="s">
        <v>195</v>
      </c>
      <c r="D17" s="123" t="s">
        <v>196</v>
      </c>
      <c r="E17" s="124">
        <v>6259.38</v>
      </c>
    </row>
    <row r="18" spans="1:5" x14ac:dyDescent="0.2">
      <c r="A18" s="126" t="s">
        <v>50</v>
      </c>
      <c r="B18" s="127" t="s">
        <v>50</v>
      </c>
      <c r="C18" s="128" t="s">
        <v>165</v>
      </c>
      <c r="D18" s="123" t="s">
        <v>166</v>
      </c>
      <c r="E18" s="125"/>
    </row>
    <row r="19" spans="1:5" x14ac:dyDescent="0.2">
      <c r="A19" s="126" t="s">
        <v>50</v>
      </c>
      <c r="B19" s="127" t="s">
        <v>50</v>
      </c>
      <c r="C19" s="128" t="s">
        <v>60</v>
      </c>
      <c r="D19" s="123" t="s">
        <v>61</v>
      </c>
      <c r="E19" s="125"/>
    </row>
    <row r="20" spans="1:5" x14ac:dyDescent="0.2">
      <c r="A20" s="126" t="s">
        <v>50</v>
      </c>
      <c r="B20" s="127" t="s">
        <v>50</v>
      </c>
      <c r="C20" s="128" t="s">
        <v>187</v>
      </c>
      <c r="D20" s="123" t="s">
        <v>188</v>
      </c>
      <c r="E20" s="124">
        <v>79733.87</v>
      </c>
    </row>
    <row r="21" spans="1:5" x14ac:dyDescent="0.2">
      <c r="A21" s="126" t="s">
        <v>50</v>
      </c>
      <c r="B21" s="127" t="s">
        <v>50</v>
      </c>
      <c r="C21" s="128" t="s">
        <v>288</v>
      </c>
      <c r="D21" s="123" t="s">
        <v>289</v>
      </c>
      <c r="E21" s="125"/>
    </row>
    <row r="22" spans="1:5" x14ac:dyDescent="0.2">
      <c r="A22" s="126" t="s">
        <v>50</v>
      </c>
      <c r="B22" s="127" t="s">
        <v>50</v>
      </c>
      <c r="C22" s="128" t="s">
        <v>307</v>
      </c>
      <c r="D22" s="123" t="s">
        <v>308</v>
      </c>
      <c r="E22" s="125"/>
    </row>
    <row r="23" spans="1:5" x14ac:dyDescent="0.2">
      <c r="A23" s="126" t="s">
        <v>50</v>
      </c>
      <c r="B23" s="127" t="s">
        <v>50</v>
      </c>
      <c r="C23" s="128" t="s">
        <v>290</v>
      </c>
      <c r="D23" s="123" t="s">
        <v>291</v>
      </c>
      <c r="E23" s="125"/>
    </row>
    <row r="24" spans="1:5" x14ac:dyDescent="0.2">
      <c r="A24" s="126" t="s">
        <v>50</v>
      </c>
      <c r="B24" s="127" t="s">
        <v>50</v>
      </c>
      <c r="C24" s="128" t="s">
        <v>306</v>
      </c>
      <c r="D24" s="123" t="s">
        <v>289</v>
      </c>
      <c r="E24" s="125"/>
    </row>
    <row r="25" spans="1:5" x14ac:dyDescent="0.2">
      <c r="A25" s="143" t="s">
        <v>50</v>
      </c>
      <c r="B25" s="144" t="s">
        <v>50</v>
      </c>
      <c r="C25" s="148" t="s">
        <v>63</v>
      </c>
      <c r="D25" s="146" t="s">
        <v>64</v>
      </c>
      <c r="E25" s="147">
        <v>85993.25</v>
      </c>
    </row>
    <row r="26" spans="1:5" x14ac:dyDescent="0.2">
      <c r="A26" s="126" t="s">
        <v>50</v>
      </c>
      <c r="B26" s="127" t="s">
        <v>50</v>
      </c>
      <c r="C26" s="122" t="s">
        <v>65</v>
      </c>
      <c r="D26" s="123" t="s">
        <v>66</v>
      </c>
      <c r="E26" s="124">
        <v>15372805.6</v>
      </c>
    </row>
    <row r="27" spans="1:5" x14ac:dyDescent="0.2">
      <c r="A27" s="126" t="s">
        <v>50</v>
      </c>
      <c r="B27" s="127" t="s">
        <v>50</v>
      </c>
      <c r="C27" s="128" t="s">
        <v>68</v>
      </c>
      <c r="D27" s="123" t="s">
        <v>69</v>
      </c>
      <c r="E27" s="124">
        <v>2311147.5</v>
      </c>
    </row>
    <row r="28" spans="1:5" x14ac:dyDescent="0.2">
      <c r="A28" s="126" t="s">
        <v>50</v>
      </c>
      <c r="B28" s="127" t="s">
        <v>50</v>
      </c>
      <c r="C28" s="128" t="s">
        <v>70</v>
      </c>
      <c r="D28" s="123" t="s">
        <v>71</v>
      </c>
      <c r="E28" s="124">
        <v>847519.05</v>
      </c>
    </row>
    <row r="29" spans="1:5" x14ac:dyDescent="0.2">
      <c r="A29" s="126" t="s">
        <v>50</v>
      </c>
      <c r="B29" s="127" t="s">
        <v>50</v>
      </c>
      <c r="C29" s="128" t="s">
        <v>72</v>
      </c>
      <c r="D29" s="123" t="s">
        <v>73</v>
      </c>
      <c r="E29" s="124">
        <v>-1675876.77</v>
      </c>
    </row>
    <row r="30" spans="1:5" x14ac:dyDescent="0.2">
      <c r="A30" s="126" t="s">
        <v>50</v>
      </c>
      <c r="B30" s="127" t="s">
        <v>50</v>
      </c>
      <c r="C30" s="128" t="s">
        <v>292</v>
      </c>
      <c r="D30" s="123" t="s">
        <v>293</v>
      </c>
      <c r="E30" s="125"/>
    </row>
    <row r="31" spans="1:5" x14ac:dyDescent="0.2">
      <c r="A31" s="126" t="s">
        <v>50</v>
      </c>
      <c r="B31" s="127" t="s">
        <v>50</v>
      </c>
      <c r="C31" s="128" t="s">
        <v>294</v>
      </c>
      <c r="D31" s="123" t="s">
        <v>295</v>
      </c>
      <c r="E31" s="125"/>
    </row>
    <row r="32" spans="1:5" x14ac:dyDescent="0.2">
      <c r="A32" s="126" t="s">
        <v>50</v>
      </c>
      <c r="B32" s="127" t="s">
        <v>50</v>
      </c>
      <c r="C32" s="128" t="s">
        <v>296</v>
      </c>
      <c r="D32" s="123" t="s">
        <v>297</v>
      </c>
      <c r="E32" s="125"/>
    </row>
    <row r="33" spans="1:5" x14ac:dyDescent="0.2">
      <c r="A33" s="126" t="s">
        <v>50</v>
      </c>
      <c r="B33" s="127" t="s">
        <v>50</v>
      </c>
      <c r="C33" s="129" t="s">
        <v>74</v>
      </c>
      <c r="D33" s="123" t="s">
        <v>75</v>
      </c>
      <c r="E33" s="124">
        <v>1482789.78</v>
      </c>
    </row>
    <row r="34" spans="1:5" x14ac:dyDescent="0.2">
      <c r="A34" s="126" t="s">
        <v>50</v>
      </c>
      <c r="B34" s="127" t="s">
        <v>50</v>
      </c>
      <c r="C34" s="128" t="s">
        <v>76</v>
      </c>
      <c r="D34" s="123" t="s">
        <v>77</v>
      </c>
      <c r="E34" s="124">
        <v>919000.25</v>
      </c>
    </row>
    <row r="35" spans="1:5" x14ac:dyDescent="0.2">
      <c r="A35" s="126" t="s">
        <v>50</v>
      </c>
      <c r="B35" s="127" t="s">
        <v>50</v>
      </c>
      <c r="C35" s="128" t="s">
        <v>298</v>
      </c>
      <c r="D35" s="123" t="s">
        <v>299</v>
      </c>
      <c r="E35" s="125"/>
    </row>
    <row r="36" spans="1:5" x14ac:dyDescent="0.2">
      <c r="A36" s="126" t="s">
        <v>50</v>
      </c>
      <c r="B36" s="127" t="s">
        <v>50</v>
      </c>
      <c r="C36" s="129" t="s">
        <v>78</v>
      </c>
      <c r="D36" s="123" t="s">
        <v>79</v>
      </c>
      <c r="E36" s="124">
        <v>919000.25</v>
      </c>
    </row>
    <row r="37" spans="1:5" x14ac:dyDescent="0.2">
      <c r="A37" s="126" t="s">
        <v>50</v>
      </c>
      <c r="B37" s="127" t="s">
        <v>50</v>
      </c>
      <c r="C37" s="128" t="s">
        <v>80</v>
      </c>
      <c r="D37" s="123" t="s">
        <v>81</v>
      </c>
      <c r="E37" s="124">
        <v>114650.98</v>
      </c>
    </row>
    <row r="38" spans="1:5" x14ac:dyDescent="0.2">
      <c r="A38" s="126" t="s">
        <v>50</v>
      </c>
      <c r="B38" s="127" t="s">
        <v>50</v>
      </c>
      <c r="C38" s="128" t="s">
        <v>300</v>
      </c>
      <c r="D38" s="123" t="s">
        <v>301</v>
      </c>
      <c r="E38" s="125"/>
    </row>
    <row r="39" spans="1:5" x14ac:dyDescent="0.2">
      <c r="A39" s="126" t="s">
        <v>50</v>
      </c>
      <c r="B39" s="127" t="s">
        <v>50</v>
      </c>
      <c r="C39" s="129" t="s">
        <v>82</v>
      </c>
      <c r="D39" s="123" t="s">
        <v>83</v>
      </c>
      <c r="E39" s="124">
        <v>114650.98</v>
      </c>
    </row>
    <row r="40" spans="1:5" x14ac:dyDescent="0.2">
      <c r="A40" s="126" t="s">
        <v>50</v>
      </c>
      <c r="B40" s="127" t="s">
        <v>50</v>
      </c>
      <c r="C40" s="122" t="s">
        <v>84</v>
      </c>
      <c r="D40" s="123" t="s">
        <v>85</v>
      </c>
      <c r="E40" s="124">
        <v>2516441.0099999998</v>
      </c>
    </row>
    <row r="41" spans="1:5" x14ac:dyDescent="0.2">
      <c r="A41" s="126" t="s">
        <v>50</v>
      </c>
      <c r="B41" s="127" t="s">
        <v>50</v>
      </c>
      <c r="C41" s="120" t="s">
        <v>86</v>
      </c>
      <c r="D41" s="121" t="s">
        <v>87</v>
      </c>
      <c r="E41" s="124">
        <v>17889246.609999999</v>
      </c>
    </row>
    <row r="42" spans="1:5" x14ac:dyDescent="0.2">
      <c r="A42" s="126" t="s">
        <v>50</v>
      </c>
      <c r="B42" s="127" t="s">
        <v>50</v>
      </c>
      <c r="C42" s="129" t="s">
        <v>88</v>
      </c>
      <c r="D42" s="123" t="s">
        <v>89</v>
      </c>
      <c r="E42" s="124">
        <v>45259.41</v>
      </c>
    </row>
    <row r="43" spans="1:5" x14ac:dyDescent="0.2">
      <c r="A43" s="126" t="s">
        <v>50</v>
      </c>
      <c r="B43" s="127" t="s">
        <v>50</v>
      </c>
      <c r="C43" s="129" t="s">
        <v>90</v>
      </c>
      <c r="D43" s="123" t="s">
        <v>91</v>
      </c>
      <c r="E43" s="124">
        <v>27862.77</v>
      </c>
    </row>
    <row r="44" spans="1:5" x14ac:dyDescent="0.2">
      <c r="A44" s="126" t="s">
        <v>50</v>
      </c>
      <c r="B44" s="127" t="s">
        <v>50</v>
      </c>
      <c r="C44" s="129" t="s">
        <v>92</v>
      </c>
      <c r="D44" s="123" t="s">
        <v>93</v>
      </c>
      <c r="E44" s="124">
        <v>324</v>
      </c>
    </row>
    <row r="45" spans="1:5" x14ac:dyDescent="0.2">
      <c r="A45" s="126" t="s">
        <v>50</v>
      </c>
      <c r="B45" s="127" t="s">
        <v>50</v>
      </c>
      <c r="C45" s="129" t="s">
        <v>94</v>
      </c>
      <c r="D45" s="123" t="s">
        <v>95</v>
      </c>
      <c r="E45" s="124">
        <v>20652.87</v>
      </c>
    </row>
    <row r="46" spans="1:5" x14ac:dyDescent="0.2">
      <c r="A46" s="126" t="s">
        <v>50</v>
      </c>
      <c r="B46" s="127" t="s">
        <v>50</v>
      </c>
      <c r="C46" s="129" t="s">
        <v>96</v>
      </c>
      <c r="D46" s="123" t="s">
        <v>97</v>
      </c>
      <c r="E46" s="124">
        <v>41215.78</v>
      </c>
    </row>
    <row r="47" spans="1:5" x14ac:dyDescent="0.2">
      <c r="A47" s="126" t="s">
        <v>50</v>
      </c>
      <c r="B47" s="127" t="s">
        <v>50</v>
      </c>
      <c r="C47" s="129" t="s">
        <v>181</v>
      </c>
      <c r="D47" s="123" t="s">
        <v>182</v>
      </c>
      <c r="E47" s="125"/>
    </row>
    <row r="48" spans="1:5" x14ac:dyDescent="0.2">
      <c r="A48" s="126" t="s">
        <v>50</v>
      </c>
      <c r="B48" s="127" t="s">
        <v>50</v>
      </c>
      <c r="C48" s="129" t="s">
        <v>98</v>
      </c>
      <c r="D48" s="123" t="s">
        <v>99</v>
      </c>
      <c r="E48" s="124">
        <v>10805</v>
      </c>
    </row>
    <row r="49" spans="1:5" x14ac:dyDescent="0.2">
      <c r="A49" s="126" t="s">
        <v>50</v>
      </c>
      <c r="B49" s="127" t="s">
        <v>50</v>
      </c>
      <c r="C49" s="129" t="s">
        <v>100</v>
      </c>
      <c r="D49" s="123" t="s">
        <v>101</v>
      </c>
      <c r="E49" s="124">
        <v>3025</v>
      </c>
    </row>
    <row r="50" spans="1:5" x14ac:dyDescent="0.2">
      <c r="A50" s="126" t="s">
        <v>50</v>
      </c>
      <c r="B50" s="127" t="s">
        <v>50</v>
      </c>
      <c r="C50" s="129" t="s">
        <v>102</v>
      </c>
      <c r="D50" s="123" t="s">
        <v>103</v>
      </c>
      <c r="E50" s="124">
        <v>36225</v>
      </c>
    </row>
    <row r="51" spans="1:5" x14ac:dyDescent="0.2">
      <c r="A51" s="126" t="s">
        <v>50</v>
      </c>
      <c r="B51" s="127" t="s">
        <v>50</v>
      </c>
      <c r="C51" s="129" t="s">
        <v>104</v>
      </c>
      <c r="D51" s="123" t="s">
        <v>105</v>
      </c>
      <c r="E51" s="124">
        <v>34680.94</v>
      </c>
    </row>
    <row r="52" spans="1:5" x14ac:dyDescent="0.2">
      <c r="A52" s="126" t="s">
        <v>50</v>
      </c>
      <c r="B52" s="127" t="s">
        <v>50</v>
      </c>
      <c r="C52" s="129" t="s">
        <v>106</v>
      </c>
      <c r="D52" s="123" t="s">
        <v>107</v>
      </c>
      <c r="E52" s="124">
        <v>635</v>
      </c>
    </row>
    <row r="53" spans="1:5" x14ac:dyDescent="0.2">
      <c r="A53" s="126" t="s">
        <v>50</v>
      </c>
      <c r="B53" s="127" t="s">
        <v>50</v>
      </c>
      <c r="C53" s="129" t="s">
        <v>167</v>
      </c>
      <c r="D53" s="123" t="s">
        <v>168</v>
      </c>
      <c r="E53" s="124">
        <v>84</v>
      </c>
    </row>
    <row r="54" spans="1:5" x14ac:dyDescent="0.2">
      <c r="A54" s="126" t="s">
        <v>50</v>
      </c>
      <c r="B54" s="127" t="s">
        <v>50</v>
      </c>
      <c r="C54" s="122" t="s">
        <v>108</v>
      </c>
      <c r="D54" s="123" t="s">
        <v>109</v>
      </c>
      <c r="E54" s="124">
        <v>220769.77</v>
      </c>
    </row>
    <row r="55" spans="1:5" x14ac:dyDescent="0.2">
      <c r="A55" s="126" t="s">
        <v>50</v>
      </c>
      <c r="B55" s="127" t="s">
        <v>50</v>
      </c>
      <c r="C55" s="120" t="s">
        <v>110</v>
      </c>
      <c r="D55" s="121" t="s">
        <v>109</v>
      </c>
      <c r="E55" s="124">
        <v>220769.77</v>
      </c>
    </row>
    <row r="56" spans="1:5" x14ac:dyDescent="0.2">
      <c r="A56" s="126" t="s">
        <v>50</v>
      </c>
      <c r="B56" s="127" t="s">
        <v>50</v>
      </c>
      <c r="C56" s="122" t="s">
        <v>197</v>
      </c>
      <c r="D56" s="123" t="s">
        <v>198</v>
      </c>
      <c r="E56" s="124">
        <v>132</v>
      </c>
    </row>
    <row r="57" spans="1:5" x14ac:dyDescent="0.2">
      <c r="A57" s="126" t="s">
        <v>50</v>
      </c>
      <c r="B57" s="127" t="s">
        <v>50</v>
      </c>
      <c r="C57" s="122" t="s">
        <v>199</v>
      </c>
      <c r="D57" s="123" t="s">
        <v>200</v>
      </c>
      <c r="E57" s="124">
        <v>36</v>
      </c>
    </row>
    <row r="58" spans="1:5" x14ac:dyDescent="0.2">
      <c r="A58" s="126" t="s">
        <v>50</v>
      </c>
      <c r="B58" s="127" t="s">
        <v>50</v>
      </c>
      <c r="C58" s="122" t="s">
        <v>201</v>
      </c>
      <c r="D58" s="123" t="s">
        <v>202</v>
      </c>
      <c r="E58" s="124">
        <v>1224</v>
      </c>
    </row>
    <row r="59" spans="1:5" x14ac:dyDescent="0.2">
      <c r="A59" s="126" t="s">
        <v>50</v>
      </c>
      <c r="B59" s="127" t="s">
        <v>50</v>
      </c>
      <c r="C59" s="122" t="s">
        <v>309</v>
      </c>
      <c r="D59" s="123" t="s">
        <v>310</v>
      </c>
      <c r="E59" s="125"/>
    </row>
    <row r="60" spans="1:5" x14ac:dyDescent="0.2">
      <c r="A60" s="126" t="s">
        <v>50</v>
      </c>
      <c r="B60" s="127" t="s">
        <v>50</v>
      </c>
      <c r="C60" s="122" t="s">
        <v>304</v>
      </c>
      <c r="D60" s="123" t="s">
        <v>305</v>
      </c>
      <c r="E60" s="125"/>
    </row>
    <row r="61" spans="1:5" x14ac:dyDescent="0.2">
      <c r="A61" s="126" t="s">
        <v>50</v>
      </c>
      <c r="B61" s="127" t="s">
        <v>50</v>
      </c>
      <c r="C61" s="122" t="s">
        <v>111</v>
      </c>
      <c r="D61" s="123" t="s">
        <v>112</v>
      </c>
      <c r="E61" s="124">
        <v>179672.74</v>
      </c>
    </row>
    <row r="62" spans="1:5" x14ac:dyDescent="0.2">
      <c r="A62" s="126" t="s">
        <v>50</v>
      </c>
      <c r="B62" s="127" t="s">
        <v>50</v>
      </c>
      <c r="C62" s="122" t="s">
        <v>113</v>
      </c>
      <c r="D62" s="123" t="s">
        <v>114</v>
      </c>
      <c r="E62" s="124">
        <v>3000</v>
      </c>
    </row>
    <row r="63" spans="1:5" x14ac:dyDescent="0.2">
      <c r="A63" s="126" t="s">
        <v>50</v>
      </c>
      <c r="B63" s="127" t="s">
        <v>50</v>
      </c>
      <c r="C63" s="122" t="s">
        <v>115</v>
      </c>
      <c r="D63" s="123" t="s">
        <v>116</v>
      </c>
      <c r="E63" s="125"/>
    </row>
    <row r="64" spans="1:5" x14ac:dyDescent="0.2">
      <c r="A64" s="126" t="s">
        <v>50</v>
      </c>
      <c r="B64" s="127" t="s">
        <v>50</v>
      </c>
      <c r="C64" s="122" t="s">
        <v>117</v>
      </c>
      <c r="D64" s="123" t="s">
        <v>118</v>
      </c>
      <c r="E64" s="124">
        <v>9359734.3200000003</v>
      </c>
    </row>
    <row r="65" spans="1:5" x14ac:dyDescent="0.2">
      <c r="A65" s="126" t="s">
        <v>50</v>
      </c>
      <c r="B65" s="127" t="s">
        <v>50</v>
      </c>
      <c r="C65" s="122" t="s">
        <v>210</v>
      </c>
      <c r="D65" s="123" t="s">
        <v>211</v>
      </c>
      <c r="E65" s="125"/>
    </row>
    <row r="66" spans="1:5" x14ac:dyDescent="0.2">
      <c r="A66" s="126" t="s">
        <v>50</v>
      </c>
      <c r="B66" s="127" t="s">
        <v>50</v>
      </c>
      <c r="C66" s="122" t="s">
        <v>317</v>
      </c>
      <c r="D66" s="123" t="s">
        <v>318</v>
      </c>
      <c r="E66" s="125"/>
    </row>
    <row r="67" spans="1:5" x14ac:dyDescent="0.2">
      <c r="A67" s="126" t="s">
        <v>50</v>
      </c>
      <c r="B67" s="127" t="s">
        <v>50</v>
      </c>
      <c r="C67" s="120" t="s">
        <v>119</v>
      </c>
      <c r="D67" s="121" t="s">
        <v>120</v>
      </c>
      <c r="E67" s="124">
        <v>9543799.0600000005</v>
      </c>
    </row>
    <row r="68" spans="1:5" x14ac:dyDescent="0.2">
      <c r="A68" s="126" t="s">
        <v>50</v>
      </c>
      <c r="B68" s="127" t="s">
        <v>50</v>
      </c>
      <c r="C68" s="129" t="s">
        <v>121</v>
      </c>
      <c r="D68" s="123" t="s">
        <v>122</v>
      </c>
      <c r="E68" s="124">
        <v>3747.93</v>
      </c>
    </row>
    <row r="69" spans="1:5" x14ac:dyDescent="0.2">
      <c r="A69" s="126" t="s">
        <v>50</v>
      </c>
      <c r="B69" s="127" t="s">
        <v>50</v>
      </c>
      <c r="C69" s="129" t="s">
        <v>302</v>
      </c>
      <c r="D69" s="123" t="s">
        <v>303</v>
      </c>
      <c r="E69" s="125"/>
    </row>
    <row r="70" spans="1:5" x14ac:dyDescent="0.2">
      <c r="A70" s="126" t="s">
        <v>50</v>
      </c>
      <c r="B70" s="127" t="s">
        <v>50</v>
      </c>
      <c r="C70" s="129" t="s">
        <v>205</v>
      </c>
      <c r="D70" s="123" t="s">
        <v>206</v>
      </c>
      <c r="E70" s="124">
        <v>3188.65</v>
      </c>
    </row>
    <row r="71" spans="1:5" x14ac:dyDescent="0.2">
      <c r="A71" s="126" t="s">
        <v>50</v>
      </c>
      <c r="B71" s="127" t="s">
        <v>50</v>
      </c>
      <c r="C71" s="129" t="s">
        <v>175</v>
      </c>
      <c r="D71" s="123" t="s">
        <v>176</v>
      </c>
      <c r="E71" s="125"/>
    </row>
    <row r="72" spans="1:5" x14ac:dyDescent="0.2">
      <c r="A72" s="126" t="s">
        <v>50</v>
      </c>
      <c r="B72" s="127" t="s">
        <v>50</v>
      </c>
      <c r="C72" s="129" t="s">
        <v>214</v>
      </c>
      <c r="D72" s="123" t="s">
        <v>215</v>
      </c>
      <c r="E72" s="125"/>
    </row>
    <row r="73" spans="1:5" x14ac:dyDescent="0.2">
      <c r="A73" s="126" t="s">
        <v>50</v>
      </c>
      <c r="B73" s="127" t="s">
        <v>50</v>
      </c>
      <c r="C73" s="122" t="s">
        <v>123</v>
      </c>
      <c r="D73" s="123" t="s">
        <v>124</v>
      </c>
      <c r="E73" s="124">
        <v>6936.58</v>
      </c>
    </row>
    <row r="74" spans="1:5" x14ac:dyDescent="0.2">
      <c r="A74" s="126" t="s">
        <v>50</v>
      </c>
      <c r="B74" s="127" t="s">
        <v>50</v>
      </c>
      <c r="C74" s="129" t="s">
        <v>177</v>
      </c>
      <c r="D74" s="123" t="s">
        <v>178</v>
      </c>
      <c r="E74" s="125"/>
    </row>
    <row r="75" spans="1:5" x14ac:dyDescent="0.2">
      <c r="A75" s="126" t="s">
        <v>50</v>
      </c>
      <c r="B75" s="127" t="s">
        <v>50</v>
      </c>
      <c r="C75" s="129" t="s">
        <v>218</v>
      </c>
      <c r="D75" s="123" t="s">
        <v>219</v>
      </c>
      <c r="E75" s="125"/>
    </row>
    <row r="76" spans="1:5" x14ac:dyDescent="0.2">
      <c r="A76" s="126" t="s">
        <v>50</v>
      </c>
      <c r="B76" s="127" t="s">
        <v>50</v>
      </c>
      <c r="C76" s="122" t="s">
        <v>125</v>
      </c>
      <c r="D76" s="123" t="s">
        <v>126</v>
      </c>
      <c r="E76" s="125"/>
    </row>
    <row r="77" spans="1:5" x14ac:dyDescent="0.2">
      <c r="A77" s="126" t="s">
        <v>50</v>
      </c>
      <c r="B77" s="127" t="s">
        <v>50</v>
      </c>
      <c r="C77" s="120" t="s">
        <v>127</v>
      </c>
      <c r="D77" s="121" t="s">
        <v>128</v>
      </c>
      <c r="E77" s="124">
        <v>6936.58</v>
      </c>
    </row>
    <row r="78" spans="1:5" x14ac:dyDescent="0.2">
      <c r="A78" s="126" t="s">
        <v>50</v>
      </c>
      <c r="B78" s="127" t="s">
        <v>50</v>
      </c>
      <c r="C78" s="122" t="s">
        <v>129</v>
      </c>
      <c r="D78" s="123" t="s">
        <v>130</v>
      </c>
      <c r="E78" s="124">
        <v>8489.7999999999993</v>
      </c>
    </row>
    <row r="79" spans="1:5" x14ac:dyDescent="0.2">
      <c r="A79" s="126" t="s">
        <v>50</v>
      </c>
      <c r="B79" s="127" t="s">
        <v>50</v>
      </c>
      <c r="C79" s="122" t="s">
        <v>207</v>
      </c>
      <c r="D79" s="123" t="s">
        <v>208</v>
      </c>
      <c r="E79" s="124">
        <v>49990</v>
      </c>
    </row>
    <row r="80" spans="1:5" x14ac:dyDescent="0.2">
      <c r="A80" s="126" t="s">
        <v>50</v>
      </c>
      <c r="B80" s="127" t="s">
        <v>50</v>
      </c>
      <c r="C80" s="122" t="s">
        <v>131</v>
      </c>
      <c r="D80" s="123" t="s">
        <v>132</v>
      </c>
      <c r="E80" s="124">
        <v>22432.98</v>
      </c>
    </row>
    <row r="81" spans="1:5" x14ac:dyDescent="0.2">
      <c r="A81" s="126" t="s">
        <v>50</v>
      </c>
      <c r="B81" s="127" t="s">
        <v>50</v>
      </c>
      <c r="C81" s="122" t="s">
        <v>203</v>
      </c>
      <c r="D81" s="123" t="s">
        <v>204</v>
      </c>
      <c r="E81" s="124">
        <v>4974</v>
      </c>
    </row>
    <row r="82" spans="1:5" x14ac:dyDescent="0.2">
      <c r="A82" s="126" t="s">
        <v>50</v>
      </c>
      <c r="B82" s="127" t="s">
        <v>50</v>
      </c>
      <c r="C82" s="122" t="s">
        <v>189</v>
      </c>
      <c r="D82" s="123" t="s">
        <v>190</v>
      </c>
      <c r="E82" s="124">
        <v>900</v>
      </c>
    </row>
    <row r="83" spans="1:5" x14ac:dyDescent="0.2">
      <c r="A83" s="126" t="s">
        <v>50</v>
      </c>
      <c r="B83" s="127" t="s">
        <v>50</v>
      </c>
      <c r="C83" s="122" t="s">
        <v>133</v>
      </c>
      <c r="D83" s="123" t="s">
        <v>134</v>
      </c>
      <c r="E83" s="124">
        <v>15454.99</v>
      </c>
    </row>
    <row r="84" spans="1:5" x14ac:dyDescent="0.2">
      <c r="A84" s="126" t="s">
        <v>50</v>
      </c>
      <c r="B84" s="127" t="s">
        <v>50</v>
      </c>
      <c r="C84" s="122" t="s">
        <v>135</v>
      </c>
      <c r="D84" s="123" t="s">
        <v>136</v>
      </c>
      <c r="E84" s="124">
        <v>7312.93</v>
      </c>
    </row>
    <row r="85" spans="1:5" x14ac:dyDescent="0.2">
      <c r="A85" s="126" t="s">
        <v>50</v>
      </c>
      <c r="B85" s="127" t="s">
        <v>50</v>
      </c>
      <c r="C85" s="122" t="s">
        <v>137</v>
      </c>
      <c r="D85" s="123" t="s">
        <v>138</v>
      </c>
      <c r="E85" s="124">
        <v>4890.07</v>
      </c>
    </row>
    <row r="86" spans="1:5" x14ac:dyDescent="0.2">
      <c r="A86" s="126" t="s">
        <v>50</v>
      </c>
      <c r="B86" s="127" t="s">
        <v>50</v>
      </c>
      <c r="C86" s="122" t="s">
        <v>191</v>
      </c>
      <c r="D86" s="123" t="s">
        <v>192</v>
      </c>
      <c r="E86" s="124">
        <v>2625</v>
      </c>
    </row>
    <row r="87" spans="1:5" x14ac:dyDescent="0.2">
      <c r="A87" s="126" t="s">
        <v>50</v>
      </c>
      <c r="B87" s="127" t="s">
        <v>50</v>
      </c>
      <c r="C87" s="120" t="s">
        <v>139</v>
      </c>
      <c r="D87" s="121" t="s">
        <v>140</v>
      </c>
      <c r="E87" s="124">
        <v>117069.77</v>
      </c>
    </row>
    <row r="88" spans="1:5" x14ac:dyDescent="0.2">
      <c r="A88" s="126" t="s">
        <v>50</v>
      </c>
      <c r="B88" s="127" t="s">
        <v>50</v>
      </c>
      <c r="C88" s="129" t="s">
        <v>169</v>
      </c>
      <c r="D88" s="123" t="s">
        <v>170</v>
      </c>
      <c r="E88" s="124">
        <v>995574.24</v>
      </c>
    </row>
    <row r="89" spans="1:5" x14ac:dyDescent="0.2">
      <c r="A89" s="126" t="s">
        <v>50</v>
      </c>
      <c r="B89" s="127" t="s">
        <v>50</v>
      </c>
      <c r="C89" s="129" t="s">
        <v>159</v>
      </c>
      <c r="D89" s="123" t="s">
        <v>160</v>
      </c>
      <c r="E89" s="124">
        <v>2024227.97</v>
      </c>
    </row>
    <row r="90" spans="1:5" x14ac:dyDescent="0.2">
      <c r="A90" s="126" t="s">
        <v>50</v>
      </c>
      <c r="B90" s="127" t="s">
        <v>50</v>
      </c>
      <c r="C90" s="129" t="s">
        <v>311</v>
      </c>
      <c r="D90" s="123" t="s">
        <v>312</v>
      </c>
      <c r="E90" s="125"/>
    </row>
    <row r="91" spans="1:5" x14ac:dyDescent="0.2">
      <c r="A91" s="126" t="s">
        <v>50</v>
      </c>
      <c r="B91" s="127" t="s">
        <v>50</v>
      </c>
      <c r="C91" s="129" t="s">
        <v>141</v>
      </c>
      <c r="D91" s="123" t="s">
        <v>142</v>
      </c>
      <c r="E91" s="124">
        <v>33000</v>
      </c>
    </row>
    <row r="92" spans="1:5" x14ac:dyDescent="0.2">
      <c r="A92" s="126" t="s">
        <v>50</v>
      </c>
      <c r="B92" s="127" t="s">
        <v>50</v>
      </c>
      <c r="C92" s="129" t="s">
        <v>179</v>
      </c>
      <c r="D92" s="123" t="s">
        <v>180</v>
      </c>
      <c r="E92" s="124">
        <v>52511.08</v>
      </c>
    </row>
    <row r="93" spans="1:5" x14ac:dyDescent="0.2">
      <c r="A93" s="126" t="s">
        <v>50</v>
      </c>
      <c r="B93" s="127" t="s">
        <v>50</v>
      </c>
      <c r="C93" s="129" t="s">
        <v>171</v>
      </c>
      <c r="D93" s="123" t="s">
        <v>172</v>
      </c>
      <c r="E93" s="124">
        <v>806872.62</v>
      </c>
    </row>
    <row r="94" spans="1:5" x14ac:dyDescent="0.2">
      <c r="A94" s="126" t="s">
        <v>50</v>
      </c>
      <c r="B94" s="127" t="s">
        <v>50</v>
      </c>
      <c r="C94" s="129" t="s">
        <v>313</v>
      </c>
      <c r="D94" s="123" t="s">
        <v>314</v>
      </c>
      <c r="E94" s="125"/>
    </row>
    <row r="95" spans="1:5" x14ac:dyDescent="0.2">
      <c r="A95" s="126" t="s">
        <v>50</v>
      </c>
      <c r="B95" s="127" t="s">
        <v>50</v>
      </c>
      <c r="C95" s="122" t="s">
        <v>143</v>
      </c>
      <c r="D95" s="123" t="s">
        <v>144</v>
      </c>
      <c r="E95" s="124">
        <v>3912185.91</v>
      </c>
    </row>
    <row r="96" spans="1:5" x14ac:dyDescent="0.2">
      <c r="A96" s="126" t="s">
        <v>50</v>
      </c>
      <c r="B96" s="127" t="s">
        <v>50</v>
      </c>
      <c r="C96" s="129" t="s">
        <v>145</v>
      </c>
      <c r="D96" s="123" t="s">
        <v>146</v>
      </c>
      <c r="E96" s="124">
        <v>2892</v>
      </c>
    </row>
    <row r="97" spans="1:5" x14ac:dyDescent="0.2">
      <c r="A97" s="126" t="s">
        <v>50</v>
      </c>
      <c r="B97" s="127" t="s">
        <v>50</v>
      </c>
      <c r="C97" s="129" t="s">
        <v>212</v>
      </c>
      <c r="D97" s="123" t="s">
        <v>213</v>
      </c>
      <c r="E97" s="125"/>
    </row>
    <row r="98" spans="1:5" x14ac:dyDescent="0.2">
      <c r="A98" s="126" t="s">
        <v>50</v>
      </c>
      <c r="B98" s="127" t="s">
        <v>50</v>
      </c>
      <c r="C98" s="122" t="s">
        <v>147</v>
      </c>
      <c r="D98" s="123" t="s">
        <v>148</v>
      </c>
      <c r="E98" s="124">
        <v>2892</v>
      </c>
    </row>
    <row r="99" spans="1:5" x14ac:dyDescent="0.2">
      <c r="A99" s="126" t="s">
        <v>50</v>
      </c>
      <c r="B99" s="127" t="s">
        <v>50</v>
      </c>
      <c r="C99" s="129" t="s">
        <v>183</v>
      </c>
      <c r="D99" s="123" t="s">
        <v>184</v>
      </c>
      <c r="E99" s="125"/>
    </row>
    <row r="100" spans="1:5" x14ac:dyDescent="0.2">
      <c r="A100" s="126" t="s">
        <v>50</v>
      </c>
      <c r="B100" s="127" t="s">
        <v>50</v>
      </c>
      <c r="C100" s="129" t="s">
        <v>149</v>
      </c>
      <c r="D100" s="123" t="s">
        <v>150</v>
      </c>
      <c r="E100" s="124">
        <v>31796</v>
      </c>
    </row>
    <row r="101" spans="1:5" x14ac:dyDescent="0.2">
      <c r="A101" s="126" t="s">
        <v>50</v>
      </c>
      <c r="B101" s="127" t="s">
        <v>50</v>
      </c>
      <c r="C101" s="122" t="s">
        <v>151</v>
      </c>
      <c r="D101" s="123" t="s">
        <v>152</v>
      </c>
      <c r="E101" s="124">
        <v>31796</v>
      </c>
    </row>
    <row r="102" spans="1:5" x14ac:dyDescent="0.2">
      <c r="A102" s="126" t="s">
        <v>50</v>
      </c>
      <c r="B102" s="127" t="s">
        <v>50</v>
      </c>
      <c r="C102" s="120" t="s">
        <v>153</v>
      </c>
      <c r="D102" s="121" t="s">
        <v>154</v>
      </c>
      <c r="E102" s="124">
        <v>3946873.91</v>
      </c>
    </row>
    <row r="103" spans="1:5" x14ac:dyDescent="0.2">
      <c r="A103" s="126" t="s">
        <v>50</v>
      </c>
      <c r="B103" s="127" t="s">
        <v>50</v>
      </c>
      <c r="C103" s="122" t="s">
        <v>193</v>
      </c>
      <c r="D103" s="123" t="s">
        <v>194</v>
      </c>
      <c r="E103" s="124">
        <v>1492.56</v>
      </c>
    </row>
    <row r="104" spans="1:5" x14ac:dyDescent="0.2">
      <c r="A104" s="126" t="s">
        <v>50</v>
      </c>
      <c r="B104" s="127" t="s">
        <v>50</v>
      </c>
      <c r="C104" s="120" t="s">
        <v>173</v>
      </c>
      <c r="D104" s="121" t="s">
        <v>174</v>
      </c>
      <c r="E104" s="124">
        <v>1492.56</v>
      </c>
    </row>
    <row r="105" spans="1:5" x14ac:dyDescent="0.2">
      <c r="A105" s="126" t="s">
        <v>50</v>
      </c>
      <c r="B105" s="127" t="s">
        <v>50</v>
      </c>
      <c r="C105" s="122" t="s">
        <v>155</v>
      </c>
      <c r="D105" s="123" t="s">
        <v>156</v>
      </c>
      <c r="E105" s="124">
        <v>4243.75</v>
      </c>
    </row>
    <row r="106" spans="1:5" x14ac:dyDescent="0.2">
      <c r="A106" s="126" t="s">
        <v>50</v>
      </c>
      <c r="B106" s="127" t="s">
        <v>50</v>
      </c>
      <c r="C106" s="120" t="s">
        <v>157</v>
      </c>
      <c r="D106" s="121" t="s">
        <v>158</v>
      </c>
      <c r="E106" s="124">
        <v>4243.75</v>
      </c>
    </row>
    <row r="107" spans="1:5" x14ac:dyDescent="0.2">
      <c r="A107" s="126" t="s">
        <v>50</v>
      </c>
      <c r="B107" s="127" t="s">
        <v>50</v>
      </c>
      <c r="C107" s="126" t="s">
        <v>52</v>
      </c>
      <c r="D107" s="127" t="s">
        <v>53</v>
      </c>
      <c r="E107" s="124">
        <v>31730432.010000002</v>
      </c>
    </row>
    <row r="109" spans="1:5" x14ac:dyDescent="0.2">
      <c r="E109" s="142"/>
    </row>
  </sheetData>
  <pageMargins left="0.75" right="0.75" top="1" bottom="1" header="0.5" footer="0.5"/>
  <pageSetup scale="5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F31A7-C479-4480-8A56-02D60642C04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F0270A36-79DF-4718-8A8C-EA8816EFD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E8D72C-B571-40FA-A36C-735FD6C33E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2017 COST ALLOCATION ANALYSIS</vt:lpstr>
      <vt:lpstr>SYA CUSTOMER CARE</vt:lpstr>
      <vt:lpstr>BUDGET DATA</vt:lpstr>
      <vt:lpstr>BARGAINING_UNIT_PWTI</vt:lpstr>
      <vt:lpstr>CORPORATE_AG_2017</vt:lpstr>
      <vt:lpstr>EXEMPT_PWTI</vt:lpstr>
      <vt:lpstr>NON_EXEMPT_PWTI</vt:lpstr>
      <vt:lpstr>PERP</vt:lpstr>
      <vt:lpstr>TAXES_INSURANCE_PERP_2017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2016-04-13T00:35:52Z</dcterms:created>
  <dcterms:modified xsi:type="dcterms:W3CDTF">2016-04-17T22:20:04Z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