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2" windowWidth="11352" windowHeight="8028" firstSheet="9" activeTab="14"/>
  </bookViews>
  <sheets>
    <sheet name="empPRadj" sheetId="1" r:id="rId1"/>
    <sheet name="employee" sheetId="2" r:id="rId2"/>
    <sheet name="2018PRemp" sheetId="3" r:id="rId3"/>
    <sheet name="2017 incentive" sheetId="4" r:id="rId4"/>
    <sheet name="2018incentive" sheetId="5" r:id="rId5"/>
    <sheet name="2017benefits" sheetId="6" r:id="rId6"/>
    <sheet name="2018benefits" sheetId="7" r:id="rId7"/>
    <sheet name="PRTaxes" sheetId="8" r:id="rId8"/>
    <sheet name="2018prtaxexp" sheetId="9" r:id="rId9"/>
    <sheet name="2017VMGT" sheetId="10" r:id="rId10"/>
    <sheet name="Veg mgmt 2018" sheetId="11" r:id="rId11"/>
    <sheet name="2017Poleins" sheetId="12" r:id="rId12"/>
    <sheet name="2018Poleline" sheetId="13" r:id="rId13"/>
    <sheet name="DOL" sheetId="14" r:id="rId14"/>
    <sheet name="Hardening" sheetId="15" r:id="rId15"/>
  </sheets>
  <definedNames>
    <definedName name="_xlnm.Print_Area" localSheetId="3">'2017 incentive'!$A$1:$I$37</definedName>
    <definedName name="_xlnm.Print_Area" localSheetId="9">'2017VMGT'!$A$1:$N$35</definedName>
    <definedName name="_xlnm.Print_Area" localSheetId="6">'2018benefits'!$A$1:$O$39</definedName>
    <definedName name="_xlnm.Print_Area" localSheetId="2">'2018PRemp'!$A$1:$J$40</definedName>
    <definedName name="_xlnm.Print_Area" localSheetId="1">'employee'!$A$1:$Q$55</definedName>
    <definedName name="_xlnm.Print_Area" localSheetId="0">'empPRadj'!$A$1:$J$40</definedName>
  </definedNames>
  <calcPr fullCalcOnLoad="1"/>
</workbook>
</file>

<file path=xl/sharedStrings.xml><?xml version="1.0" encoding="utf-8"?>
<sst xmlns="http://schemas.openxmlformats.org/spreadsheetml/2006/main" count="554" uniqueCount="226">
  <si>
    <t>Cost</t>
  </si>
  <si>
    <t>Average</t>
  </si>
  <si>
    <t>Reference</t>
  </si>
  <si>
    <t>a</t>
  </si>
  <si>
    <t>b</t>
  </si>
  <si>
    <t>Source:</t>
  </si>
  <si>
    <t>Year</t>
  </si>
  <si>
    <t>Total</t>
  </si>
  <si>
    <t>Line</t>
  </si>
  <si>
    <t>No.</t>
  </si>
  <si>
    <t>Projected</t>
  </si>
  <si>
    <t>Page 1 of 2</t>
  </si>
  <si>
    <t>Page 2 of 2</t>
  </si>
  <si>
    <t>Distribution Vegetative Management - Tree Trimming</t>
  </si>
  <si>
    <t>FLORIDA POWER &amp; LIGHT COMPANY</t>
  </si>
  <si>
    <t>Miles</t>
  </si>
  <si>
    <t>Actual</t>
  </si>
  <si>
    <t>Poles</t>
  </si>
  <si>
    <t>Inspected</t>
  </si>
  <si>
    <t>Pole</t>
  </si>
  <si>
    <t>Failures</t>
  </si>
  <si>
    <t>Employee Analysis</t>
  </si>
  <si>
    <t>Exempt</t>
  </si>
  <si>
    <t>Non-Exempt</t>
  </si>
  <si>
    <t>Union</t>
  </si>
  <si>
    <t>Temporary</t>
  </si>
  <si>
    <t>Authorized</t>
  </si>
  <si>
    <t>Expense</t>
  </si>
  <si>
    <t>% Expensed</t>
  </si>
  <si>
    <t>Variance</t>
  </si>
  <si>
    <t>Budgeted/</t>
  </si>
  <si>
    <t>Per Pole</t>
  </si>
  <si>
    <t>Failure</t>
  </si>
  <si>
    <t>Rate</t>
  </si>
  <si>
    <t xml:space="preserve">3 Year Actual to Budget </t>
  </si>
  <si>
    <t>Actuals</t>
  </si>
  <si>
    <t>Per Company</t>
  </si>
  <si>
    <t>Per OPC</t>
  </si>
  <si>
    <t>Employee Adjustment</t>
  </si>
  <si>
    <t>Adjusted Employee Level</t>
  </si>
  <si>
    <t>Executive Incentive Compensation</t>
  </si>
  <si>
    <t>Employee Incentive Compensation</t>
  </si>
  <si>
    <t>Average Pay Per Employee Excluding Incentive Pay</t>
  </si>
  <si>
    <t>Gross Payroll Adjustment</t>
  </si>
  <si>
    <t>Expense Factor</t>
  </si>
  <si>
    <t>Jurisdictional Allocation</t>
  </si>
  <si>
    <t>000's</t>
  </si>
  <si>
    <t>Jurisdictional O&amp;M Adjustment</t>
  </si>
  <si>
    <t>Budgeted</t>
  </si>
  <si>
    <t xml:space="preserve"> </t>
  </si>
  <si>
    <t>Taxes/WC</t>
  </si>
  <si>
    <t>Benefits</t>
  </si>
  <si>
    <t>Benefit Expense Adjustment</t>
  </si>
  <si>
    <t>Employees</t>
  </si>
  <si>
    <t>Cost Per Employee</t>
  </si>
  <si>
    <t>Pensions</t>
  </si>
  <si>
    <t>Post Retirement Benefits</t>
  </si>
  <si>
    <t xml:space="preserve">Recommended Expense </t>
  </si>
  <si>
    <t>Benefit Expense Factor Adjustment</t>
  </si>
  <si>
    <t>Total Benefit Cost</t>
  </si>
  <si>
    <t>Benefits Excluding Pensions and OPEB</t>
  </si>
  <si>
    <t>c,a</t>
  </si>
  <si>
    <t>c</t>
  </si>
  <si>
    <t>L.6/L.7</t>
  </si>
  <si>
    <t>L.8 x L.9</t>
  </si>
  <si>
    <t>L.6 - L.10</t>
  </si>
  <si>
    <t>Description</t>
  </si>
  <si>
    <t>Payroll Tax Expense Adjustment</t>
  </si>
  <si>
    <t>Federal Unemployment Tax</t>
  </si>
  <si>
    <t>State Unemployment Tax</t>
  </si>
  <si>
    <t xml:space="preserve">FICA (Social Security) Tax </t>
  </si>
  <si>
    <t>Total Expense Payroll Taxes</t>
  </si>
  <si>
    <t>Payroll Expense</t>
  </si>
  <si>
    <t>Effective Payroll Tax Rate</t>
  </si>
  <si>
    <t>Payroll Adjustment</t>
  </si>
  <si>
    <t>Payroll Tax Adjustment</t>
  </si>
  <si>
    <t>$000's</t>
  </si>
  <si>
    <t>Testimony</t>
  </si>
  <si>
    <t>Executive</t>
  </si>
  <si>
    <t>Incentive Compensation</t>
  </si>
  <si>
    <t>Executive Performance Incentive</t>
  </si>
  <si>
    <t>O&amp;M Factor</t>
  </si>
  <si>
    <t>L.4 x L.5</t>
  </si>
  <si>
    <t>L.6 x L.7</t>
  </si>
  <si>
    <t>Exhibit No. HWS-2</t>
  </si>
  <si>
    <t>Exhibit No. HWS-3</t>
  </si>
  <si>
    <t>Employee Benefit Adjustment</t>
  </si>
  <si>
    <t>Exhibit No. HWS-4</t>
  </si>
  <si>
    <t>Exhibit No. HWS-5</t>
  </si>
  <si>
    <t>HWS-2;P.1</t>
  </si>
  <si>
    <t>Exhibit No. HWS-7</t>
  </si>
  <si>
    <t>Exhibit No. HWS-8</t>
  </si>
  <si>
    <t>Exhibit No. HWS-9</t>
  </si>
  <si>
    <t>Executive Performance Incentive Compensation</t>
  </si>
  <si>
    <t>L.8/L.3</t>
  </si>
  <si>
    <t>L.2 x L. 9</t>
  </si>
  <si>
    <t>L.10 x L. 11</t>
  </si>
  <si>
    <t>L.12 x L. 13</t>
  </si>
  <si>
    <t>(c) Estimated expense amount based expense factor on line 3.</t>
  </si>
  <si>
    <t>Directors and Officers Liability Insurance Adjustment</t>
  </si>
  <si>
    <t>Adjustment to Shareholders</t>
  </si>
  <si>
    <t>Projected Test Year Ended December 31, 2017</t>
  </si>
  <si>
    <t>Docket No. 160021-EI</t>
  </si>
  <si>
    <t>Five Year Average 2011-2015</t>
  </si>
  <si>
    <t>2017 Recommended Per Citizen's</t>
  </si>
  <si>
    <t>2017 Requested</t>
  </si>
  <si>
    <t>a, b</t>
  </si>
  <si>
    <t>(b) Company response to OPC Production of Documents No. 3.</t>
  </si>
  <si>
    <t>Projected Test Year Ended December 31, 2018</t>
  </si>
  <si>
    <t>2018 Recommended Per Citizen's</t>
  </si>
  <si>
    <t>2018 Requested</t>
  </si>
  <si>
    <t>2018 cost is based on projected 2017 escalated 2%.</t>
  </si>
  <si>
    <t>5 Year Average 2011-2015</t>
  </si>
  <si>
    <t>Base Payroll</t>
  </si>
  <si>
    <t>Employee Incentive Pay</t>
  </si>
  <si>
    <t>L.4/L.5</t>
  </si>
  <si>
    <t>L.3/L.5</t>
  </si>
  <si>
    <t>Incentive Compensation Adjustment</t>
  </si>
  <si>
    <t>Benefits Per Company</t>
  </si>
  <si>
    <t>L.11 - L.12</t>
  </si>
  <si>
    <t>L.13 x L.14</t>
  </si>
  <si>
    <t>Exhibit No. HWS-6</t>
  </si>
  <si>
    <t>Storm Hardening</t>
  </si>
  <si>
    <t>Feeders</t>
  </si>
  <si>
    <t>Laterals</t>
  </si>
  <si>
    <t>Storm Surge</t>
  </si>
  <si>
    <t>Replacements</t>
  </si>
  <si>
    <t xml:space="preserve">  Insulators</t>
  </si>
  <si>
    <t>Inspections</t>
  </si>
  <si>
    <t xml:space="preserve">  Distribution</t>
  </si>
  <si>
    <t xml:space="preserve">  Transmission</t>
  </si>
  <si>
    <t>Over/Under</t>
  </si>
  <si>
    <t xml:space="preserve">  Conversions</t>
  </si>
  <si>
    <t>Subtotal</t>
  </si>
  <si>
    <t>Expensed</t>
  </si>
  <si>
    <t>Capital</t>
  </si>
  <si>
    <t>Change</t>
  </si>
  <si>
    <t>2016 YTD Annualized</t>
  </si>
  <si>
    <t>2016 Variance</t>
  </si>
  <si>
    <t>2018 Employee Adjustment</t>
  </si>
  <si>
    <t>2018 Employee Incentive Compensation Adjustment</t>
  </si>
  <si>
    <t>Shareholder 50/50</t>
  </si>
  <si>
    <t>Rate Payer Amount</t>
  </si>
  <si>
    <t>Shareholder Adjustment</t>
  </si>
  <si>
    <t>L.3 + L.5</t>
  </si>
  <si>
    <t>L.9 x L.101</t>
  </si>
  <si>
    <t>Financial Portion (100%)/(40%)</t>
  </si>
  <si>
    <t>Exh. HWS-3</t>
  </si>
  <si>
    <t>L.11 x L.12</t>
  </si>
  <si>
    <t>L.13 x L.15</t>
  </si>
  <si>
    <t>Payroll Tax Expense Adjustment - 2018</t>
  </si>
  <si>
    <t>Benefit Expense Adjustment - 2018</t>
  </si>
  <si>
    <t>Total Employees 2017</t>
  </si>
  <si>
    <t>Total Payroll 2017</t>
  </si>
  <si>
    <t>O&amp;M Adjustment 2017</t>
  </si>
  <si>
    <t>Jurisdictional O&amp;M Adjustment 2017</t>
  </si>
  <si>
    <t>2017  &amp; 2018 Employee Adjustments</t>
  </si>
  <si>
    <t>Page 1 of 3</t>
  </si>
  <si>
    <t>Payroll Adjustments</t>
  </si>
  <si>
    <t>(a) Company MFR Schedule C-35.</t>
  </si>
  <si>
    <t>(c) Company MFR Schedule C-1.</t>
  </si>
  <si>
    <t>Page 2 of 3</t>
  </si>
  <si>
    <t>Lines 1-5 are from Company response to OPC IR 34 Amended in Docket No. 120015-EI.</t>
  </si>
  <si>
    <t>Line 6-8 are from Company response to OPC IR 33 Amended in Docket No. 120015-EI.</t>
  </si>
  <si>
    <t>Lines 10-37 are from Company response to OPC POD 3 in Docket No. 160021-EI</t>
  </si>
  <si>
    <t>Line 9 is from MFR Schedule C-35 in Docket No. 120015-EI.</t>
  </si>
  <si>
    <t>Page 3 of 3</t>
  </si>
  <si>
    <t>Total Employees 2018</t>
  </si>
  <si>
    <t>Total Payroll 2018</t>
  </si>
  <si>
    <t>O&amp;M Adjustment 2018</t>
  </si>
  <si>
    <t>Jurisdictional O&amp;M Adjustment 2018</t>
  </si>
  <si>
    <t>2017 Employee Incentive Compensation Adjustment</t>
  </si>
  <si>
    <t>Incentive Compensation 2017</t>
  </si>
  <si>
    <t>O&amp;M Expense Reduction 2017</t>
  </si>
  <si>
    <t>(b) Company response to Staff Interrogatory No. 21.</t>
  </si>
  <si>
    <t>(a) Company response to OPC Interrogatory No. 139.</t>
  </si>
  <si>
    <t>Incentive Compensation 2018</t>
  </si>
  <si>
    <t>O&amp;M Expense Reduction 2018</t>
  </si>
  <si>
    <t>Benefits Adjustment</t>
  </si>
  <si>
    <t>(b) Company MFR Schedule C-4.</t>
  </si>
  <si>
    <t>2017 Expense</t>
  </si>
  <si>
    <t>(a) Company response to OPC Production of Document No. 3 &amp; MFR Schedule C-35 2017.</t>
  </si>
  <si>
    <t>(b) Company MFR Schedule C-1 2017.</t>
  </si>
  <si>
    <t>(a) Company response to OPC Production of Document No. 3 &amp; MFR Schedule C35 2018.</t>
  </si>
  <si>
    <t>(b) Company MFR Schedule C-1 2018.</t>
  </si>
  <si>
    <t>Vegetation Management</t>
  </si>
  <si>
    <t>Jurisdictional allocation is from Company MFR Schedule C-4 lines 9 and 22.</t>
  </si>
  <si>
    <t>Citizen's Recommended Adjustment 2017</t>
  </si>
  <si>
    <t>Jurisdictional Adjustment @ 100.0000% 2017</t>
  </si>
  <si>
    <t>Three Year Actual to Budget 2013-2015</t>
  </si>
  <si>
    <t>Dollars are from Company response to OPC Interrogatory 9.</t>
  </si>
  <si>
    <t>Miles are from Company response to  OPC Interrogatory 10.</t>
  </si>
  <si>
    <t>2016 miles are from Company response to OPC Interrogatory 259.</t>
  </si>
  <si>
    <t>2017 Recommended Per Citizen's (line 5 x 96.6%)</t>
  </si>
  <si>
    <t>2018 Recommended Per Citizen's (line 5 x 96.6%)</t>
  </si>
  <si>
    <t>Citizen's Recommended Adjustment 2018</t>
  </si>
  <si>
    <t>Jurisdictional Adjustment @ 100.0000% 2018</t>
  </si>
  <si>
    <t>Pole Inspection Adjustment</t>
  </si>
  <si>
    <t>Page 1 of 9</t>
  </si>
  <si>
    <t>Jurisdictional Adjustment @ 99.9358% 2017</t>
  </si>
  <si>
    <t>Pole Inspection Expense 2017</t>
  </si>
  <si>
    <t>Jurisdictional allocation from Company MFR Schedule C-4.</t>
  </si>
  <si>
    <t>Jurisdictional Adjustment @ 99.9422% 2018</t>
  </si>
  <si>
    <t>Page 2 of 9</t>
  </si>
  <si>
    <t>Pole Inspection Expense 2018</t>
  </si>
  <si>
    <t>Jurisdictional Allocation 2017 and 2018</t>
  </si>
  <si>
    <t>Jurisdictional O&amp;M Adjustment 2017 and 2018</t>
  </si>
  <si>
    <t>(a) Company response to OPC Interrogatory No. 60 in Docket No. 120015-EI.</t>
  </si>
  <si>
    <t>DOL Adjustment</t>
  </si>
  <si>
    <t>Page 1 of 5</t>
  </si>
  <si>
    <t>Page 1 of 1</t>
  </si>
  <si>
    <t>Citizens Recommended Plant Adjustment 2017 and 2018</t>
  </si>
  <si>
    <t>Depreciation Adjustment @ 2.7147% 2017 and 2018</t>
  </si>
  <si>
    <t>Accumulated Depreciation Adjustment 2017 and 2018</t>
  </si>
  <si>
    <t>Storm Hardening Capital</t>
  </si>
  <si>
    <t>Lines 1-5 actual are from Company response to OPC Interrogatory 224 in Docket No. 120015-EI.</t>
  </si>
  <si>
    <t>Lines 1-5 budgeted are from Company response to  Staff Interrogatory 235 in Docket No. 120015-EI.</t>
  </si>
  <si>
    <t>Lines 5-9 actual is from Company response to OPC Interrogatories 13 and 14 in Docket No. 160021-EI.</t>
  </si>
  <si>
    <t>Lines 10-12 budgeted is from Company response to OPC Interrogatory 13 and 14 in Docket No. 160021-EI.</t>
  </si>
  <si>
    <t>DOL Insurance 2017 and 2018</t>
  </si>
  <si>
    <t>Lines 1-8 are from response to SFHHA Interrogatory (IR) No. 99.</t>
  </si>
  <si>
    <t>Line 11 is from response to OPC IR No. 276.</t>
  </si>
  <si>
    <t>Line 12 is from response to OPC IR Nos. 111, 362,and 366.</t>
  </si>
  <si>
    <t>Line 14 is based on response to OPC IR No. 363 which shows actual May YTD spending of $186 million.</t>
  </si>
  <si>
    <t>Total Payroll Excluding Incentive Compensation</t>
  </si>
  <si>
    <t>Customer/Shareholder  Related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</si>
</sst>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_);\(0.0000\)"/>
    <numFmt numFmtId="166" formatCode="0.000%"/>
    <numFmt numFmtId="167" formatCode="#,##0.000_);\(#,##0.000\)"/>
    <numFmt numFmtId="168" formatCode="#,##0.00000_);\(#,##0.00000\)"/>
    <numFmt numFmtId="169" formatCode="[$-409]dddd\,\ mmmm\ dd\,\ yyyy"/>
    <numFmt numFmtId="170" formatCode="mm/dd/yy;@"/>
    <numFmt numFmtId="171" formatCode="0.00000"/>
    <numFmt numFmtId="172" formatCode="[$-409]mmm\-yy;@"/>
    <numFmt numFmtId="173" formatCode="_(* #,##0_);_(* \(#,##0\);_(* &quot;-&quot;??_);_(@_)"/>
    <numFmt numFmtId="174" formatCode="_(* #,##0.0000_);_(* \(#,##0.0000\);_(* &quot;-&quot;??_);_(@_)"/>
    <numFmt numFmtId="175" formatCode="0.000000"/>
    <numFmt numFmtId="176" formatCode="0.000"/>
    <numFmt numFmtId="177" formatCode="0.0%"/>
    <numFmt numFmtId="178" formatCode="0.00_);\(0.00\)"/>
    <numFmt numFmtId="179" formatCode="#,##0.0_);\(#,##0.0\)"/>
  </numFmts>
  <fonts count="37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9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37" fontId="0" fillId="0" borderId="12" xfId="0" applyNumberFormat="1" applyBorder="1" applyAlignment="1">
      <alignment/>
    </xf>
    <xf numFmtId="37" fontId="0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75" fontId="0" fillId="0" borderId="1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6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10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5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17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="60" zoomScalePageLayoutView="0" workbookViewId="0" topLeftCell="A1">
      <selection activeCell="S66" activeCellId="1" sqref="C24 S66"/>
    </sheetView>
  </sheetViews>
  <sheetFormatPr defaultColWidth="9.140625" defaultRowHeight="12.75"/>
  <cols>
    <col min="1" max="1" width="6.7109375" style="0" customWidth="1"/>
    <col min="2" max="2" width="0.85546875" style="0" customWidth="1"/>
    <col min="3" max="3" width="40.7109375" style="0" customWidth="1"/>
    <col min="4" max="4" width="3.7109375" style="0" customWidth="1"/>
    <col min="5" max="5" width="0.85546875" style="0" customWidth="1"/>
    <col min="6" max="6" width="12.7109375" style="0" customWidth="1"/>
    <col min="7" max="7" width="0.85546875" style="0" customWidth="1"/>
    <col min="8" max="8" width="12.7109375" style="0" customWidth="1"/>
    <col min="9" max="9" width="0.85546875" style="0" customWidth="1"/>
    <col min="10" max="10" width="10.7109375" style="0" customWidth="1"/>
    <col min="11" max="11" width="0.85546875" style="0" customWidth="1"/>
    <col min="12" max="12" width="10.7109375" style="0" customWidth="1"/>
    <col min="13" max="13" width="0.85546875" style="0" customWidth="1"/>
    <col min="14" max="14" width="10.7109375" style="0" customWidth="1"/>
    <col min="15" max="15" width="0.85546875" style="0" customWidth="1"/>
    <col min="16" max="16" width="10.7109375" style="0" customWidth="1"/>
  </cols>
  <sheetData>
    <row r="1" spans="1:8" ht="12.75">
      <c r="A1" t="s">
        <v>14</v>
      </c>
      <c r="H1" t="s">
        <v>102</v>
      </c>
    </row>
    <row r="2" spans="1:8" ht="12.75">
      <c r="A2" t="s">
        <v>101</v>
      </c>
      <c r="H2" s="28" t="s">
        <v>84</v>
      </c>
    </row>
    <row r="3" ht="12.75">
      <c r="H3" t="s">
        <v>158</v>
      </c>
    </row>
    <row r="4" spans="1:8" ht="12.75">
      <c r="A4" s="28" t="s">
        <v>156</v>
      </c>
      <c r="H4" s="28" t="s">
        <v>157</v>
      </c>
    </row>
    <row r="6" spans="1:7" ht="12.75">
      <c r="A6" s="3" t="s">
        <v>8</v>
      </c>
      <c r="G6" s="9" t="s">
        <v>76</v>
      </c>
    </row>
    <row r="7" spans="1:10" ht="12.75">
      <c r="A7" s="4" t="s">
        <v>9</v>
      </c>
      <c r="C7" s="4" t="s">
        <v>66</v>
      </c>
      <c r="F7" s="15" t="s">
        <v>36</v>
      </c>
      <c r="G7" s="3"/>
      <c r="H7" s="15" t="s">
        <v>37</v>
      </c>
      <c r="J7" s="31" t="s">
        <v>2</v>
      </c>
    </row>
    <row r="9" spans="1:10" ht="12.75">
      <c r="A9" s="3">
        <v>1</v>
      </c>
      <c r="C9" t="s">
        <v>152</v>
      </c>
      <c r="F9" s="1">
        <v>9091</v>
      </c>
      <c r="G9" s="1"/>
      <c r="H9" s="1">
        <v>9091</v>
      </c>
      <c r="J9" s="27" t="s">
        <v>3</v>
      </c>
    </row>
    <row r="10" spans="1:10" ht="12.75">
      <c r="A10" s="3"/>
      <c r="F10" s="1"/>
      <c r="G10" s="1"/>
      <c r="H10" s="1"/>
      <c r="J10" s="3"/>
    </row>
    <row r="11" spans="1:10" ht="12.75">
      <c r="A11" s="3">
        <v>2</v>
      </c>
      <c r="C11" t="s">
        <v>38</v>
      </c>
      <c r="F11" s="6"/>
      <c r="G11" s="1"/>
      <c r="H11" s="6">
        <v>-256</v>
      </c>
      <c r="J11" s="27" t="s">
        <v>77</v>
      </c>
    </row>
    <row r="12" spans="1:10" ht="12.75">
      <c r="A12" s="3"/>
      <c r="F12" s="1"/>
      <c r="G12" s="1"/>
      <c r="H12" s="1"/>
      <c r="J12" s="3"/>
    </row>
    <row r="13" spans="1:10" ht="12.75">
      <c r="A13" s="3">
        <v>3</v>
      </c>
      <c r="C13" t="s">
        <v>39</v>
      </c>
      <c r="F13" s="6">
        <f>SUM(F9:F11)</f>
        <v>9091</v>
      </c>
      <c r="G13" s="1"/>
      <c r="H13" s="6">
        <f>SUM(H9:H11)</f>
        <v>8835</v>
      </c>
      <c r="J13" s="3"/>
    </row>
    <row r="14" spans="1:10" ht="12.75">
      <c r="A14" s="3"/>
      <c r="J14" s="3"/>
    </row>
    <row r="15" spans="1:10" ht="12.75">
      <c r="A15" s="3">
        <v>4</v>
      </c>
      <c r="C15" t="s">
        <v>153</v>
      </c>
      <c r="F15" s="1">
        <v>1077342</v>
      </c>
      <c r="H15" s="1">
        <f>F15</f>
        <v>1077342</v>
      </c>
      <c r="J15" s="27" t="s">
        <v>106</v>
      </c>
    </row>
    <row r="16" spans="1:10" ht="12.75">
      <c r="A16" s="3"/>
      <c r="F16" s="1"/>
      <c r="H16" s="1"/>
      <c r="J16" s="3"/>
    </row>
    <row r="17" spans="1:10" ht="12.75">
      <c r="A17" s="3">
        <v>5</v>
      </c>
      <c r="C17" t="s">
        <v>40</v>
      </c>
      <c r="F17" s="1">
        <f>-13220.4-33336.091</f>
        <v>-46556.491</v>
      </c>
      <c r="H17" s="1">
        <f>F17</f>
        <v>-46556.491</v>
      </c>
      <c r="J17" s="27" t="s">
        <v>4</v>
      </c>
    </row>
    <row r="18" spans="1:10" ht="12.75">
      <c r="A18" s="3"/>
      <c r="F18" s="1"/>
      <c r="H18" s="1"/>
      <c r="J18" s="3"/>
    </row>
    <row r="19" spans="1:10" ht="12.75">
      <c r="A19" s="3">
        <v>6</v>
      </c>
      <c r="C19" s="28" t="s">
        <v>93</v>
      </c>
      <c r="F19" s="1">
        <v>0</v>
      </c>
      <c r="H19" s="1">
        <v>0</v>
      </c>
      <c r="J19" s="27" t="s">
        <v>4</v>
      </c>
    </row>
    <row r="20" ht="12.75">
      <c r="A20" s="3"/>
    </row>
    <row r="21" spans="1:10" ht="12.75">
      <c r="A21" s="3">
        <v>7</v>
      </c>
      <c r="C21" t="s">
        <v>41</v>
      </c>
      <c r="F21" s="6">
        <f>-80282.276</f>
        <v>-80282.276</v>
      </c>
      <c r="H21" s="6">
        <f>F21</f>
        <v>-80282.276</v>
      </c>
      <c r="J21" s="27" t="s">
        <v>4</v>
      </c>
    </row>
    <row r="22" spans="1:8" ht="12.75">
      <c r="A22" s="3"/>
      <c r="F22" s="1"/>
      <c r="H22" s="1"/>
    </row>
    <row r="23" spans="1:8" ht="12.75">
      <c r="A23" s="3">
        <v>8</v>
      </c>
      <c r="C23" t="s">
        <v>224</v>
      </c>
      <c r="F23" s="1">
        <f>SUM(F15:F21)</f>
        <v>950503.233</v>
      </c>
      <c r="H23" s="1">
        <f>SUM(H15:H21)</f>
        <v>950503.233</v>
      </c>
    </row>
    <row r="24" spans="1:8" ht="12.75">
      <c r="A24" s="3"/>
      <c r="F24" s="1"/>
      <c r="H24" s="1"/>
    </row>
    <row r="25" spans="1:10" ht="12.75">
      <c r="A25" s="3">
        <v>9</v>
      </c>
      <c r="C25" t="s">
        <v>42</v>
      </c>
      <c r="F25" s="30">
        <f>F23/F13</f>
        <v>104.55431008689914</v>
      </c>
      <c r="G25" s="30"/>
      <c r="H25" s="30">
        <f>F25</f>
        <v>104.55431008689914</v>
      </c>
      <c r="J25" s="27" t="s">
        <v>94</v>
      </c>
    </row>
    <row r="26" spans="1:6" ht="12.75">
      <c r="A26" s="3"/>
      <c r="F26" s="1"/>
    </row>
    <row r="27" spans="1:10" ht="12.75">
      <c r="A27" s="3">
        <v>10</v>
      </c>
      <c r="C27" s="13" t="s">
        <v>43</v>
      </c>
      <c r="H27" s="1">
        <f>H25*H11</f>
        <v>-26765.90338224618</v>
      </c>
      <c r="J27" s="27" t="s">
        <v>95</v>
      </c>
    </row>
    <row r="28" ht="12.75">
      <c r="A28" s="3"/>
    </row>
    <row r="29" spans="1:10" ht="12.75">
      <c r="A29" s="3">
        <v>11</v>
      </c>
      <c r="C29" s="13" t="s">
        <v>44</v>
      </c>
      <c r="H29" s="32">
        <v>0.6629</v>
      </c>
      <c r="J29" s="27" t="s">
        <v>77</v>
      </c>
    </row>
    <row r="31" spans="1:10" ht="12.75">
      <c r="A31" s="3">
        <v>12</v>
      </c>
      <c r="C31" s="28" t="s">
        <v>154</v>
      </c>
      <c r="H31" s="1">
        <f>H27*H29</f>
        <v>-17743.117352090994</v>
      </c>
      <c r="J31" s="28" t="s">
        <v>96</v>
      </c>
    </row>
    <row r="32" ht="12.75">
      <c r="A32" s="3"/>
    </row>
    <row r="33" spans="1:10" ht="12.75">
      <c r="A33" s="3">
        <v>13</v>
      </c>
      <c r="C33" s="13" t="s">
        <v>45</v>
      </c>
      <c r="H33" s="29">
        <v>0.967454</v>
      </c>
      <c r="J33" s="27" t="s">
        <v>62</v>
      </c>
    </row>
    <row r="35" spans="1:10" ht="13.5" thickBot="1">
      <c r="A35" s="3">
        <v>14</v>
      </c>
      <c r="C35" s="28" t="s">
        <v>155</v>
      </c>
      <c r="H35" s="7">
        <f>H31*H33</f>
        <v>-17165.64985474984</v>
      </c>
      <c r="J35" s="28" t="s">
        <v>97</v>
      </c>
    </row>
    <row r="36" ht="13.5" thickTop="1"/>
    <row r="38" spans="1:3" ht="12.75">
      <c r="A38" s="28" t="s">
        <v>5</v>
      </c>
      <c r="C38" s="28" t="s">
        <v>159</v>
      </c>
    </row>
    <row r="39" ht="12.75">
      <c r="C39" s="28" t="s">
        <v>107</v>
      </c>
    </row>
    <row r="40" ht="12.75">
      <c r="C40" s="28" t="s">
        <v>160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="60" zoomScalePageLayoutView="0" workbookViewId="0" topLeftCell="A1">
      <selection activeCell="S66" activeCellId="1" sqref="C24 S66"/>
    </sheetView>
  </sheetViews>
  <sheetFormatPr defaultColWidth="9.140625" defaultRowHeight="12.75"/>
  <cols>
    <col min="1" max="1" width="6.7109375" style="0" customWidth="1"/>
    <col min="2" max="2" width="0.85546875" style="0" customWidth="1"/>
    <col min="3" max="3" width="10.7109375" style="0" customWidth="1"/>
    <col min="4" max="4" width="0.85546875" style="0" customWidth="1"/>
    <col min="5" max="5" width="9.7109375" style="0" customWidth="1"/>
    <col min="6" max="6" width="0.85546875" style="0" customWidth="1"/>
    <col min="7" max="7" width="10.7109375" style="0" customWidth="1"/>
    <col min="8" max="8" width="0.85546875" style="0" customWidth="1"/>
    <col min="9" max="9" width="12.7109375" style="0" customWidth="1"/>
    <col min="10" max="10" width="0.85546875" style="0" customWidth="1"/>
    <col min="11" max="11" width="12.7109375" style="0" customWidth="1"/>
    <col min="12" max="12" width="0.85546875" style="0" customWidth="1"/>
  </cols>
  <sheetData>
    <row r="1" spans="1:11" ht="12.75">
      <c r="A1" t="s">
        <v>14</v>
      </c>
      <c r="K1" t="s">
        <v>102</v>
      </c>
    </row>
    <row r="2" spans="1:11" ht="12.75">
      <c r="A2" t="s">
        <v>101</v>
      </c>
      <c r="K2" s="28" t="s">
        <v>121</v>
      </c>
    </row>
    <row r="3" ht="12.75">
      <c r="K3" s="28" t="s">
        <v>185</v>
      </c>
    </row>
    <row r="4" spans="1:11" ht="12.75">
      <c r="A4" t="s">
        <v>13</v>
      </c>
      <c r="K4" s="28" t="s">
        <v>11</v>
      </c>
    </row>
    <row r="6" ht="12.75">
      <c r="J6" s="9" t="s">
        <v>76</v>
      </c>
    </row>
    <row r="7" spans="1:13" ht="12.75">
      <c r="A7" s="3" t="s">
        <v>8</v>
      </c>
      <c r="C7" s="3"/>
      <c r="D7" s="3"/>
      <c r="E7" s="3" t="s">
        <v>48</v>
      </c>
      <c r="G7" s="27" t="s">
        <v>16</v>
      </c>
      <c r="J7" s="3"/>
      <c r="K7" s="20" t="s">
        <v>30</v>
      </c>
      <c r="M7" s="12"/>
    </row>
    <row r="8" spans="1:13" ht="12.75">
      <c r="A8" s="4" t="s">
        <v>9</v>
      </c>
      <c r="C8" s="4" t="s">
        <v>6</v>
      </c>
      <c r="D8" s="3"/>
      <c r="E8" s="15" t="s">
        <v>15</v>
      </c>
      <c r="G8" s="15" t="s">
        <v>15</v>
      </c>
      <c r="I8" s="15" t="s">
        <v>16</v>
      </c>
      <c r="J8" s="3"/>
      <c r="K8" s="15" t="s">
        <v>10</v>
      </c>
      <c r="M8" s="31" t="s">
        <v>29</v>
      </c>
    </row>
    <row r="10" spans="1:16" ht="12.75">
      <c r="A10" s="3">
        <v>1</v>
      </c>
      <c r="C10" s="3">
        <v>2011</v>
      </c>
      <c r="E10" s="1">
        <v>12225</v>
      </c>
      <c r="G10" s="1">
        <v>14840</v>
      </c>
      <c r="I10" s="1">
        <v>60600</v>
      </c>
      <c r="K10" s="1">
        <v>60000</v>
      </c>
      <c r="M10" s="36">
        <f>I10/K10</f>
        <v>1.01</v>
      </c>
      <c r="P10">
        <f>I10/G10</f>
        <v>4.083557951482479</v>
      </c>
    </row>
    <row r="11" spans="1:16" ht="12.75">
      <c r="A11" s="3">
        <v>2</v>
      </c>
      <c r="C11" s="3">
        <v>2012</v>
      </c>
      <c r="E11" s="1">
        <v>12700</v>
      </c>
      <c r="G11" s="1">
        <v>15271</v>
      </c>
      <c r="I11" s="1">
        <v>61700</v>
      </c>
      <c r="K11" s="1">
        <v>59400</v>
      </c>
      <c r="M11" s="36">
        <f>I11/K11</f>
        <v>1.0387205387205387</v>
      </c>
      <c r="P11">
        <f>I11/G11</f>
        <v>4.040337895357213</v>
      </c>
    </row>
    <row r="12" spans="1:16" ht="12.75">
      <c r="A12" s="3">
        <v>3</v>
      </c>
      <c r="C12" s="3">
        <v>2013</v>
      </c>
      <c r="E12" s="1">
        <v>15400</v>
      </c>
      <c r="G12" s="1">
        <v>15861</v>
      </c>
      <c r="I12" s="1">
        <v>63100</v>
      </c>
      <c r="K12" s="1">
        <v>65700</v>
      </c>
      <c r="M12" s="36">
        <f>I12/K12</f>
        <v>0.9604261796042618</v>
      </c>
      <c r="P12">
        <f>I12/G12</f>
        <v>3.9783115818674735</v>
      </c>
    </row>
    <row r="13" spans="1:16" ht="12.75">
      <c r="A13" s="3">
        <v>4</v>
      </c>
      <c r="C13" s="3">
        <v>2014</v>
      </c>
      <c r="E13" s="1">
        <v>15000</v>
      </c>
      <c r="G13" s="1">
        <v>15178</v>
      </c>
      <c r="I13" s="17">
        <v>58500</v>
      </c>
      <c r="K13" s="1">
        <v>62200</v>
      </c>
      <c r="M13" s="36">
        <f>I13/K13</f>
        <v>0.9405144694533762</v>
      </c>
      <c r="P13">
        <f>I13/G13</f>
        <v>3.8542627487152457</v>
      </c>
    </row>
    <row r="14" spans="1:16" ht="12.75">
      <c r="A14" s="3">
        <v>5</v>
      </c>
      <c r="C14" s="3">
        <v>2015</v>
      </c>
      <c r="E14" s="1">
        <v>15100</v>
      </c>
      <c r="G14" s="1">
        <v>15244</v>
      </c>
      <c r="I14" s="1">
        <v>62900</v>
      </c>
      <c r="K14" s="1">
        <v>63100</v>
      </c>
      <c r="M14" s="36">
        <f>I14/K14</f>
        <v>0.9968304278922345</v>
      </c>
      <c r="P14">
        <f>I14/G14</f>
        <v>4.12621359223301</v>
      </c>
    </row>
    <row r="15" spans="1:13" ht="12.75">
      <c r="A15" s="3">
        <v>6</v>
      </c>
      <c r="C15" s="3">
        <v>2016</v>
      </c>
      <c r="E15" s="1"/>
      <c r="G15" s="1"/>
      <c r="I15" s="1"/>
      <c r="K15" s="1">
        <v>64700</v>
      </c>
      <c r="M15" s="34"/>
    </row>
    <row r="16" spans="1:16" ht="12.75">
      <c r="A16" s="3">
        <v>7</v>
      </c>
      <c r="C16" s="12">
        <v>2017</v>
      </c>
      <c r="E16" s="1">
        <v>15100</v>
      </c>
      <c r="F16" s="21"/>
      <c r="G16" s="22"/>
      <c r="I16" s="1"/>
      <c r="J16" s="1"/>
      <c r="K16" s="1">
        <v>65600</v>
      </c>
      <c r="M16" s="3"/>
      <c r="P16">
        <f>K16/E16</f>
        <v>4.344370860927152</v>
      </c>
    </row>
    <row r="17" spans="1:16" ht="12.75">
      <c r="A17" s="3">
        <v>8</v>
      </c>
      <c r="C17" s="12">
        <v>2018</v>
      </c>
      <c r="E17" s="1">
        <v>15100</v>
      </c>
      <c r="F17" s="1"/>
      <c r="G17" s="1"/>
      <c r="I17" s="1"/>
      <c r="J17" s="1"/>
      <c r="K17" s="1">
        <v>69600</v>
      </c>
      <c r="M17" s="3"/>
      <c r="P17">
        <f>K17/E17</f>
        <v>4.6092715231788075</v>
      </c>
    </row>
    <row r="18" ht="12.75">
      <c r="P18" s="38"/>
    </row>
    <row r="19" spans="1:13" ht="12.75">
      <c r="A19" s="3">
        <v>9</v>
      </c>
      <c r="C19" s="28" t="s">
        <v>103</v>
      </c>
      <c r="I19" s="1">
        <f>SUM(I10:I14)/5</f>
        <v>61360</v>
      </c>
      <c r="K19" s="1"/>
      <c r="M19" s="1"/>
    </row>
    <row r="20" ht="12.75">
      <c r="M20" s="23" t="s">
        <v>29</v>
      </c>
    </row>
    <row r="21" spans="1:13" ht="12.75">
      <c r="A21" s="3">
        <v>10</v>
      </c>
      <c r="C21" s="28" t="s">
        <v>189</v>
      </c>
      <c r="I21" s="1">
        <f>SUM(I12:I14)/3</f>
        <v>61500</v>
      </c>
      <c r="K21" s="1">
        <f>SUM(K12:K14)/3</f>
        <v>63666.666666666664</v>
      </c>
      <c r="M21">
        <f>I21/K21</f>
        <v>0.9659685863874345</v>
      </c>
    </row>
    <row r="23" spans="1:13" ht="12.75">
      <c r="A23" s="3">
        <v>12</v>
      </c>
      <c r="C23" s="10" t="s">
        <v>193</v>
      </c>
      <c r="F23" s="1"/>
      <c r="G23" s="1"/>
      <c r="K23" s="8">
        <f>K14*M21</f>
        <v>60952.61780104712</v>
      </c>
      <c r="M23" s="3"/>
    </row>
    <row r="24" spans="1:11" ht="12.75">
      <c r="A24" s="3"/>
      <c r="K24" s="5"/>
    </row>
    <row r="25" spans="1:13" ht="12.75">
      <c r="A25" s="3">
        <v>13</v>
      </c>
      <c r="C25" s="35" t="s">
        <v>105</v>
      </c>
      <c r="E25" s="1"/>
      <c r="K25" s="6">
        <v>65600</v>
      </c>
      <c r="M25" s="3"/>
    </row>
    <row r="26" spans="1:13" ht="12.75">
      <c r="A26" s="3"/>
      <c r="M26" s="3"/>
    </row>
    <row r="27" spans="1:11" ht="13.5" thickBot="1">
      <c r="A27" s="3">
        <v>14</v>
      </c>
      <c r="C27" t="s">
        <v>187</v>
      </c>
      <c r="E27" s="1"/>
      <c r="F27" s="1"/>
      <c r="G27" s="1"/>
      <c r="K27" s="7">
        <f>K23-K25</f>
        <v>-4647.382198952881</v>
      </c>
    </row>
    <row r="28" ht="13.5" thickTop="1">
      <c r="M28" s="3"/>
    </row>
    <row r="29" spans="1:13" ht="13.5" thickBot="1">
      <c r="A29" s="3">
        <v>15</v>
      </c>
      <c r="C29" s="28" t="s">
        <v>188</v>
      </c>
      <c r="K29" s="7">
        <f>K27*1</f>
        <v>-4647.382198952881</v>
      </c>
      <c r="M29" s="27"/>
    </row>
    <row r="30" ht="13.5" thickTop="1"/>
    <row r="31" ht="12.75">
      <c r="A31" s="3"/>
    </row>
    <row r="32" spans="1:3" ht="12.75">
      <c r="A32" t="s">
        <v>5</v>
      </c>
      <c r="C32" s="28" t="s">
        <v>190</v>
      </c>
    </row>
    <row r="33" ht="12.75">
      <c r="C33" s="28" t="s">
        <v>191</v>
      </c>
    </row>
    <row r="34" ht="12.75">
      <c r="C34" s="28" t="s">
        <v>186</v>
      </c>
    </row>
    <row r="35" ht="12.75">
      <c r="C35" s="28" t="s">
        <v>192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I21 K2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="60" zoomScalePageLayoutView="0" workbookViewId="0" topLeftCell="A1">
      <selection activeCell="S66" activeCellId="1" sqref="C24 S66"/>
    </sheetView>
  </sheetViews>
  <sheetFormatPr defaultColWidth="9.140625" defaultRowHeight="12.75"/>
  <cols>
    <col min="1" max="1" width="6.7109375" style="0" customWidth="1"/>
    <col min="2" max="2" width="0.85546875" style="0" customWidth="1"/>
    <col min="3" max="3" width="10.7109375" style="0" customWidth="1"/>
    <col min="4" max="4" width="0.85546875" style="0" customWidth="1"/>
    <col min="5" max="5" width="9.7109375" style="0" customWidth="1"/>
    <col min="6" max="6" width="0.85546875" style="0" customWidth="1"/>
    <col min="7" max="7" width="10.7109375" style="0" customWidth="1"/>
    <col min="8" max="8" width="0.85546875" style="0" customWidth="1"/>
    <col min="9" max="9" width="12.7109375" style="0" customWidth="1"/>
    <col min="10" max="10" width="0.85546875" style="0" customWidth="1"/>
    <col min="11" max="11" width="12.7109375" style="0" customWidth="1"/>
    <col min="12" max="12" width="0.85546875" style="0" customWidth="1"/>
  </cols>
  <sheetData>
    <row r="1" spans="1:11" ht="12.75">
      <c r="A1" t="s">
        <v>14</v>
      </c>
      <c r="K1" t="s">
        <v>102</v>
      </c>
    </row>
    <row r="2" spans="1:11" ht="12.75">
      <c r="A2" t="s">
        <v>108</v>
      </c>
      <c r="K2" s="28" t="str">
        <f>'2017VMGT'!K2</f>
        <v>Exhibit No. HWS-6</v>
      </c>
    </row>
    <row r="3" ht="12.75">
      <c r="K3" s="28" t="str">
        <f>'2017VMGT'!K3</f>
        <v>Vegetation Management</v>
      </c>
    </row>
    <row r="4" spans="1:11" ht="12.75">
      <c r="A4" t="s">
        <v>13</v>
      </c>
      <c r="K4" s="28" t="s">
        <v>12</v>
      </c>
    </row>
    <row r="6" ht="12.75">
      <c r="J6" s="9" t="s">
        <v>76</v>
      </c>
    </row>
    <row r="7" spans="1:13" ht="12.75">
      <c r="A7" s="3" t="s">
        <v>8</v>
      </c>
      <c r="C7" s="3"/>
      <c r="D7" s="3"/>
      <c r="E7" s="3" t="s">
        <v>48</v>
      </c>
      <c r="G7" s="27" t="s">
        <v>16</v>
      </c>
      <c r="J7" s="3"/>
      <c r="K7" s="20" t="s">
        <v>30</v>
      </c>
      <c r="M7" s="12"/>
    </row>
    <row r="8" spans="1:13" ht="12.75">
      <c r="A8" s="4" t="s">
        <v>9</v>
      </c>
      <c r="C8" s="4" t="s">
        <v>6</v>
      </c>
      <c r="D8" s="3"/>
      <c r="E8" s="15" t="s">
        <v>15</v>
      </c>
      <c r="G8" s="15" t="s">
        <v>15</v>
      </c>
      <c r="I8" s="15" t="s">
        <v>16</v>
      </c>
      <c r="J8" s="3"/>
      <c r="K8" s="15" t="s">
        <v>10</v>
      </c>
      <c r="M8" s="31" t="s">
        <v>29</v>
      </c>
    </row>
    <row r="10" spans="1:13" ht="12.75">
      <c r="A10" s="3">
        <v>1</v>
      </c>
      <c r="C10" s="3">
        <v>2011</v>
      </c>
      <c r="E10" s="1">
        <v>12225</v>
      </c>
      <c r="G10" s="1">
        <v>14840</v>
      </c>
      <c r="I10" s="1">
        <v>60600</v>
      </c>
      <c r="K10" s="1">
        <v>60000</v>
      </c>
      <c r="M10" s="36">
        <f>I10/K10</f>
        <v>1.01</v>
      </c>
    </row>
    <row r="11" spans="1:13" ht="12.75">
      <c r="A11" s="3">
        <v>2</v>
      </c>
      <c r="C11" s="3">
        <v>2012</v>
      </c>
      <c r="E11" s="1">
        <v>12700</v>
      </c>
      <c r="G11" s="1">
        <v>15271</v>
      </c>
      <c r="I11" s="1">
        <v>61700</v>
      </c>
      <c r="K11" s="1">
        <v>59400</v>
      </c>
      <c r="M11" s="36">
        <f>I11/K11</f>
        <v>1.0387205387205387</v>
      </c>
    </row>
    <row r="12" spans="1:13" ht="12.75">
      <c r="A12" s="3">
        <v>3</v>
      </c>
      <c r="C12" s="3">
        <v>2013</v>
      </c>
      <c r="E12" s="1">
        <v>15400</v>
      </c>
      <c r="G12" s="1">
        <v>15861</v>
      </c>
      <c r="I12" s="1">
        <v>63100</v>
      </c>
      <c r="K12" s="1">
        <v>65700</v>
      </c>
      <c r="M12" s="36">
        <f>I12/K12</f>
        <v>0.9604261796042618</v>
      </c>
    </row>
    <row r="13" spans="1:13" ht="12.75">
      <c r="A13" s="3">
        <v>4</v>
      </c>
      <c r="C13" s="3">
        <v>2014</v>
      </c>
      <c r="E13" s="1">
        <v>15000</v>
      </c>
      <c r="G13" s="1">
        <v>15178</v>
      </c>
      <c r="I13" s="17">
        <v>58500</v>
      </c>
      <c r="K13" s="1">
        <v>62200</v>
      </c>
      <c r="M13" s="36">
        <f>I13/K13</f>
        <v>0.9405144694533762</v>
      </c>
    </row>
    <row r="14" spans="1:13" ht="12.75">
      <c r="A14" s="3">
        <v>5</v>
      </c>
      <c r="C14" s="3">
        <v>2015</v>
      </c>
      <c r="E14" s="1">
        <v>15100</v>
      </c>
      <c r="G14" s="1">
        <v>15244</v>
      </c>
      <c r="I14" s="1">
        <v>62900</v>
      </c>
      <c r="K14" s="1">
        <v>63100</v>
      </c>
      <c r="M14" s="36">
        <f>I14/K14</f>
        <v>0.9968304278922345</v>
      </c>
    </row>
    <row r="15" spans="1:13" ht="12.75">
      <c r="A15" s="3">
        <v>6</v>
      </c>
      <c r="C15" s="3">
        <v>2016</v>
      </c>
      <c r="E15" s="1"/>
      <c r="G15" s="1"/>
      <c r="I15" s="1"/>
      <c r="K15" s="1">
        <v>64700</v>
      </c>
      <c r="M15" s="34"/>
    </row>
    <row r="16" spans="1:13" ht="12.75">
      <c r="A16" s="3">
        <v>7</v>
      </c>
      <c r="C16" s="12">
        <v>2017</v>
      </c>
      <c r="E16" s="1">
        <v>15100</v>
      </c>
      <c r="F16" s="21"/>
      <c r="G16" s="22"/>
      <c r="I16" s="1"/>
      <c r="J16" s="1"/>
      <c r="K16" s="1">
        <v>65600</v>
      </c>
      <c r="M16" s="3"/>
    </row>
    <row r="17" spans="1:13" ht="12.75">
      <c r="A17" s="3">
        <v>8</v>
      </c>
      <c r="C17" s="12">
        <v>2018</v>
      </c>
      <c r="E17" s="1">
        <v>15100</v>
      </c>
      <c r="F17" s="1"/>
      <c r="G17" s="1"/>
      <c r="I17" s="1"/>
      <c r="J17" s="1"/>
      <c r="K17" s="1">
        <v>69600</v>
      </c>
      <c r="M17" s="3"/>
    </row>
    <row r="19" spans="1:13" ht="12.75">
      <c r="A19" s="3">
        <v>9</v>
      </c>
      <c r="C19" s="28" t="s">
        <v>103</v>
      </c>
      <c r="I19" s="1">
        <f>SUM(I10:I14)/5</f>
        <v>61360</v>
      </c>
      <c r="K19" s="1"/>
      <c r="M19" s="1"/>
    </row>
    <row r="20" ht="12.75">
      <c r="M20" s="23" t="s">
        <v>29</v>
      </c>
    </row>
    <row r="21" spans="1:13" ht="12.75">
      <c r="A21" s="3">
        <v>10</v>
      </c>
      <c r="C21" s="28" t="s">
        <v>189</v>
      </c>
      <c r="I21" s="1">
        <f>SUM(I12:I14)/3</f>
        <v>61500</v>
      </c>
      <c r="K21" s="1">
        <f>SUM(K12:K14)/3</f>
        <v>63666.666666666664</v>
      </c>
      <c r="M21">
        <f>I21/K21</f>
        <v>0.9659685863874345</v>
      </c>
    </row>
    <row r="23" spans="1:13" ht="12.75">
      <c r="A23" s="3">
        <v>12</v>
      </c>
      <c r="C23" s="10" t="s">
        <v>194</v>
      </c>
      <c r="F23" s="1"/>
      <c r="G23" s="1"/>
      <c r="K23" s="8">
        <f>K14*M21*1.02</f>
        <v>62171.67015706806</v>
      </c>
      <c r="M23" s="3"/>
    </row>
    <row r="24" spans="1:11" ht="12.75">
      <c r="A24" s="3"/>
      <c r="K24" s="5"/>
    </row>
    <row r="25" spans="1:13" ht="12.75">
      <c r="A25" s="3">
        <v>13</v>
      </c>
      <c r="C25" s="35" t="s">
        <v>110</v>
      </c>
      <c r="E25" s="1"/>
      <c r="K25" s="6">
        <v>69600</v>
      </c>
      <c r="M25" s="3"/>
    </row>
    <row r="26" spans="1:13" ht="12.75">
      <c r="A26" s="3"/>
      <c r="M26" s="3"/>
    </row>
    <row r="27" spans="1:11" ht="13.5" thickBot="1">
      <c r="A27" s="3">
        <v>14</v>
      </c>
      <c r="C27" t="s">
        <v>195</v>
      </c>
      <c r="E27" s="1"/>
      <c r="F27" s="1"/>
      <c r="G27" s="1"/>
      <c r="K27" s="7">
        <f>K23-K25</f>
        <v>-7428.32984293194</v>
      </c>
    </row>
    <row r="28" ht="13.5" thickTop="1">
      <c r="M28" s="3"/>
    </row>
    <row r="29" spans="1:13" ht="13.5" thickBot="1">
      <c r="A29" s="3">
        <v>15</v>
      </c>
      <c r="C29" s="28" t="s">
        <v>196</v>
      </c>
      <c r="K29" s="7">
        <f>K27*1</f>
        <v>-7428.32984293194</v>
      </c>
      <c r="M29" s="27"/>
    </row>
    <row r="30" ht="13.5" thickTop="1"/>
    <row r="31" ht="12.75">
      <c r="A31" s="3"/>
    </row>
    <row r="32" spans="1:3" ht="12.75">
      <c r="A32" t="s">
        <v>5</v>
      </c>
      <c r="C32" s="28" t="s">
        <v>190</v>
      </c>
    </row>
    <row r="33" ht="12.75">
      <c r="C33" s="28" t="s">
        <v>191</v>
      </c>
    </row>
    <row r="34" ht="12.75">
      <c r="C34" s="28" t="s">
        <v>186</v>
      </c>
    </row>
    <row r="35" ht="12.75">
      <c r="C35" s="28" t="s">
        <v>192</v>
      </c>
    </row>
    <row r="36" ht="12.75">
      <c r="C36" s="28" t="s">
        <v>111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0"/>
  <sheetViews>
    <sheetView tabSelected="1" view="pageBreakPreview" zoomScale="60" zoomScalePageLayoutView="0" workbookViewId="0" topLeftCell="A1">
      <selection activeCell="S66" activeCellId="1" sqref="C24 S66"/>
    </sheetView>
  </sheetViews>
  <sheetFormatPr defaultColWidth="9.140625" defaultRowHeight="12.75"/>
  <cols>
    <col min="1" max="1" width="6.7109375" style="0" customWidth="1"/>
    <col min="2" max="2" width="0.85546875" style="0" customWidth="1"/>
    <col min="3" max="3" width="8.7109375" style="0" customWidth="1"/>
    <col min="4" max="4" width="0.85546875" style="0" customWidth="1"/>
    <col min="5" max="5" width="11.7109375" style="0" customWidth="1"/>
    <col min="6" max="6" width="0.85546875" style="0" customWidth="1"/>
    <col min="7" max="7" width="9.7109375" style="0" customWidth="1"/>
    <col min="8" max="8" width="0.85546875" style="0" customWidth="1"/>
    <col min="9" max="9" width="12.7109375" style="0" customWidth="1"/>
    <col min="10" max="10" width="0.85546875" style="0" customWidth="1"/>
    <col min="11" max="11" width="12.7109375" style="0" customWidth="1"/>
    <col min="12" max="12" width="0.85546875" style="0" customWidth="1"/>
    <col min="14" max="14" width="0.85546875" style="0" customWidth="1"/>
    <col min="15" max="15" width="9.7109375" style="0" customWidth="1"/>
    <col min="16" max="16" width="13.7109375" style="0" customWidth="1"/>
  </cols>
  <sheetData>
    <row r="1" spans="1:12" ht="12.75">
      <c r="A1" t="s">
        <v>14</v>
      </c>
      <c r="L1" s="28" t="s">
        <v>102</v>
      </c>
    </row>
    <row r="2" spans="1:12" ht="12.75">
      <c r="A2" s="28" t="s">
        <v>101</v>
      </c>
      <c r="L2" s="28" t="s">
        <v>90</v>
      </c>
    </row>
    <row r="3" ht="12.75">
      <c r="L3" s="28" t="s">
        <v>197</v>
      </c>
    </row>
    <row r="4" spans="1:12" ht="12.75">
      <c r="A4" t="s">
        <v>200</v>
      </c>
      <c r="L4" s="28" t="s">
        <v>198</v>
      </c>
    </row>
    <row r="7" ht="12.75">
      <c r="J7" s="9" t="s">
        <v>76</v>
      </c>
    </row>
    <row r="8" spans="1:15" ht="12.75">
      <c r="A8" s="3" t="s">
        <v>8</v>
      </c>
      <c r="C8" s="3"/>
      <c r="D8" s="3"/>
      <c r="E8" s="12" t="s">
        <v>17</v>
      </c>
      <c r="G8" s="12" t="s">
        <v>19</v>
      </c>
      <c r="J8" s="3"/>
      <c r="K8" s="20" t="s">
        <v>30</v>
      </c>
      <c r="M8" s="12" t="s">
        <v>0</v>
      </c>
      <c r="N8" s="12"/>
      <c r="O8" s="12" t="s">
        <v>32</v>
      </c>
    </row>
    <row r="9" spans="1:15" ht="12.75">
      <c r="A9" s="4" t="s">
        <v>9</v>
      </c>
      <c r="C9" s="4" t="s">
        <v>6</v>
      </c>
      <c r="D9" s="3"/>
      <c r="E9" s="15" t="s">
        <v>18</v>
      </c>
      <c r="G9" s="15" t="s">
        <v>20</v>
      </c>
      <c r="I9" s="15" t="s">
        <v>16</v>
      </c>
      <c r="J9" s="3"/>
      <c r="K9" s="15" t="s">
        <v>10</v>
      </c>
      <c r="M9" s="15" t="s">
        <v>31</v>
      </c>
      <c r="N9" s="20"/>
      <c r="O9" s="15" t="s">
        <v>33</v>
      </c>
    </row>
    <row r="11" spans="1:15" ht="12.75">
      <c r="A11" s="3">
        <v>1</v>
      </c>
      <c r="C11" s="3">
        <v>2007</v>
      </c>
      <c r="E11" s="1">
        <v>141332</v>
      </c>
      <c r="G11" s="1">
        <v>9801</v>
      </c>
      <c r="I11" s="1">
        <v>8577.975</v>
      </c>
      <c r="K11" s="1"/>
      <c r="M11" s="24">
        <f>I11/E11*1000</f>
        <v>60.69379192256531</v>
      </c>
      <c r="N11" s="24"/>
      <c r="O11" s="25">
        <f aca="true" t="shared" si="0" ref="O11:O19">G11/E11</f>
        <v>0.06934735233351258</v>
      </c>
    </row>
    <row r="12" spans="1:15" ht="12.75">
      <c r="A12" s="3">
        <v>2</v>
      </c>
      <c r="C12" s="3">
        <v>2008</v>
      </c>
      <c r="E12" s="1">
        <v>143319</v>
      </c>
      <c r="G12" s="1">
        <v>10040</v>
      </c>
      <c r="I12" s="1">
        <v>12654.048</v>
      </c>
      <c r="K12" s="1">
        <v>14417</v>
      </c>
      <c r="M12" s="24">
        <f aca="true" t="shared" si="1" ref="M12:M19">I12/E12*1000</f>
        <v>88.29288510246373</v>
      </c>
      <c r="N12" s="24"/>
      <c r="O12" s="25">
        <f t="shared" si="0"/>
        <v>0.07005351697960494</v>
      </c>
    </row>
    <row r="13" spans="1:15" ht="12.75">
      <c r="A13" s="3">
        <v>3</v>
      </c>
      <c r="C13" s="3">
        <v>2009</v>
      </c>
      <c r="E13" s="1">
        <v>138970</v>
      </c>
      <c r="G13" s="1">
        <v>15243</v>
      </c>
      <c r="I13" s="1">
        <v>10896.01</v>
      </c>
      <c r="K13" s="1">
        <v>13024</v>
      </c>
      <c r="M13" s="24">
        <f t="shared" si="1"/>
        <v>78.40548319781247</v>
      </c>
      <c r="N13" s="24"/>
      <c r="O13" s="25">
        <f t="shared" si="0"/>
        <v>0.10968554364251278</v>
      </c>
    </row>
    <row r="14" spans="1:15" ht="12.75">
      <c r="A14" s="3">
        <v>4</v>
      </c>
      <c r="C14" s="3">
        <v>2010</v>
      </c>
      <c r="E14" s="1">
        <v>141423</v>
      </c>
      <c r="G14" s="1">
        <v>15636</v>
      </c>
      <c r="I14" s="1">
        <v>10662.172</v>
      </c>
      <c r="K14" s="1">
        <v>15064</v>
      </c>
      <c r="M14" s="24">
        <f t="shared" si="1"/>
        <v>75.39206493993197</v>
      </c>
      <c r="N14" s="24"/>
      <c r="O14" s="25">
        <f t="shared" si="0"/>
        <v>0.11056193122759382</v>
      </c>
    </row>
    <row r="15" spans="1:15" ht="12.75">
      <c r="A15" s="3">
        <v>5</v>
      </c>
      <c r="C15" s="3">
        <v>2011</v>
      </c>
      <c r="E15" s="1">
        <v>137315</v>
      </c>
      <c r="G15" s="1">
        <v>16585</v>
      </c>
      <c r="I15" s="1">
        <v>17517.318</v>
      </c>
      <c r="K15" s="1">
        <v>15300</v>
      </c>
      <c r="M15" s="24">
        <f t="shared" si="1"/>
        <v>127.57031642573644</v>
      </c>
      <c r="N15" s="24"/>
      <c r="O15" s="25">
        <f t="shared" si="0"/>
        <v>0.12078068674216218</v>
      </c>
    </row>
    <row r="16" spans="1:15" ht="12.75">
      <c r="A16" s="3">
        <v>6</v>
      </c>
      <c r="C16" s="3">
        <v>2012</v>
      </c>
      <c r="E16" s="1">
        <v>139426</v>
      </c>
      <c r="G16" s="1">
        <v>16740</v>
      </c>
      <c r="I16" s="1">
        <v>14800</v>
      </c>
      <c r="K16" s="1">
        <v>15000</v>
      </c>
      <c r="M16" s="24">
        <f t="shared" si="1"/>
        <v>106.14949865878674</v>
      </c>
      <c r="N16" s="24"/>
      <c r="O16" s="25">
        <f t="shared" si="0"/>
        <v>0.12006368969919527</v>
      </c>
    </row>
    <row r="17" spans="1:15" ht="12.75">
      <c r="A17" s="3">
        <v>7</v>
      </c>
      <c r="C17" s="3">
        <v>2013</v>
      </c>
      <c r="E17" s="1">
        <v>138310</v>
      </c>
      <c r="G17" s="1">
        <v>16715</v>
      </c>
      <c r="I17" s="1">
        <v>14200</v>
      </c>
      <c r="K17" s="1">
        <v>14900</v>
      </c>
      <c r="M17" s="24">
        <f t="shared" si="1"/>
        <v>102.66791989010194</v>
      </c>
      <c r="N17" s="24"/>
      <c r="O17" s="25">
        <f t="shared" si="0"/>
        <v>0.12085170992697564</v>
      </c>
    </row>
    <row r="18" spans="1:15" ht="12.75">
      <c r="A18" s="3">
        <v>8</v>
      </c>
      <c r="C18" s="3">
        <v>2014</v>
      </c>
      <c r="E18" s="1">
        <v>146325</v>
      </c>
      <c r="F18" s="1"/>
      <c r="G18" s="1">
        <v>17137</v>
      </c>
      <c r="I18" s="1">
        <v>3900</v>
      </c>
      <c r="J18" s="1"/>
      <c r="K18" s="1">
        <v>12600</v>
      </c>
      <c r="M18" s="24">
        <f t="shared" si="1"/>
        <v>26.652998462327012</v>
      </c>
      <c r="N18" s="3"/>
      <c r="O18" s="25">
        <f t="shared" si="0"/>
        <v>0.11711600888433282</v>
      </c>
    </row>
    <row r="19" spans="1:15" ht="12.75">
      <c r="A19" s="3">
        <v>9</v>
      </c>
      <c r="C19" s="3">
        <v>2015</v>
      </c>
      <c r="E19" s="1">
        <v>151679</v>
      </c>
      <c r="F19" s="1"/>
      <c r="G19" s="1">
        <v>11384</v>
      </c>
      <c r="I19" s="1">
        <v>6000</v>
      </c>
      <c r="J19" s="1"/>
      <c r="K19" s="1">
        <v>6300</v>
      </c>
      <c r="M19" s="24">
        <f t="shared" si="1"/>
        <v>39.55722281924327</v>
      </c>
      <c r="N19" s="3"/>
      <c r="O19" s="25">
        <f t="shared" si="0"/>
        <v>0.07505323742904423</v>
      </c>
    </row>
    <row r="20" spans="1:14" ht="12.75">
      <c r="A20" s="3"/>
      <c r="C20" s="3"/>
      <c r="E20" s="1"/>
      <c r="F20" s="1"/>
      <c r="G20" s="14"/>
      <c r="I20" s="1"/>
      <c r="J20" s="1"/>
      <c r="K20" s="1"/>
      <c r="M20" s="3"/>
      <c r="N20" s="3"/>
    </row>
    <row r="21" spans="1:14" ht="12.75">
      <c r="A21" s="3">
        <v>10</v>
      </c>
      <c r="C21" s="3">
        <v>2016</v>
      </c>
      <c r="E21" s="1">
        <v>145250</v>
      </c>
      <c r="F21" s="1"/>
      <c r="G21" s="14"/>
      <c r="I21" s="1"/>
      <c r="J21" s="1"/>
      <c r="K21" s="1">
        <f>1600*(45.7/12)+7</f>
        <v>6100.333333333334</v>
      </c>
      <c r="M21" s="24">
        <f>K21/E21*1000</f>
        <v>41.998852553069426</v>
      </c>
      <c r="N21" s="3"/>
    </row>
    <row r="22" spans="1:14" ht="12.75">
      <c r="A22" s="3">
        <v>11</v>
      </c>
      <c r="C22" s="3">
        <v>2017</v>
      </c>
      <c r="E22" s="1">
        <v>145250</v>
      </c>
      <c r="F22" s="1"/>
      <c r="G22" s="14"/>
      <c r="I22" s="1"/>
      <c r="J22" s="1"/>
      <c r="K22" s="1">
        <v>5800</v>
      </c>
      <c r="M22" s="24">
        <f>K22/E22*1000</f>
        <v>39.93115318416523</v>
      </c>
      <c r="N22" s="3"/>
    </row>
    <row r="23" spans="1:14" ht="12.75">
      <c r="A23" s="3">
        <v>12</v>
      </c>
      <c r="C23" s="3">
        <v>2018</v>
      </c>
      <c r="E23" s="1">
        <v>145250</v>
      </c>
      <c r="F23" s="1"/>
      <c r="G23" s="14"/>
      <c r="I23" s="1"/>
      <c r="J23" s="1"/>
      <c r="K23" s="1">
        <v>5900</v>
      </c>
      <c r="M23" s="24">
        <f>K23/E23*1000</f>
        <v>40.61962134251291</v>
      </c>
      <c r="N23" s="3"/>
    </row>
    <row r="24" spans="1:14" ht="12.75">
      <c r="A24" s="3"/>
      <c r="C24" s="3"/>
      <c r="E24" s="1"/>
      <c r="F24" s="1"/>
      <c r="G24" s="14"/>
      <c r="I24" s="1"/>
      <c r="J24" s="1"/>
      <c r="K24" s="1"/>
      <c r="M24" s="3"/>
      <c r="N24" s="3"/>
    </row>
    <row r="25" spans="1:15" ht="12.75">
      <c r="A25" s="3">
        <v>13</v>
      </c>
      <c r="C25" s="12" t="s">
        <v>16</v>
      </c>
      <c r="E25" s="1">
        <f>SUM(E11:E19)</f>
        <v>1278099</v>
      </c>
      <c r="F25" s="1"/>
      <c r="G25" s="1">
        <f>SUM(G11:G19)</f>
        <v>129281</v>
      </c>
      <c r="I25" s="1">
        <f>SUM(I11:I19)</f>
        <v>99207.523</v>
      </c>
      <c r="K25" s="1"/>
      <c r="M25" s="39"/>
      <c r="N25" s="3"/>
      <c r="O25" s="25">
        <f>G25/E25</f>
        <v>0.10115100629919904</v>
      </c>
    </row>
    <row r="26" ht="12.75">
      <c r="A26" s="3"/>
    </row>
    <row r="27" spans="1:11" ht="12.75">
      <c r="A27" s="3">
        <v>14</v>
      </c>
      <c r="C27" s="28" t="s">
        <v>112</v>
      </c>
      <c r="I27" s="1">
        <f>SUM(I15:I19)/5</f>
        <v>11283.4636</v>
      </c>
      <c r="K27" s="1">
        <f>SUM(K15:K19)/5</f>
        <v>12820</v>
      </c>
    </row>
    <row r="28" spans="13:14" ht="12.75">
      <c r="M28" s="23" t="s">
        <v>29</v>
      </c>
      <c r="N28" s="23"/>
    </row>
    <row r="29" spans="1:13" ht="12.75">
      <c r="A29" s="3">
        <v>15</v>
      </c>
      <c r="C29" s="13" t="s">
        <v>34</v>
      </c>
      <c r="I29" s="1">
        <f>SUM(I17:I19)/3</f>
        <v>8033.333333333333</v>
      </c>
      <c r="K29" s="1">
        <f>SUM(K17:K19)/3</f>
        <v>11266.666666666666</v>
      </c>
      <c r="M29">
        <f>I29/K29</f>
        <v>0.7130177514792899</v>
      </c>
    </row>
    <row r="31" spans="1:14" ht="12.75">
      <c r="A31" s="3">
        <v>16</v>
      </c>
      <c r="C31" s="35" t="s">
        <v>104</v>
      </c>
      <c r="F31" s="1"/>
      <c r="G31" s="1"/>
      <c r="K31" s="1">
        <f>K33*M29</f>
        <v>4135.502958579881</v>
      </c>
      <c r="M31" s="3"/>
      <c r="N31" s="3"/>
    </row>
    <row r="32" spans="1:14" ht="12.75">
      <c r="A32" s="3"/>
      <c r="K32" s="5"/>
      <c r="M32" s="3"/>
      <c r="N32" s="3"/>
    </row>
    <row r="33" spans="1:11" ht="12.75">
      <c r="A33" s="3">
        <v>17</v>
      </c>
      <c r="C33" s="35" t="s">
        <v>105</v>
      </c>
      <c r="E33" s="1"/>
      <c r="K33" s="6">
        <v>5800</v>
      </c>
    </row>
    <row r="34" spans="1:14" ht="12.75">
      <c r="A34" s="3"/>
      <c r="M34" s="3"/>
      <c r="N34" s="3"/>
    </row>
    <row r="35" spans="1:14" ht="13.5" thickBot="1">
      <c r="A35" s="3">
        <v>18</v>
      </c>
      <c r="C35" t="s">
        <v>187</v>
      </c>
      <c r="E35" s="1"/>
      <c r="F35" s="1"/>
      <c r="G35" s="1"/>
      <c r="K35" s="7">
        <f>K31-K33</f>
        <v>-1664.4970414201189</v>
      </c>
      <c r="M35" s="3"/>
      <c r="N35" s="3"/>
    </row>
    <row r="36" ht="13.5" thickTop="1"/>
    <row r="37" spans="1:11" ht="13.5" thickBot="1">
      <c r="A37" s="3">
        <v>19</v>
      </c>
      <c r="C37" s="28" t="s">
        <v>199</v>
      </c>
      <c r="K37" s="7">
        <f>K35*0.999358</f>
        <v>-1663.428434319527</v>
      </c>
    </row>
    <row r="38" ht="13.5" thickTop="1">
      <c r="A38" s="3"/>
    </row>
    <row r="39" ht="12.75">
      <c r="K39" s="3"/>
    </row>
    <row r="41" spans="1:3" ht="12.75">
      <c r="A41" t="s">
        <v>5</v>
      </c>
      <c r="C41" s="28" t="s">
        <v>215</v>
      </c>
    </row>
    <row r="42" ht="12.75">
      <c r="C42" s="28" t="s">
        <v>216</v>
      </c>
    </row>
    <row r="43" ht="12.75">
      <c r="C43" s="28" t="s">
        <v>217</v>
      </c>
    </row>
    <row r="44" ht="12.75">
      <c r="C44" s="28" t="s">
        <v>218</v>
      </c>
    </row>
    <row r="45" ht="12.75">
      <c r="C45" s="28" t="s">
        <v>201</v>
      </c>
    </row>
    <row r="46" ht="12.75">
      <c r="C46" s="13"/>
    </row>
    <row r="47" spans="3:12" ht="12.75">
      <c r="C47" s="13"/>
      <c r="L47" s="8"/>
    </row>
    <row r="48" spans="3:12" ht="12.75">
      <c r="C48" s="13"/>
      <c r="L48" s="8"/>
    </row>
    <row r="49" spans="3:12" ht="12.75">
      <c r="C49" s="13"/>
      <c r="L49" s="8"/>
    </row>
    <row r="50" spans="3:12" ht="12.75">
      <c r="C50" s="13"/>
      <c r="L50" s="8"/>
    </row>
    <row r="51" spans="3:12" ht="12.75">
      <c r="C51" s="13"/>
      <c r="L51" s="8"/>
    </row>
    <row r="52" spans="3:12" ht="12.75">
      <c r="C52" s="13"/>
      <c r="L52" s="8"/>
    </row>
    <row r="53" spans="3:12" ht="12.75">
      <c r="C53" s="13"/>
      <c r="L53" s="8"/>
    </row>
    <row r="54" spans="3:12" ht="12.75">
      <c r="C54" s="13"/>
      <c r="L54" s="8"/>
    </row>
    <row r="55" spans="3:12" ht="12.75">
      <c r="C55" s="13"/>
      <c r="L55" s="8"/>
    </row>
    <row r="56" spans="3:12" ht="12.75">
      <c r="C56" s="13"/>
      <c r="L56" s="8"/>
    </row>
    <row r="57" spans="3:12" ht="12.75">
      <c r="C57" s="13"/>
      <c r="L57" s="8"/>
    </row>
    <row r="58" spans="3:12" ht="12.75">
      <c r="C58" s="13"/>
      <c r="L58" s="8"/>
    </row>
    <row r="59" spans="3:12" ht="12.75">
      <c r="C59" s="13"/>
      <c r="L59" s="8"/>
    </row>
    <row r="60" spans="3:12" ht="12.75">
      <c r="C60" s="13"/>
      <c r="L60" s="8"/>
    </row>
    <row r="61" spans="3:12" ht="12.75">
      <c r="C61" s="13"/>
      <c r="L61" s="8"/>
    </row>
    <row r="62" spans="3:12" ht="12.75">
      <c r="C62" s="13"/>
      <c r="L62" s="8"/>
    </row>
    <row r="63" spans="3:12" ht="12.75">
      <c r="C63" s="13"/>
      <c r="L63" s="8"/>
    </row>
    <row r="64" spans="3:12" ht="12.75">
      <c r="C64" s="13"/>
      <c r="L64" s="8"/>
    </row>
    <row r="65" spans="3:12" ht="12.75">
      <c r="C65" s="13"/>
      <c r="L65" s="8"/>
    </row>
    <row r="66" spans="3:12" ht="12.75">
      <c r="C66" s="13"/>
      <c r="L66" s="8"/>
    </row>
    <row r="67" spans="3:12" ht="12.75">
      <c r="C67" s="13"/>
      <c r="L67" s="8"/>
    </row>
    <row r="68" spans="3:12" ht="12.75">
      <c r="C68" s="13"/>
      <c r="L68" s="8"/>
    </row>
    <row r="69" spans="3:12" ht="12.75">
      <c r="C69" s="13"/>
      <c r="L69" s="8"/>
    </row>
    <row r="70" spans="3:12" ht="12.75">
      <c r="C70" s="13"/>
      <c r="L70" s="8"/>
    </row>
    <row r="71" spans="3:12" ht="12.75">
      <c r="C71" s="13"/>
      <c r="L71" s="8"/>
    </row>
    <row r="72" spans="3:12" ht="12.75">
      <c r="C72" s="13"/>
      <c r="L72" s="8"/>
    </row>
    <row r="73" spans="3:12" ht="12.75">
      <c r="C73" s="13"/>
      <c r="L73" s="8"/>
    </row>
    <row r="74" spans="3:12" ht="12.75">
      <c r="C74" s="13"/>
      <c r="L74" s="8"/>
    </row>
    <row r="75" spans="3:12" ht="12.75">
      <c r="C75" s="13"/>
      <c r="L75" s="8"/>
    </row>
    <row r="76" spans="3:12" ht="12.75">
      <c r="C76" s="13"/>
      <c r="L76" s="8"/>
    </row>
    <row r="77" spans="3:12" ht="12.75">
      <c r="C77" s="13"/>
      <c r="L77" s="8"/>
    </row>
    <row r="78" spans="3:12" ht="12.75">
      <c r="C78" s="13"/>
      <c r="L78" s="8"/>
    </row>
    <row r="79" spans="3:12" ht="12.75">
      <c r="C79" s="13"/>
      <c r="L79" s="8"/>
    </row>
    <row r="80" spans="3:12" ht="12.75">
      <c r="C80" s="13"/>
      <c r="L80" s="8"/>
    </row>
    <row r="81" spans="3:12" ht="12.75">
      <c r="C81" s="13"/>
      <c r="L81" s="8"/>
    </row>
    <row r="82" spans="3:12" ht="12.75">
      <c r="C82" s="13"/>
      <c r="L82" s="8"/>
    </row>
    <row r="83" spans="3:12" ht="12.75">
      <c r="C83" s="13"/>
      <c r="L83" s="8"/>
    </row>
    <row r="84" spans="3:12" ht="12.75">
      <c r="C84" s="13"/>
      <c r="L84" s="8"/>
    </row>
    <row r="85" spans="3:12" ht="12.75">
      <c r="C85" s="13"/>
      <c r="L85" s="8"/>
    </row>
    <row r="86" spans="3:12" ht="12.75">
      <c r="C86" s="13"/>
      <c r="L86" s="8"/>
    </row>
    <row r="87" spans="3:12" ht="12.75">
      <c r="C87" s="13"/>
      <c r="L87" s="8"/>
    </row>
    <row r="88" spans="3:12" ht="12.75">
      <c r="C88" s="13"/>
      <c r="L88" s="8"/>
    </row>
    <row r="89" spans="3:12" ht="12.75">
      <c r="C89" s="13"/>
      <c r="L89" s="8"/>
    </row>
    <row r="90" spans="3:12" ht="12.75">
      <c r="C90" s="13"/>
      <c r="L90" s="8"/>
    </row>
  </sheetData>
  <sheetProtection/>
  <printOptions/>
  <pageMargins left="0.75" right="0.75" top="1" bottom="1" header="0.5" footer="0.5"/>
  <pageSetup horizontalDpi="600" verticalDpi="600" orientation="portrait" scale="90" r:id="rId1"/>
  <rowBreaks count="1" manualBreakCount="1">
    <brk id="48" max="255" man="1"/>
  </rowBreaks>
  <ignoredErrors>
    <ignoredError sqref="K29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="60" zoomScalePageLayoutView="0" workbookViewId="0" topLeftCell="A1">
      <selection activeCell="S66" activeCellId="1" sqref="C24 S66"/>
    </sheetView>
  </sheetViews>
  <sheetFormatPr defaultColWidth="9.140625" defaultRowHeight="12.75"/>
  <cols>
    <col min="1" max="1" width="6.7109375" style="0" customWidth="1"/>
    <col min="2" max="2" width="0.85546875" style="0" customWidth="1"/>
    <col min="3" max="3" width="8.7109375" style="0" customWidth="1"/>
    <col min="4" max="4" width="0.85546875" style="0" customWidth="1"/>
    <col min="5" max="5" width="11.7109375" style="0" customWidth="1"/>
    <col min="6" max="6" width="0.85546875" style="0" customWidth="1"/>
    <col min="7" max="7" width="9.7109375" style="0" customWidth="1"/>
    <col min="8" max="8" width="0.85546875" style="0" customWidth="1"/>
    <col min="9" max="9" width="12.7109375" style="0" customWidth="1"/>
    <col min="10" max="10" width="0.85546875" style="0" customWidth="1"/>
    <col min="11" max="11" width="12.7109375" style="0" customWidth="1"/>
    <col min="12" max="12" width="0.85546875" style="0" customWidth="1"/>
    <col min="14" max="14" width="0.85546875" style="0" customWidth="1"/>
    <col min="15" max="15" width="9.7109375" style="0" customWidth="1"/>
    <col min="16" max="16" width="13.140625" style="0" customWidth="1"/>
  </cols>
  <sheetData>
    <row r="1" spans="1:12" ht="12.75">
      <c r="A1" t="s">
        <v>14</v>
      </c>
      <c r="L1" s="28" t="s">
        <v>102</v>
      </c>
    </row>
    <row r="2" spans="1:12" ht="12.75">
      <c r="A2" s="28" t="s">
        <v>108</v>
      </c>
      <c r="L2" s="28" t="str">
        <f>'2017Poleins'!L2</f>
        <v>Exhibit No. HWS-7</v>
      </c>
    </row>
    <row r="3" ht="12.75">
      <c r="L3" s="28" t="str">
        <f>'2017Poleins'!L3</f>
        <v>Pole Inspection Adjustment</v>
      </c>
    </row>
    <row r="4" spans="1:12" ht="12.75">
      <c r="A4" t="s">
        <v>204</v>
      </c>
      <c r="L4" t="s">
        <v>203</v>
      </c>
    </row>
    <row r="7" ht="12.75">
      <c r="J7" s="9" t="s">
        <v>76</v>
      </c>
    </row>
    <row r="8" spans="1:15" ht="12.75">
      <c r="A8" s="3" t="s">
        <v>8</v>
      </c>
      <c r="C8" s="3"/>
      <c r="D8" s="3"/>
      <c r="E8" s="12" t="s">
        <v>17</v>
      </c>
      <c r="G8" s="12" t="s">
        <v>19</v>
      </c>
      <c r="J8" s="3"/>
      <c r="K8" s="20" t="s">
        <v>30</v>
      </c>
      <c r="M8" s="12" t="s">
        <v>0</v>
      </c>
      <c r="N8" s="12"/>
      <c r="O8" s="12" t="s">
        <v>32</v>
      </c>
    </row>
    <row r="9" spans="1:15" ht="12.75">
      <c r="A9" s="4" t="s">
        <v>9</v>
      </c>
      <c r="C9" s="4" t="s">
        <v>6</v>
      </c>
      <c r="D9" s="3"/>
      <c r="E9" s="15" t="s">
        <v>18</v>
      </c>
      <c r="G9" s="15" t="s">
        <v>20</v>
      </c>
      <c r="I9" s="15" t="s">
        <v>16</v>
      </c>
      <c r="J9" s="3"/>
      <c r="K9" s="15" t="s">
        <v>10</v>
      </c>
      <c r="M9" s="15" t="s">
        <v>31</v>
      </c>
      <c r="N9" s="20"/>
      <c r="O9" s="15" t="s">
        <v>33</v>
      </c>
    </row>
    <row r="11" spans="1:15" ht="12.75">
      <c r="A11" s="3">
        <v>1</v>
      </c>
      <c r="C11" s="3">
        <v>2007</v>
      </c>
      <c r="E11" s="1">
        <v>141332</v>
      </c>
      <c r="G11" s="1">
        <v>9801</v>
      </c>
      <c r="I11" s="1">
        <v>8577.975</v>
      </c>
      <c r="K11" s="1"/>
      <c r="M11" s="24">
        <f>I11/E11*1000</f>
        <v>60.69379192256531</v>
      </c>
      <c r="N11" s="24"/>
      <c r="O11" s="25">
        <f aca="true" t="shared" si="0" ref="O11:O19">G11/E11</f>
        <v>0.06934735233351258</v>
      </c>
    </row>
    <row r="12" spans="1:15" ht="12.75">
      <c r="A12" s="3">
        <v>2</v>
      </c>
      <c r="C12" s="3">
        <v>2008</v>
      </c>
      <c r="E12" s="1">
        <v>143319</v>
      </c>
      <c r="G12" s="1">
        <v>10040</v>
      </c>
      <c r="I12" s="1">
        <v>12654.048</v>
      </c>
      <c r="K12" s="1">
        <v>14417</v>
      </c>
      <c r="M12" s="24">
        <f aca="true" t="shared" si="1" ref="M12:M19">I12/E12*1000</f>
        <v>88.29288510246373</v>
      </c>
      <c r="N12" s="24"/>
      <c r="O12" s="25">
        <f t="shared" si="0"/>
        <v>0.07005351697960494</v>
      </c>
    </row>
    <row r="13" spans="1:15" ht="12.75">
      <c r="A13" s="3">
        <v>3</v>
      </c>
      <c r="C13" s="3">
        <v>2009</v>
      </c>
      <c r="E13" s="1">
        <v>138970</v>
      </c>
      <c r="G13" s="1">
        <v>15243</v>
      </c>
      <c r="I13" s="1">
        <v>10896.01</v>
      </c>
      <c r="K13" s="1">
        <v>13024</v>
      </c>
      <c r="M13" s="24">
        <f t="shared" si="1"/>
        <v>78.40548319781247</v>
      </c>
      <c r="N13" s="24"/>
      <c r="O13" s="25">
        <f t="shared" si="0"/>
        <v>0.10968554364251278</v>
      </c>
    </row>
    <row r="14" spans="1:15" ht="12.75">
      <c r="A14" s="3">
        <v>4</v>
      </c>
      <c r="C14" s="3">
        <v>2010</v>
      </c>
      <c r="E14" s="1">
        <v>141423</v>
      </c>
      <c r="G14" s="1">
        <v>15636</v>
      </c>
      <c r="I14" s="1">
        <v>10662.172</v>
      </c>
      <c r="K14" s="1">
        <v>15064</v>
      </c>
      <c r="M14" s="24">
        <f t="shared" si="1"/>
        <v>75.39206493993197</v>
      </c>
      <c r="N14" s="24"/>
      <c r="O14" s="25">
        <f t="shared" si="0"/>
        <v>0.11056193122759382</v>
      </c>
    </row>
    <row r="15" spans="1:15" ht="12.75">
      <c r="A15" s="3">
        <v>5</v>
      </c>
      <c r="C15" s="3">
        <v>2011</v>
      </c>
      <c r="E15" s="1">
        <v>137315</v>
      </c>
      <c r="G15" s="1">
        <v>16585</v>
      </c>
      <c r="I15" s="1">
        <v>17517.318</v>
      </c>
      <c r="K15" s="1">
        <v>15300</v>
      </c>
      <c r="M15" s="24">
        <f t="shared" si="1"/>
        <v>127.57031642573644</v>
      </c>
      <c r="N15" s="24"/>
      <c r="O15" s="25">
        <f t="shared" si="0"/>
        <v>0.12078068674216218</v>
      </c>
    </row>
    <row r="16" spans="1:15" ht="12.75">
      <c r="A16" s="3">
        <v>6</v>
      </c>
      <c r="C16" s="3">
        <v>2012</v>
      </c>
      <c r="E16" s="1">
        <v>139426</v>
      </c>
      <c r="G16" s="1">
        <v>16740</v>
      </c>
      <c r="I16" s="1">
        <v>14800</v>
      </c>
      <c r="K16" s="1">
        <v>15000</v>
      </c>
      <c r="M16" s="24">
        <f t="shared" si="1"/>
        <v>106.14949865878674</v>
      </c>
      <c r="N16" s="24"/>
      <c r="O16" s="25">
        <f t="shared" si="0"/>
        <v>0.12006368969919527</v>
      </c>
    </row>
    <row r="17" spans="1:15" ht="12.75">
      <c r="A17" s="3">
        <v>7</v>
      </c>
      <c r="C17" s="3">
        <v>2013</v>
      </c>
      <c r="E17" s="1">
        <v>138310</v>
      </c>
      <c r="G17" s="1">
        <v>16715</v>
      </c>
      <c r="I17" s="1">
        <v>14200</v>
      </c>
      <c r="K17" s="1">
        <v>14900</v>
      </c>
      <c r="M17" s="24">
        <f t="shared" si="1"/>
        <v>102.66791989010194</v>
      </c>
      <c r="N17" s="24"/>
      <c r="O17" s="25">
        <f t="shared" si="0"/>
        <v>0.12085170992697564</v>
      </c>
    </row>
    <row r="18" spans="1:15" ht="12.75">
      <c r="A18" s="3">
        <v>8</v>
      </c>
      <c r="C18" s="3">
        <v>2014</v>
      </c>
      <c r="E18" s="1">
        <v>146325</v>
      </c>
      <c r="F18" s="1"/>
      <c r="G18" s="1">
        <v>17137</v>
      </c>
      <c r="I18" s="1">
        <v>3900</v>
      </c>
      <c r="J18" s="1"/>
      <c r="K18" s="1">
        <v>12600</v>
      </c>
      <c r="M18" s="24">
        <f t="shared" si="1"/>
        <v>26.652998462327012</v>
      </c>
      <c r="N18" s="3"/>
      <c r="O18" s="25">
        <f t="shared" si="0"/>
        <v>0.11711600888433282</v>
      </c>
    </row>
    <row r="19" spans="1:15" ht="12.75">
      <c r="A19" s="3">
        <v>9</v>
      </c>
      <c r="C19" s="3">
        <v>2015</v>
      </c>
      <c r="E19" s="1">
        <v>151679</v>
      </c>
      <c r="F19" s="1"/>
      <c r="G19" s="1">
        <v>11384</v>
      </c>
      <c r="I19" s="1">
        <v>6000</v>
      </c>
      <c r="J19" s="1"/>
      <c r="K19" s="1">
        <v>6300</v>
      </c>
      <c r="M19" s="24">
        <f t="shared" si="1"/>
        <v>39.55722281924327</v>
      </c>
      <c r="N19" s="3"/>
      <c r="O19" s="25">
        <f t="shared" si="0"/>
        <v>0.07505323742904423</v>
      </c>
    </row>
    <row r="20" spans="1:14" ht="12.75">
      <c r="A20" s="3"/>
      <c r="C20" s="3"/>
      <c r="E20" s="1"/>
      <c r="F20" s="1"/>
      <c r="G20" s="14"/>
      <c r="I20" s="1"/>
      <c r="J20" s="1"/>
      <c r="K20" s="1"/>
      <c r="M20" s="3"/>
      <c r="N20" s="3"/>
    </row>
    <row r="21" spans="1:14" ht="12.75">
      <c r="A21" s="3">
        <v>10</v>
      </c>
      <c r="C21" s="3">
        <v>2016</v>
      </c>
      <c r="E21" s="1">
        <v>145250</v>
      </c>
      <c r="F21" s="1"/>
      <c r="G21" s="14"/>
      <c r="I21" s="1"/>
      <c r="J21" s="1"/>
      <c r="K21" s="1">
        <f>1600*(45.7/12)+7</f>
        <v>6100.333333333334</v>
      </c>
      <c r="M21" s="24">
        <f>K21/E21*1000</f>
        <v>41.998852553069426</v>
      </c>
      <c r="N21" s="3"/>
    </row>
    <row r="22" spans="1:14" ht="12.75">
      <c r="A22" s="3">
        <v>11</v>
      </c>
      <c r="C22" s="3">
        <v>2017</v>
      </c>
      <c r="E22" s="1">
        <v>145250</v>
      </c>
      <c r="F22" s="1"/>
      <c r="G22" s="14"/>
      <c r="I22" s="1"/>
      <c r="J22" s="1"/>
      <c r="K22" s="1">
        <v>5800</v>
      </c>
      <c r="M22" s="24">
        <f>K22/E22*1000</f>
        <v>39.93115318416523</v>
      </c>
      <c r="N22" s="3"/>
    </row>
    <row r="23" spans="1:14" ht="12.75">
      <c r="A23" s="3">
        <v>12</v>
      </c>
      <c r="C23" s="3">
        <v>2018</v>
      </c>
      <c r="E23" s="1">
        <v>145250</v>
      </c>
      <c r="F23" s="1"/>
      <c r="G23" s="14"/>
      <c r="I23" s="1"/>
      <c r="J23" s="1"/>
      <c r="K23" s="1">
        <v>5900</v>
      </c>
      <c r="M23" s="24">
        <f>K23/E23*1000</f>
        <v>40.61962134251291</v>
      </c>
      <c r="N23" s="3"/>
    </row>
    <row r="24" spans="1:14" ht="12.75">
      <c r="A24" s="3"/>
      <c r="C24" s="3"/>
      <c r="E24" s="1"/>
      <c r="F24" s="1"/>
      <c r="G24" s="14"/>
      <c r="I24" s="1"/>
      <c r="J24" s="1"/>
      <c r="K24" s="1"/>
      <c r="M24" s="3"/>
      <c r="N24" s="3"/>
    </row>
    <row r="25" spans="1:15" ht="12.75">
      <c r="A25" s="3">
        <v>13</v>
      </c>
      <c r="C25" s="12" t="s">
        <v>16</v>
      </c>
      <c r="E25" s="1">
        <f>SUM(E11:E19)</f>
        <v>1278099</v>
      </c>
      <c r="F25" s="1"/>
      <c r="G25" s="1">
        <f>SUM(G11:G19)</f>
        <v>129281</v>
      </c>
      <c r="I25" s="1">
        <f>SUM(I11:I19)</f>
        <v>99207.523</v>
      </c>
      <c r="K25" s="1"/>
      <c r="M25" s="39"/>
      <c r="N25" s="3"/>
      <c r="O25" s="25">
        <f>G25/E25</f>
        <v>0.10115100629919904</v>
      </c>
    </row>
    <row r="26" ht="12.75">
      <c r="A26" s="3"/>
    </row>
    <row r="27" spans="1:11" ht="12.75">
      <c r="A27" s="3">
        <v>14</v>
      </c>
      <c r="C27" s="28" t="s">
        <v>112</v>
      </c>
      <c r="I27" s="1">
        <f>SUM(I15:I19)/5</f>
        <v>11283.4636</v>
      </c>
      <c r="K27" s="1">
        <f>SUM(K15:K19)/5</f>
        <v>12820</v>
      </c>
    </row>
    <row r="28" spans="13:14" ht="12.75">
      <c r="M28" s="23" t="s">
        <v>29</v>
      </c>
      <c r="N28" s="23"/>
    </row>
    <row r="29" spans="1:13" ht="12.75">
      <c r="A29" s="3">
        <v>15</v>
      </c>
      <c r="C29" s="13" t="s">
        <v>34</v>
      </c>
      <c r="I29" s="1">
        <f>SUM(I17:I19)/3</f>
        <v>8033.333333333333</v>
      </c>
      <c r="K29" s="1">
        <f>SUM(K17:K19)/3</f>
        <v>11266.666666666666</v>
      </c>
      <c r="M29">
        <f>I29/K29</f>
        <v>0.7130177514792899</v>
      </c>
    </row>
    <row r="31" spans="1:14" ht="12.75">
      <c r="A31" s="3">
        <v>16</v>
      </c>
      <c r="C31" s="35" t="s">
        <v>109</v>
      </c>
      <c r="F31" s="1"/>
      <c r="G31" s="1"/>
      <c r="K31" s="1">
        <f>K33*M29</f>
        <v>4206.80473372781</v>
      </c>
      <c r="M31" s="3"/>
      <c r="N31" s="3"/>
    </row>
    <row r="32" spans="1:14" ht="12.75">
      <c r="A32" s="3"/>
      <c r="K32" s="5"/>
      <c r="M32" s="3"/>
      <c r="N32" s="3"/>
    </row>
    <row r="33" spans="1:11" ht="12.75">
      <c r="A33" s="3">
        <v>17</v>
      </c>
      <c r="C33" s="35" t="s">
        <v>110</v>
      </c>
      <c r="E33" s="1"/>
      <c r="K33" s="6">
        <v>5900</v>
      </c>
    </row>
    <row r="34" spans="1:14" ht="12.75">
      <c r="A34" s="3"/>
      <c r="M34" s="3"/>
      <c r="N34" s="3"/>
    </row>
    <row r="35" spans="1:14" ht="13.5" thickBot="1">
      <c r="A35" s="3">
        <v>18</v>
      </c>
      <c r="C35" t="s">
        <v>195</v>
      </c>
      <c r="E35" s="1"/>
      <c r="F35" s="1"/>
      <c r="G35" s="1"/>
      <c r="K35" s="7">
        <f>K31-K33</f>
        <v>-1693.1952662721897</v>
      </c>
      <c r="M35" s="3"/>
      <c r="N35" s="3"/>
    </row>
    <row r="36" ht="13.5" thickTop="1"/>
    <row r="37" spans="1:11" ht="13.5" thickBot="1">
      <c r="A37" s="3">
        <v>19</v>
      </c>
      <c r="C37" s="28" t="s">
        <v>202</v>
      </c>
      <c r="K37" s="7">
        <f>K35*0.999422</f>
        <v>-1692.2165994082843</v>
      </c>
    </row>
    <row r="38" ht="13.5" thickTop="1">
      <c r="A38" s="3"/>
    </row>
    <row r="39" ht="12.75">
      <c r="K39" s="3"/>
    </row>
    <row r="41" spans="1:3" ht="12.75">
      <c r="A41" t="s">
        <v>5</v>
      </c>
      <c r="C41" s="28" t="s">
        <v>215</v>
      </c>
    </row>
    <row r="42" ht="12.75">
      <c r="C42" s="28" t="s">
        <v>216</v>
      </c>
    </row>
    <row r="43" ht="12.75">
      <c r="C43" s="28" t="s">
        <v>217</v>
      </c>
    </row>
    <row r="44" ht="12.75">
      <c r="C44" s="28" t="s">
        <v>218</v>
      </c>
    </row>
    <row r="45" ht="12.75">
      <c r="C45" s="28" t="s">
        <v>201</v>
      </c>
    </row>
  </sheetData>
  <sheetProtection/>
  <printOptions/>
  <pageMargins left="0.7" right="0.7" top="0.75" bottom="0.75" header="0.3" footer="0.3"/>
  <pageSetup horizontalDpi="600" verticalDpi="600" orientation="portrait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="60" zoomScalePageLayoutView="0" workbookViewId="0" topLeftCell="A1">
      <selection activeCell="S66" activeCellId="1" sqref="C24 S66"/>
    </sheetView>
  </sheetViews>
  <sheetFormatPr defaultColWidth="9.140625" defaultRowHeight="12.75"/>
  <cols>
    <col min="1" max="1" width="6.7109375" style="0" customWidth="1"/>
    <col min="2" max="2" width="0.85546875" style="0" customWidth="1"/>
    <col min="3" max="3" width="27.7109375" style="0" customWidth="1"/>
    <col min="4" max="4" width="0.85546875" style="0" customWidth="1"/>
    <col min="5" max="5" width="8.7109375" style="0" customWidth="1"/>
    <col min="6" max="6" width="0.85546875" style="0" customWidth="1"/>
    <col min="7" max="7" width="8.7109375" style="0" customWidth="1"/>
    <col min="8" max="8" width="0.85546875" style="0" customWidth="1"/>
    <col min="9" max="9" width="12.7109375" style="0" customWidth="1"/>
    <col min="10" max="10" width="0.85546875" style="0" customWidth="1"/>
    <col min="11" max="11" width="8.7109375" style="0" customWidth="1"/>
    <col min="12" max="12" width="0.85546875" style="0" customWidth="1"/>
    <col min="13" max="13" width="12.7109375" style="0" customWidth="1"/>
  </cols>
  <sheetData>
    <row r="1" spans="1:11" ht="12.75">
      <c r="A1" t="s">
        <v>14</v>
      </c>
      <c r="K1" t="s">
        <v>102</v>
      </c>
    </row>
    <row r="2" spans="1:11" ht="12.75">
      <c r="A2" t="s">
        <v>101</v>
      </c>
      <c r="K2" s="28" t="s">
        <v>91</v>
      </c>
    </row>
    <row r="3" ht="12.75">
      <c r="K3" s="28" t="s">
        <v>208</v>
      </c>
    </row>
    <row r="4" spans="1:11" ht="12.75">
      <c r="A4" s="28" t="s">
        <v>99</v>
      </c>
      <c r="K4" s="28" t="s">
        <v>209</v>
      </c>
    </row>
    <row r="6" spans="1:9" ht="12.75">
      <c r="A6" s="3" t="s">
        <v>8</v>
      </c>
      <c r="I6" s="9" t="s">
        <v>76</v>
      </c>
    </row>
    <row r="7" spans="1:13" ht="12.75">
      <c r="A7" s="4" t="s">
        <v>9</v>
      </c>
      <c r="C7" s="4" t="s">
        <v>66</v>
      </c>
      <c r="F7" s="3"/>
      <c r="H7" s="3"/>
      <c r="I7" s="15" t="s">
        <v>27</v>
      </c>
      <c r="J7" s="11"/>
      <c r="M7" s="15" t="s">
        <v>2</v>
      </c>
    </row>
    <row r="8" ht="12.75">
      <c r="A8" t="s">
        <v>49</v>
      </c>
    </row>
    <row r="9" spans="1:13" ht="12.75">
      <c r="A9" s="3">
        <v>1</v>
      </c>
      <c r="C9" s="28" t="s">
        <v>219</v>
      </c>
      <c r="I9" s="6">
        <v>2781</v>
      </c>
      <c r="M9" s="3" t="s">
        <v>3</v>
      </c>
    </row>
    <row r="11" spans="1:13" ht="12.75">
      <c r="A11" s="3">
        <v>2</v>
      </c>
      <c r="C11" s="28" t="s">
        <v>100</v>
      </c>
      <c r="I11" s="1">
        <f>-0.5*I9</f>
        <v>-1390.5</v>
      </c>
      <c r="M11" s="27" t="s">
        <v>77</v>
      </c>
    </row>
    <row r="12" ht="12.75">
      <c r="A12" s="3"/>
    </row>
    <row r="13" spans="1:9" ht="12.75">
      <c r="A13" s="3">
        <v>3</v>
      </c>
      <c r="C13" s="28" t="s">
        <v>205</v>
      </c>
      <c r="I13" s="29">
        <v>0.984797</v>
      </c>
    </row>
    <row r="14" ht="12.75">
      <c r="A14" s="3"/>
    </row>
    <row r="15" spans="1:9" ht="13.5" thickBot="1">
      <c r="A15" s="3">
        <v>4</v>
      </c>
      <c r="C15" s="28" t="s">
        <v>206</v>
      </c>
      <c r="I15" s="7">
        <f>I11*I13</f>
        <v>-1369.3602285</v>
      </c>
    </row>
    <row r="16" ht="13.5" thickTop="1"/>
    <row r="36" spans="1:3" ht="12.75">
      <c r="A36" t="s">
        <v>5</v>
      </c>
      <c r="C36" s="28" t="s">
        <v>207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="60" zoomScalePageLayoutView="0" workbookViewId="0" topLeftCell="A1">
      <selection activeCell="S66" activeCellId="1" sqref="C24 S66"/>
    </sheetView>
  </sheetViews>
  <sheetFormatPr defaultColWidth="9.140625" defaultRowHeight="12.75"/>
  <cols>
    <col min="1" max="1" width="6.7109375" style="0" customWidth="1"/>
    <col min="2" max="2" width="0.85546875" style="0" customWidth="1"/>
    <col min="3" max="3" width="13.7109375" style="0" customWidth="1"/>
    <col min="4" max="4" width="0.85546875" style="0" customWidth="1"/>
    <col min="5" max="5" width="9.7109375" style="0" customWidth="1"/>
    <col min="6" max="6" width="0.85546875" style="0" customWidth="1"/>
    <col min="7" max="7" width="9.7109375" style="0" customWidth="1"/>
    <col min="8" max="8" width="0.85546875" style="0" customWidth="1"/>
    <col min="9" max="9" width="9.7109375" style="0" customWidth="1"/>
    <col min="10" max="10" width="0.85546875" style="0" customWidth="1"/>
    <col min="11" max="11" width="9.7109375" style="0" customWidth="1"/>
    <col min="12" max="12" width="0.85546875" style="0" customWidth="1"/>
    <col min="13" max="13" width="9.7109375" style="0" customWidth="1"/>
    <col min="14" max="14" width="0.85546875" style="0" customWidth="1"/>
    <col min="15" max="15" width="9.7109375" style="0" customWidth="1"/>
    <col min="16" max="16" width="0.85546875" style="0" customWidth="1"/>
    <col min="17" max="17" width="9.7109375" style="0" customWidth="1"/>
  </cols>
  <sheetData>
    <row r="1" spans="1:14" ht="12.75">
      <c r="A1" t="s">
        <v>14</v>
      </c>
      <c r="N1" s="28" t="s">
        <v>102</v>
      </c>
    </row>
    <row r="2" spans="1:14" ht="12.75">
      <c r="A2" s="28" t="s">
        <v>101</v>
      </c>
      <c r="N2" s="28" t="s">
        <v>92</v>
      </c>
    </row>
    <row r="3" spans="12:14" ht="12.75">
      <c r="L3" s="13"/>
      <c r="N3" t="s">
        <v>122</v>
      </c>
    </row>
    <row r="4" spans="1:14" ht="12.75">
      <c r="A4" t="s">
        <v>214</v>
      </c>
      <c r="N4" t="s">
        <v>210</v>
      </c>
    </row>
    <row r="7" ht="12.75">
      <c r="J7" s="9" t="s">
        <v>76</v>
      </c>
    </row>
    <row r="8" spans="1:15" ht="12.75">
      <c r="A8" s="3" t="s">
        <v>8</v>
      </c>
      <c r="C8" s="3"/>
      <c r="D8" s="3"/>
      <c r="E8" s="12"/>
      <c r="G8" s="12"/>
      <c r="J8" s="3"/>
      <c r="K8" s="20"/>
      <c r="M8" s="12"/>
      <c r="N8" s="12"/>
      <c r="O8" s="12"/>
    </row>
    <row r="9" spans="1:17" ht="12.75">
      <c r="A9" s="4" t="s">
        <v>9</v>
      </c>
      <c r="C9" s="4" t="s">
        <v>66</v>
      </c>
      <c r="D9" s="3"/>
      <c r="E9" s="15">
        <v>2012</v>
      </c>
      <c r="G9" s="15">
        <v>2013</v>
      </c>
      <c r="I9" s="15">
        <v>2014</v>
      </c>
      <c r="J9" s="3"/>
      <c r="K9" s="15">
        <v>2015</v>
      </c>
      <c r="M9" s="15">
        <v>2016</v>
      </c>
      <c r="N9" s="20"/>
      <c r="O9" s="15">
        <v>2017</v>
      </c>
      <c r="Q9" s="15">
        <v>2018</v>
      </c>
    </row>
    <row r="11" spans="1:17" ht="12.75">
      <c r="A11" s="3">
        <v>1</v>
      </c>
      <c r="C11" t="s">
        <v>123</v>
      </c>
      <c r="E11" s="1">
        <v>50500</v>
      </c>
      <c r="F11" s="1"/>
      <c r="G11" s="1">
        <v>105600</v>
      </c>
      <c r="H11" s="1"/>
      <c r="I11" s="1">
        <v>155300</v>
      </c>
      <c r="K11" s="1">
        <v>201000</v>
      </c>
      <c r="L11" s="1"/>
      <c r="M11" s="1">
        <v>357200</v>
      </c>
      <c r="N11" s="1"/>
      <c r="O11" s="1">
        <v>487200</v>
      </c>
      <c r="P11" s="1"/>
      <c r="Q11" s="1">
        <v>675300</v>
      </c>
    </row>
    <row r="12" spans="1:17" ht="12.75">
      <c r="A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3">
        <v>2</v>
      </c>
      <c r="C13" t="s">
        <v>124</v>
      </c>
      <c r="E13" s="1">
        <v>0</v>
      </c>
      <c r="F13" s="1"/>
      <c r="G13" s="1">
        <v>0</v>
      </c>
      <c r="H13" s="1"/>
      <c r="I13" s="1">
        <v>0</v>
      </c>
      <c r="J13" s="1"/>
      <c r="K13" s="1">
        <v>0</v>
      </c>
      <c r="L13" s="1"/>
      <c r="M13" s="1">
        <v>0</v>
      </c>
      <c r="N13" s="1"/>
      <c r="O13" s="1">
        <v>0</v>
      </c>
      <c r="P13" s="1"/>
      <c r="Q13" s="1">
        <v>75800</v>
      </c>
    </row>
    <row r="14" spans="1:17" ht="12.75">
      <c r="A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3">
        <v>3</v>
      </c>
      <c r="C15" t="s">
        <v>125</v>
      </c>
      <c r="E15" s="1">
        <v>0</v>
      </c>
      <c r="F15" s="1"/>
      <c r="G15" s="1">
        <v>1000</v>
      </c>
      <c r="H15" s="1"/>
      <c r="I15" s="1">
        <v>2400</v>
      </c>
      <c r="J15" s="1"/>
      <c r="K15" s="1">
        <v>2600</v>
      </c>
      <c r="L15" s="1"/>
      <c r="M15" s="1">
        <v>0</v>
      </c>
      <c r="N15" s="1"/>
      <c r="O15" s="1">
        <v>0</v>
      </c>
      <c r="P15" s="1"/>
      <c r="Q15" s="1">
        <v>0</v>
      </c>
    </row>
    <row r="16" spans="1:17" ht="12.75">
      <c r="A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3">
        <v>4</v>
      </c>
      <c r="C17" t="s">
        <v>126</v>
      </c>
      <c r="E17" s="1">
        <v>24400</v>
      </c>
      <c r="F17" s="1"/>
      <c r="G17" s="1">
        <v>27700</v>
      </c>
      <c r="H17" s="1"/>
      <c r="I17" s="1">
        <v>41400</v>
      </c>
      <c r="J17" s="1"/>
      <c r="K17" s="1">
        <v>49000</v>
      </c>
      <c r="L17" s="1"/>
      <c r="M17" s="1">
        <v>45100</v>
      </c>
      <c r="N17" s="1"/>
      <c r="O17" s="1">
        <v>50200</v>
      </c>
      <c r="P17" s="1"/>
      <c r="Q17" s="1">
        <v>50300</v>
      </c>
    </row>
    <row r="18" spans="1:17" ht="12.75">
      <c r="A18" s="3">
        <v>5</v>
      </c>
      <c r="C18" t="s">
        <v>127</v>
      </c>
      <c r="E18" s="1">
        <v>1200</v>
      </c>
      <c r="F18" s="1"/>
      <c r="G18" s="1">
        <v>4900</v>
      </c>
      <c r="H18" s="1"/>
      <c r="I18" s="1">
        <v>2900</v>
      </c>
      <c r="J18" s="1"/>
      <c r="K18" s="1">
        <v>700</v>
      </c>
      <c r="L18" s="1"/>
      <c r="M18" s="1">
        <v>0</v>
      </c>
      <c r="N18" s="1"/>
      <c r="O18" s="1">
        <v>0</v>
      </c>
      <c r="P18" s="1"/>
      <c r="Q18" s="1">
        <v>0</v>
      </c>
    </row>
    <row r="19" spans="1:17" ht="12.75">
      <c r="A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3"/>
      <c r="C20" t="s">
        <v>128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3">
        <v>6</v>
      </c>
      <c r="C21" t="s">
        <v>129</v>
      </c>
      <c r="E21" s="1">
        <v>67500</v>
      </c>
      <c r="F21" s="1"/>
      <c r="G21" s="1">
        <v>69700</v>
      </c>
      <c r="H21" s="1"/>
      <c r="I21" s="1">
        <v>70100</v>
      </c>
      <c r="J21" s="1"/>
      <c r="K21" s="1">
        <v>73000</v>
      </c>
      <c r="L21" s="1"/>
      <c r="M21" s="1">
        <v>45700</v>
      </c>
      <c r="N21" s="1"/>
      <c r="O21" s="1">
        <v>47500</v>
      </c>
      <c r="P21" s="1"/>
      <c r="Q21" s="1">
        <v>49800</v>
      </c>
    </row>
    <row r="22" spans="1:17" ht="12.75">
      <c r="A22" s="3">
        <v>7</v>
      </c>
      <c r="C22" t="s">
        <v>130</v>
      </c>
      <c r="E22" s="1">
        <v>27500</v>
      </c>
      <c r="F22" s="1"/>
      <c r="G22" s="1">
        <v>31000</v>
      </c>
      <c r="H22" s="1"/>
      <c r="I22" s="1">
        <v>31200</v>
      </c>
      <c r="J22" s="1"/>
      <c r="K22" s="1">
        <v>36200</v>
      </c>
      <c r="L22" s="1"/>
      <c r="M22" s="1">
        <v>32000</v>
      </c>
      <c r="N22" s="1"/>
      <c r="O22" s="1">
        <v>32500</v>
      </c>
      <c r="P22" s="1"/>
      <c r="Q22" s="1">
        <v>33800</v>
      </c>
    </row>
    <row r="23" spans="1:17" ht="12.75">
      <c r="A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3"/>
      <c r="C24" t="s">
        <v>131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3">
        <v>8</v>
      </c>
      <c r="C25" t="s">
        <v>132</v>
      </c>
      <c r="E25" s="6">
        <v>4400</v>
      </c>
      <c r="F25" s="1"/>
      <c r="G25" s="6">
        <v>2700</v>
      </c>
      <c r="H25" s="1"/>
      <c r="I25" s="6">
        <v>2600</v>
      </c>
      <c r="J25" s="1"/>
      <c r="K25" s="6">
        <v>1700</v>
      </c>
      <c r="L25" s="1"/>
      <c r="M25" s="6">
        <v>7500</v>
      </c>
      <c r="N25" s="1"/>
      <c r="O25" s="6">
        <v>7700</v>
      </c>
      <c r="P25" s="1"/>
      <c r="Q25" s="6">
        <v>8000</v>
      </c>
    </row>
    <row r="26" spans="1:17" ht="12.75">
      <c r="A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3">
        <v>9</v>
      </c>
      <c r="C27" s="3" t="s">
        <v>133</v>
      </c>
      <c r="E27" s="1">
        <f>SUM(E11:E25)</f>
        <v>175500</v>
      </c>
      <c r="F27" s="1"/>
      <c r="G27" s="1">
        <f>SUM(G11:G25)</f>
        <v>242600</v>
      </c>
      <c r="H27" s="1"/>
      <c r="I27" s="1">
        <f>SUM(I11:I25)</f>
        <v>305900</v>
      </c>
      <c r="J27" s="1"/>
      <c r="K27" s="1">
        <f>SUM(K11:K25)</f>
        <v>364200</v>
      </c>
      <c r="L27" s="1"/>
      <c r="M27" s="1">
        <f>SUM(M11:M25)</f>
        <v>487500</v>
      </c>
      <c r="N27" s="1"/>
      <c r="O27" s="1">
        <f>SUM(O11:O25)</f>
        <v>625100</v>
      </c>
      <c r="P27" s="1"/>
      <c r="Q27" s="1">
        <f>SUM(Q11:Q25)</f>
        <v>893000</v>
      </c>
    </row>
    <row r="28" spans="1:17" ht="12.75">
      <c r="A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3">
        <v>10</v>
      </c>
      <c r="C29" t="s">
        <v>134</v>
      </c>
      <c r="E29" s="6">
        <v>-35500</v>
      </c>
      <c r="F29" s="1"/>
      <c r="G29" s="6">
        <v>-29600</v>
      </c>
      <c r="H29" s="1"/>
      <c r="I29" s="6">
        <v>-5900</v>
      </c>
      <c r="J29" s="1"/>
      <c r="K29" s="6">
        <v>-16200</v>
      </c>
      <c r="L29" s="1"/>
      <c r="M29" s="6">
        <v>-16500</v>
      </c>
      <c r="N29" s="1"/>
      <c r="O29" s="6">
        <v>-21100</v>
      </c>
      <c r="P29" s="1"/>
      <c r="Q29" s="6">
        <v>-25000</v>
      </c>
    </row>
    <row r="30" spans="1:17" ht="12.75">
      <c r="A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3">
        <v>11</v>
      </c>
      <c r="C31" t="s">
        <v>135</v>
      </c>
      <c r="E31" s="6">
        <f>SUM(E27:E29)</f>
        <v>140000</v>
      </c>
      <c r="F31" s="1"/>
      <c r="G31" s="6">
        <f>SUM(G27:G29)</f>
        <v>213000</v>
      </c>
      <c r="H31" s="1"/>
      <c r="I31" s="6">
        <f>SUM(I27:I29)</f>
        <v>300000</v>
      </c>
      <c r="J31" s="1"/>
      <c r="K31" s="6">
        <f>SUM(K27:K29)</f>
        <v>348000</v>
      </c>
      <c r="L31" s="1"/>
      <c r="M31" s="6">
        <f>SUM(M27:M29)</f>
        <v>471000</v>
      </c>
      <c r="N31" s="1"/>
      <c r="O31" s="6">
        <f>SUM(O27:O29)</f>
        <v>604000</v>
      </c>
      <c r="P31" s="1"/>
      <c r="Q31" s="6">
        <f>SUM(Q27:Q29)</f>
        <v>868000</v>
      </c>
    </row>
    <row r="32" spans="1:17" ht="12.75">
      <c r="A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3">
        <v>12</v>
      </c>
      <c r="C33" t="s">
        <v>48</v>
      </c>
      <c r="E33" s="1">
        <v>130000</v>
      </c>
      <c r="F33" s="1"/>
      <c r="G33" s="1">
        <v>142000</v>
      </c>
      <c r="H33" s="1"/>
      <c r="I33" s="1">
        <v>273000</v>
      </c>
      <c r="J33" s="1"/>
      <c r="K33" s="1">
        <v>297000</v>
      </c>
      <c r="L33" s="1"/>
      <c r="M33" s="1">
        <v>471000</v>
      </c>
      <c r="N33" s="1"/>
      <c r="O33" s="1">
        <v>604000</v>
      </c>
      <c r="P33" s="1"/>
      <c r="Q33" s="1">
        <v>868000</v>
      </c>
    </row>
    <row r="34" ht="12.75">
      <c r="A34" s="3"/>
    </row>
    <row r="35" spans="1:17" ht="12.75">
      <c r="A35" s="3">
        <v>13</v>
      </c>
      <c r="C35" t="s">
        <v>136</v>
      </c>
      <c r="G35" s="2">
        <f>G31/E31</f>
        <v>1.5214285714285714</v>
      </c>
      <c r="I35" s="2">
        <f>I31/G31</f>
        <v>1.408450704225352</v>
      </c>
      <c r="K35" s="2">
        <f>K31/I31</f>
        <v>1.16</v>
      </c>
      <c r="M35" s="2">
        <f>M31/K31</f>
        <v>1.353448275862069</v>
      </c>
      <c r="O35" s="2">
        <f>O31/M31</f>
        <v>1.2823779193205944</v>
      </c>
      <c r="Q35" s="2">
        <f>Q31/O31</f>
        <v>1.4370860927152318</v>
      </c>
    </row>
    <row r="36" ht="12.75">
      <c r="A36" s="3"/>
    </row>
    <row r="37" spans="1:13" ht="12.75">
      <c r="A37" s="3">
        <v>14</v>
      </c>
      <c r="C37" t="s">
        <v>137</v>
      </c>
      <c r="M37" s="1">
        <f>186/5*12*1000</f>
        <v>446400.00000000006</v>
      </c>
    </row>
    <row r="38" ht="12.75">
      <c r="A38" s="3"/>
    </row>
    <row r="39" spans="1:13" ht="12.75">
      <c r="A39" s="3">
        <v>15</v>
      </c>
      <c r="C39" t="s">
        <v>138</v>
      </c>
      <c r="M39" s="2">
        <f>M37/M33</f>
        <v>0.9477707006369428</v>
      </c>
    </row>
    <row r="40" ht="12.75">
      <c r="A40" s="3"/>
    </row>
    <row r="41" spans="1:17" ht="13.5" thickBot="1">
      <c r="A41" s="3">
        <v>16</v>
      </c>
      <c r="C41" t="s">
        <v>211</v>
      </c>
      <c r="O41" s="7">
        <f>O31*M39-O33</f>
        <v>-31546.496815286577</v>
      </c>
      <c r="Q41" s="7">
        <f>Q31*M39-Q33</f>
        <v>-45335.03184713365</v>
      </c>
    </row>
    <row r="42" ht="13.5" thickTop="1"/>
    <row r="43" spans="1:17" ht="13.5" thickBot="1">
      <c r="A43" s="3">
        <v>17</v>
      </c>
      <c r="C43" s="28" t="s">
        <v>212</v>
      </c>
      <c r="O43" s="7">
        <f>O41*0.027147</f>
        <v>-856.3927490445848</v>
      </c>
      <c r="Q43" s="7">
        <f>Q41*0.027147</f>
        <v>-1230.7101095541373</v>
      </c>
    </row>
    <row r="44" ht="13.5" thickTop="1">
      <c r="A44" s="3"/>
    </row>
    <row r="45" spans="1:17" ht="13.5" thickBot="1">
      <c r="A45" s="3">
        <v>18</v>
      </c>
      <c r="C45" s="28" t="s">
        <v>213</v>
      </c>
      <c r="O45" s="7">
        <f>O43*0.5</f>
        <v>-428.1963745222924</v>
      </c>
      <c r="Q45" s="7">
        <f>Q43*0.5</f>
        <v>-615.3550547770686</v>
      </c>
    </row>
    <row r="46" ht="13.5" thickTop="1"/>
    <row r="47" spans="1:3" ht="12.75">
      <c r="A47" s="28" t="s">
        <v>5</v>
      </c>
      <c r="C47" s="28" t="s">
        <v>220</v>
      </c>
    </row>
    <row r="48" ht="12.75">
      <c r="C48" s="28" t="s">
        <v>221</v>
      </c>
    </row>
    <row r="49" ht="12.75">
      <c r="C49" s="28" t="s">
        <v>222</v>
      </c>
    </row>
    <row r="50" ht="12.75">
      <c r="C50" s="28" t="s">
        <v>223</v>
      </c>
    </row>
  </sheetData>
  <sheetProtection/>
  <printOptions/>
  <pageMargins left="0.7" right="0.7" top="0.75" bottom="0.75" header="0.3" footer="0.3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="60" zoomScalePageLayoutView="0" workbookViewId="0" topLeftCell="A1">
      <selection activeCell="S66" activeCellId="1" sqref="C24 S66"/>
    </sheetView>
  </sheetViews>
  <sheetFormatPr defaultColWidth="9.140625" defaultRowHeight="12.75"/>
  <cols>
    <col min="1" max="1" width="6.7109375" style="0" customWidth="1"/>
    <col min="2" max="2" width="0.85546875" style="0" customWidth="1"/>
    <col min="3" max="3" width="9.7109375" style="0" customWidth="1"/>
    <col min="4" max="4" width="0.85546875" style="0" customWidth="1"/>
    <col min="5" max="5" width="10.7109375" style="0" customWidth="1"/>
    <col min="6" max="6" width="0.85546875" style="0" customWidth="1"/>
    <col min="7" max="7" width="10.7109375" style="0" customWidth="1"/>
    <col min="8" max="8" width="0.85546875" style="0" customWidth="1"/>
    <col min="9" max="9" width="10.7109375" style="0" customWidth="1"/>
    <col min="10" max="10" width="0.85546875" style="0" customWidth="1"/>
    <col min="11" max="11" width="10.7109375" style="0" customWidth="1"/>
    <col min="12" max="12" width="0.85546875" style="0" customWidth="1"/>
    <col min="13" max="13" width="10.7109375" style="0" customWidth="1"/>
    <col min="14" max="14" width="0.85546875" style="0" customWidth="1"/>
    <col min="15" max="15" width="10.7109375" style="0" customWidth="1"/>
    <col min="16" max="16" width="0.85546875" style="0" customWidth="1"/>
    <col min="17" max="17" width="10.7109375" style="0" customWidth="1"/>
    <col min="18" max="18" width="0.85546875" style="0" customWidth="1"/>
  </cols>
  <sheetData>
    <row r="1" spans="1:15" ht="12.75">
      <c r="A1" t="s">
        <v>14</v>
      </c>
      <c r="O1" t="str">
        <f>empPRadj!H1</f>
        <v>Docket No. 160021-EI</v>
      </c>
    </row>
    <row r="2" spans="1:15" ht="12.75">
      <c r="A2" t="s">
        <v>101</v>
      </c>
      <c r="O2" s="28" t="s">
        <v>84</v>
      </c>
    </row>
    <row r="3" ht="12.75">
      <c r="O3" t="str">
        <f>empPRadj!H3</f>
        <v>Payroll Adjustments</v>
      </c>
    </row>
    <row r="4" spans="1:15" ht="12.75">
      <c r="A4" s="13" t="s">
        <v>21</v>
      </c>
      <c r="O4" s="28" t="s">
        <v>161</v>
      </c>
    </row>
    <row r="6" spans="1:17" ht="12.75">
      <c r="A6" s="3" t="s">
        <v>8</v>
      </c>
      <c r="E6" s="3"/>
      <c r="G6" s="9"/>
      <c r="I6" s="23" t="s">
        <v>35</v>
      </c>
      <c r="J6" s="3"/>
      <c r="K6" s="3"/>
      <c r="M6" s="12"/>
      <c r="O6" s="9"/>
      <c r="Q6" s="3"/>
    </row>
    <row r="7" spans="1:17" ht="12.75">
      <c r="A7" s="4" t="s">
        <v>9</v>
      </c>
      <c r="E7" s="15" t="s">
        <v>22</v>
      </c>
      <c r="F7" s="3"/>
      <c r="G7" s="15" t="s">
        <v>23</v>
      </c>
      <c r="H7" s="3"/>
      <c r="I7" s="15" t="s">
        <v>24</v>
      </c>
      <c r="J7" s="11"/>
      <c r="K7" s="15" t="s">
        <v>25</v>
      </c>
      <c r="M7" s="15" t="s">
        <v>7</v>
      </c>
      <c r="N7" s="3"/>
      <c r="O7" s="15" t="s">
        <v>26</v>
      </c>
      <c r="P7" s="3"/>
      <c r="Q7" s="15" t="s">
        <v>29</v>
      </c>
    </row>
    <row r="9" spans="1:17" ht="12.75">
      <c r="A9" s="3">
        <v>1</v>
      </c>
      <c r="C9" s="3">
        <v>2004</v>
      </c>
      <c r="E9" s="1">
        <v>4227</v>
      </c>
      <c r="F9" s="1"/>
      <c r="G9" s="1">
        <v>2608</v>
      </c>
      <c r="I9" s="1">
        <v>3212</v>
      </c>
      <c r="J9" s="1"/>
      <c r="K9" s="1">
        <v>60</v>
      </c>
      <c r="M9" s="1">
        <f>SUM(E9:K9)</f>
        <v>10107</v>
      </c>
      <c r="N9" s="1"/>
      <c r="O9" s="1">
        <v>10338</v>
      </c>
      <c r="Q9" s="2">
        <f aca="true" t="shared" si="0" ref="Q9:Q14">1-(M9/O9)</f>
        <v>0.02234474753337201</v>
      </c>
    </row>
    <row r="10" spans="1:17" ht="12.75">
      <c r="A10" s="3">
        <v>2</v>
      </c>
      <c r="C10" s="3">
        <v>2005</v>
      </c>
      <c r="E10" s="1">
        <v>4319</v>
      </c>
      <c r="F10" s="1"/>
      <c r="G10" s="1">
        <v>2619</v>
      </c>
      <c r="I10" s="1">
        <v>3203</v>
      </c>
      <c r="J10" s="1"/>
      <c r="K10" s="1">
        <v>84</v>
      </c>
      <c r="M10" s="1">
        <f>SUM(E10:K10)</f>
        <v>10225</v>
      </c>
      <c r="N10" s="1"/>
      <c r="O10" s="1">
        <v>10408</v>
      </c>
      <c r="Q10" s="2">
        <f t="shared" si="0"/>
        <v>0.01758262874711758</v>
      </c>
    </row>
    <row r="11" spans="1:17" ht="12.75">
      <c r="A11" s="3">
        <v>3</v>
      </c>
      <c r="C11" s="3">
        <v>2006</v>
      </c>
      <c r="E11" s="1">
        <v>4407</v>
      </c>
      <c r="G11" s="1">
        <v>2679</v>
      </c>
      <c r="I11" s="1">
        <v>3216</v>
      </c>
      <c r="J11" s="1"/>
      <c r="K11" s="1">
        <v>88</v>
      </c>
      <c r="M11" s="1">
        <f>SUM(E11:K11)</f>
        <v>10390</v>
      </c>
      <c r="N11" s="1"/>
      <c r="O11" s="1">
        <v>10552</v>
      </c>
      <c r="Q11" s="2">
        <f t="shared" si="0"/>
        <v>0.015352539802880982</v>
      </c>
    </row>
    <row r="12" spans="1:17" ht="12.75">
      <c r="A12" s="3">
        <v>4</v>
      </c>
      <c r="C12" s="3">
        <v>2007</v>
      </c>
      <c r="E12" s="1">
        <v>4517</v>
      </c>
      <c r="G12" s="1">
        <v>2660</v>
      </c>
      <c r="I12" s="1">
        <v>3271</v>
      </c>
      <c r="J12" s="1"/>
      <c r="K12" s="1">
        <v>109</v>
      </c>
      <c r="M12" s="1">
        <f>SUM(E12:K12)</f>
        <v>10557</v>
      </c>
      <c r="O12" s="1">
        <v>10768</v>
      </c>
      <c r="Q12" s="2">
        <f t="shared" si="0"/>
        <v>0.01959509658246661</v>
      </c>
    </row>
    <row r="13" spans="1:17" ht="12.75">
      <c r="A13" s="3">
        <v>5</v>
      </c>
      <c r="C13" s="3">
        <v>2008</v>
      </c>
      <c r="E13" s="1">
        <v>4632</v>
      </c>
      <c r="G13" s="1">
        <v>2619</v>
      </c>
      <c r="I13" s="1">
        <v>3379</v>
      </c>
      <c r="J13" s="1"/>
      <c r="K13" s="1">
        <v>82</v>
      </c>
      <c r="M13" s="1">
        <v>10711</v>
      </c>
      <c r="N13" s="1"/>
      <c r="O13" s="1">
        <v>10994</v>
      </c>
      <c r="Q13" s="2">
        <f t="shared" si="0"/>
        <v>0.025741313443696567</v>
      </c>
    </row>
    <row r="14" spans="1:17" ht="12.75">
      <c r="A14" s="3">
        <v>6</v>
      </c>
      <c r="C14" s="3">
        <v>2009</v>
      </c>
      <c r="E14" s="1">
        <v>4607</v>
      </c>
      <c r="G14" s="1">
        <v>2633</v>
      </c>
      <c r="I14" s="1">
        <v>3323</v>
      </c>
      <c r="J14" s="1"/>
      <c r="K14" s="1">
        <v>64</v>
      </c>
      <c r="M14" s="1">
        <f>SUM(E14:K14)</f>
        <v>10627</v>
      </c>
      <c r="N14" s="1"/>
      <c r="O14" s="6">
        <v>11072</v>
      </c>
      <c r="Q14" s="2">
        <f t="shared" si="0"/>
        <v>0.04019147398843925</v>
      </c>
    </row>
    <row r="15" spans="1:17" ht="12.75">
      <c r="A15" s="3">
        <v>7</v>
      </c>
      <c r="C15" s="3">
        <v>2010</v>
      </c>
      <c r="E15" s="1">
        <v>4451</v>
      </c>
      <c r="G15" s="1">
        <v>2500</v>
      </c>
      <c r="I15" s="1">
        <v>3173</v>
      </c>
      <c r="K15" s="1">
        <v>71</v>
      </c>
      <c r="M15" s="1">
        <f>SUM(E15:K15)</f>
        <v>10195</v>
      </c>
      <c r="O15" s="1">
        <v>10627</v>
      </c>
      <c r="Q15" s="2">
        <f>1-(M15/O15)</f>
        <v>0.040651171544179965</v>
      </c>
    </row>
    <row r="16" spans="1:17" ht="12.75">
      <c r="A16" s="3">
        <v>8</v>
      </c>
      <c r="C16" s="3">
        <v>2011</v>
      </c>
      <c r="E16" s="1">
        <v>4420</v>
      </c>
      <c r="G16" s="1">
        <v>2339</v>
      </c>
      <c r="I16" s="1">
        <v>3065</v>
      </c>
      <c r="K16" s="1">
        <v>137</v>
      </c>
      <c r="M16" s="1">
        <f>SUM(E16:K16)</f>
        <v>9961</v>
      </c>
      <c r="O16" s="1">
        <v>10250</v>
      </c>
      <c r="Q16" s="2">
        <f>1-(M16/O16)</f>
        <v>0.028195121951219537</v>
      </c>
    </row>
    <row r="17" spans="1:17" ht="12.75">
      <c r="A17" s="3">
        <v>9</v>
      </c>
      <c r="C17" s="3">
        <v>2012</v>
      </c>
      <c r="O17" s="1">
        <v>10311</v>
      </c>
      <c r="Q17" s="1"/>
    </row>
    <row r="18" spans="1:17" ht="12.75">
      <c r="A18" s="3">
        <v>10</v>
      </c>
      <c r="C18" s="37">
        <v>2013</v>
      </c>
      <c r="E18" s="1">
        <v>4467</v>
      </c>
      <c r="G18" s="1">
        <v>1802</v>
      </c>
      <c r="I18" s="1">
        <v>3066</v>
      </c>
      <c r="K18" s="1">
        <f>79+92</f>
        <v>171</v>
      </c>
      <c r="M18" s="1">
        <f>SUM(E18:K18)</f>
        <v>9506</v>
      </c>
      <c r="O18" s="1">
        <v>10147</v>
      </c>
      <c r="Q18" s="2">
        <f>1-(M18/O18)</f>
        <v>0.06317138070365624</v>
      </c>
    </row>
    <row r="19" spans="1:17" ht="12.75">
      <c r="A19" s="3">
        <v>11</v>
      </c>
      <c r="C19" s="37">
        <v>2014</v>
      </c>
      <c r="E19" s="1">
        <v>4235</v>
      </c>
      <c r="G19" s="1">
        <v>1576</v>
      </c>
      <c r="I19" s="1">
        <v>2901</v>
      </c>
      <c r="K19" s="1">
        <f>65.8+69.3</f>
        <v>135.1</v>
      </c>
      <c r="M19" s="1">
        <f>SUM(E19:K19)</f>
        <v>8847.1</v>
      </c>
      <c r="O19" s="1"/>
      <c r="Q19" s="2"/>
    </row>
    <row r="20" spans="1:17" ht="12.75">
      <c r="A20" s="3">
        <v>12</v>
      </c>
      <c r="C20" s="37">
        <v>2015</v>
      </c>
      <c r="E20" s="1">
        <v>4344</v>
      </c>
      <c r="G20" s="1">
        <v>1425</v>
      </c>
      <c r="I20" s="1">
        <v>2920</v>
      </c>
      <c r="K20" s="1">
        <f>78.4+67.1</f>
        <v>145.5</v>
      </c>
      <c r="M20" s="1">
        <f>SUM(E20:K20)</f>
        <v>8834.5</v>
      </c>
      <c r="O20" s="1"/>
      <c r="Q20" s="2"/>
    </row>
    <row r="21" ht="12.75">
      <c r="A21" s="3"/>
    </row>
    <row r="22" spans="1:15" ht="12.75">
      <c r="A22" s="3">
        <v>13</v>
      </c>
      <c r="C22" s="18">
        <v>42370</v>
      </c>
      <c r="E22" s="1"/>
      <c r="F22" s="1"/>
      <c r="G22" s="1"/>
      <c r="H22" s="1"/>
      <c r="I22" s="1"/>
      <c r="J22" s="1"/>
      <c r="K22" s="1"/>
      <c r="L22" s="1"/>
      <c r="M22" s="1">
        <f aca="true" t="shared" si="1" ref="M22:M33">SUM(E22:K22)</f>
        <v>0</v>
      </c>
      <c r="N22" s="1"/>
      <c r="O22" s="1">
        <v>8990</v>
      </c>
    </row>
    <row r="23" spans="1:15" ht="12.75">
      <c r="A23" s="3">
        <v>14</v>
      </c>
      <c r="C23" s="19">
        <v>42401</v>
      </c>
      <c r="E23" s="1"/>
      <c r="F23" s="1"/>
      <c r="G23" s="1"/>
      <c r="H23" s="1"/>
      <c r="I23" s="1"/>
      <c r="J23" s="1"/>
      <c r="K23" s="1"/>
      <c r="L23" s="1"/>
      <c r="M23" s="1">
        <f t="shared" si="1"/>
        <v>0</v>
      </c>
      <c r="N23" s="1"/>
      <c r="O23" s="1">
        <v>9007</v>
      </c>
    </row>
    <row r="24" spans="1:15" ht="12.75">
      <c r="A24" s="3">
        <v>15</v>
      </c>
      <c r="C24" s="19">
        <v>42430</v>
      </c>
      <c r="E24" s="1"/>
      <c r="F24" s="1"/>
      <c r="G24" s="1"/>
      <c r="H24" s="1"/>
      <c r="I24" s="1"/>
      <c r="J24" s="1"/>
      <c r="K24" s="1"/>
      <c r="L24" s="1"/>
      <c r="M24" s="1">
        <f t="shared" si="1"/>
        <v>0</v>
      </c>
      <c r="N24" s="1"/>
      <c r="O24" s="1">
        <v>9017</v>
      </c>
    </row>
    <row r="25" spans="1:17" ht="12.75">
      <c r="A25" s="3">
        <v>16</v>
      </c>
      <c r="C25" s="19">
        <v>42461</v>
      </c>
      <c r="E25" s="1"/>
      <c r="F25" s="1"/>
      <c r="G25" s="1"/>
      <c r="H25" s="1"/>
      <c r="I25" s="1"/>
      <c r="J25" s="1"/>
      <c r="K25" s="1"/>
      <c r="L25" s="1"/>
      <c r="M25" s="1">
        <f t="shared" si="1"/>
        <v>0</v>
      </c>
      <c r="N25" s="1"/>
      <c r="O25" s="1">
        <v>9024</v>
      </c>
      <c r="Q25" s="2"/>
    </row>
    <row r="26" spans="1:17" ht="12.75">
      <c r="A26" s="3">
        <v>17</v>
      </c>
      <c r="C26" s="19">
        <v>42491</v>
      </c>
      <c r="E26" s="1"/>
      <c r="F26" s="1"/>
      <c r="G26" s="1"/>
      <c r="H26" s="1"/>
      <c r="I26" s="1"/>
      <c r="J26" s="1"/>
      <c r="K26" s="1"/>
      <c r="L26" s="1"/>
      <c r="M26" s="1">
        <f t="shared" si="1"/>
        <v>0</v>
      </c>
      <c r="N26" s="1"/>
      <c r="O26" s="1">
        <v>9088</v>
      </c>
      <c r="Q26" s="2"/>
    </row>
    <row r="27" spans="1:15" ht="12.75">
      <c r="A27" s="3">
        <v>18</v>
      </c>
      <c r="C27" s="19">
        <v>42522</v>
      </c>
      <c r="E27" s="1"/>
      <c r="F27" s="1"/>
      <c r="G27" s="1"/>
      <c r="H27" s="1"/>
      <c r="I27" s="1"/>
      <c r="J27" s="1"/>
      <c r="K27" s="1"/>
      <c r="L27" s="1"/>
      <c r="M27" s="1">
        <f t="shared" si="1"/>
        <v>0</v>
      </c>
      <c r="N27" s="1"/>
      <c r="O27" s="1">
        <v>9145</v>
      </c>
    </row>
    <row r="28" spans="1:15" ht="12.75">
      <c r="A28" s="3">
        <v>19</v>
      </c>
      <c r="C28" s="19">
        <v>42552</v>
      </c>
      <c r="E28" s="1"/>
      <c r="F28" s="1"/>
      <c r="G28" s="1"/>
      <c r="H28" s="1"/>
      <c r="I28" s="1"/>
      <c r="J28" s="1"/>
      <c r="K28" s="1"/>
      <c r="L28" s="1"/>
      <c r="M28" s="1">
        <f t="shared" si="1"/>
        <v>0</v>
      </c>
      <c r="N28" s="1"/>
      <c r="O28" s="1">
        <v>9185</v>
      </c>
    </row>
    <row r="29" spans="1:15" ht="12.75">
      <c r="A29" s="3">
        <v>20</v>
      </c>
      <c r="C29" s="19">
        <v>42583</v>
      </c>
      <c r="E29" s="1"/>
      <c r="F29" s="1"/>
      <c r="G29" s="1"/>
      <c r="H29" s="1"/>
      <c r="I29" s="1"/>
      <c r="J29" s="1"/>
      <c r="K29" s="1"/>
      <c r="L29" s="1"/>
      <c r="M29" s="1">
        <f t="shared" si="1"/>
        <v>0</v>
      </c>
      <c r="N29" s="1"/>
      <c r="O29" s="1">
        <v>9167</v>
      </c>
    </row>
    <row r="30" spans="1:15" ht="12.75">
      <c r="A30" s="3">
        <v>21</v>
      </c>
      <c r="C30" s="19">
        <v>42614</v>
      </c>
      <c r="E30" s="1"/>
      <c r="F30" s="1"/>
      <c r="G30" s="1"/>
      <c r="H30" s="1"/>
      <c r="I30" s="1"/>
      <c r="J30" s="1"/>
      <c r="K30" s="1"/>
      <c r="L30" s="1"/>
      <c r="M30" s="1">
        <f t="shared" si="1"/>
        <v>0</v>
      </c>
      <c r="N30" s="1"/>
      <c r="O30" s="1">
        <v>9126</v>
      </c>
    </row>
    <row r="31" spans="1:15" ht="12.75">
      <c r="A31" s="3">
        <v>22</v>
      </c>
      <c r="C31" s="19">
        <v>42644</v>
      </c>
      <c r="E31" s="1"/>
      <c r="F31" s="1"/>
      <c r="G31" s="1"/>
      <c r="H31" s="1"/>
      <c r="I31" s="1"/>
      <c r="J31" s="1"/>
      <c r="K31" s="1"/>
      <c r="L31" s="1"/>
      <c r="M31" s="1">
        <f t="shared" si="1"/>
        <v>0</v>
      </c>
      <c r="N31" s="1"/>
      <c r="O31" s="1">
        <v>9116</v>
      </c>
    </row>
    <row r="32" spans="1:15" ht="12.75">
      <c r="A32" s="3">
        <v>23</v>
      </c>
      <c r="C32" s="19">
        <v>42675</v>
      </c>
      <c r="E32" s="1"/>
      <c r="F32" s="1"/>
      <c r="G32" s="1"/>
      <c r="H32" s="1"/>
      <c r="I32" s="1"/>
      <c r="J32" s="1"/>
      <c r="K32" s="1"/>
      <c r="L32" s="1"/>
      <c r="M32" s="1">
        <f t="shared" si="1"/>
        <v>0</v>
      </c>
      <c r="N32" s="1"/>
      <c r="O32" s="1">
        <v>9092</v>
      </c>
    </row>
    <row r="33" spans="1:15" ht="12.75">
      <c r="A33" s="3">
        <v>24</v>
      </c>
      <c r="C33" s="19">
        <v>42705</v>
      </c>
      <c r="E33" s="1"/>
      <c r="F33" s="1"/>
      <c r="G33" s="1"/>
      <c r="H33" s="1"/>
      <c r="I33" s="1"/>
      <c r="J33" s="1"/>
      <c r="K33" s="1"/>
      <c r="L33" s="1"/>
      <c r="M33" s="1">
        <f t="shared" si="1"/>
        <v>0</v>
      </c>
      <c r="N33" s="1"/>
      <c r="O33" s="1">
        <v>9082</v>
      </c>
    </row>
    <row r="34" spans="5:17" ht="12.7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2"/>
    </row>
    <row r="35" spans="1:17" ht="12.75">
      <c r="A35" s="3">
        <v>25</v>
      </c>
      <c r="C35" s="13" t="s">
        <v>1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f>SUM(O22:O33)/12</f>
        <v>9086.583333333334</v>
      </c>
      <c r="Q35" s="2"/>
    </row>
    <row r="36" ht="12.75">
      <c r="I36" s="23" t="s">
        <v>10</v>
      </c>
    </row>
    <row r="37" spans="1:15" ht="12.75">
      <c r="A37" s="3">
        <v>26</v>
      </c>
      <c r="C37" s="18">
        <v>42736</v>
      </c>
      <c r="E37" s="1">
        <f>4626+21</f>
        <v>4647</v>
      </c>
      <c r="F37" s="1"/>
      <c r="G37" s="1">
        <v>1367</v>
      </c>
      <c r="H37" s="1"/>
      <c r="I37" s="1">
        <f>1570+1389</f>
        <v>2959</v>
      </c>
      <c r="J37" s="1"/>
      <c r="K37" s="1">
        <v>105</v>
      </c>
      <c r="L37" s="1"/>
      <c r="M37" s="1"/>
      <c r="N37" s="1"/>
      <c r="O37" s="1">
        <f>SUM(E37:K37)</f>
        <v>9078</v>
      </c>
    </row>
    <row r="38" spans="1:15" ht="12.75">
      <c r="A38" s="3">
        <v>27</v>
      </c>
      <c r="C38" s="19">
        <v>42767</v>
      </c>
      <c r="E38" s="1">
        <f>4628+21</f>
        <v>4649</v>
      </c>
      <c r="F38" s="1"/>
      <c r="G38" s="1">
        <v>1381</v>
      </c>
      <c r="H38" s="1"/>
      <c r="I38" s="1">
        <f>1570+1388</f>
        <v>2958</v>
      </c>
      <c r="J38" s="1"/>
      <c r="K38" s="1">
        <v>104</v>
      </c>
      <c r="L38" s="1"/>
      <c r="M38" s="1"/>
      <c r="N38" s="1"/>
      <c r="O38" s="1">
        <f aca="true" t="shared" si="2" ref="O38:O48">SUM(E38:K38)</f>
        <v>9092</v>
      </c>
    </row>
    <row r="39" spans="1:15" ht="12.75">
      <c r="A39" s="3">
        <v>28</v>
      </c>
      <c r="C39" s="19">
        <v>42795</v>
      </c>
      <c r="E39" s="1">
        <f>4630+21</f>
        <v>4651</v>
      </c>
      <c r="F39" s="1"/>
      <c r="G39" s="1">
        <v>1397</v>
      </c>
      <c r="H39" s="1"/>
      <c r="I39" s="1">
        <f>1570+1384</f>
        <v>2954</v>
      </c>
      <c r="J39" s="1"/>
      <c r="K39" s="1">
        <v>86</v>
      </c>
      <c r="L39" s="1"/>
      <c r="M39" s="1"/>
      <c r="N39" s="1"/>
      <c r="O39" s="1">
        <f t="shared" si="2"/>
        <v>9088</v>
      </c>
    </row>
    <row r="40" spans="1:15" ht="12.75">
      <c r="A40" s="3">
        <v>29</v>
      </c>
      <c r="C40" s="19">
        <v>42826</v>
      </c>
      <c r="E40" s="1">
        <f>4617+21</f>
        <v>4638</v>
      </c>
      <c r="F40" s="1"/>
      <c r="G40" s="1">
        <v>1407</v>
      </c>
      <c r="H40" s="1"/>
      <c r="I40" s="1">
        <f>1573+1386</f>
        <v>2959</v>
      </c>
      <c r="J40" s="1"/>
      <c r="K40" s="1">
        <v>66</v>
      </c>
      <c r="L40" s="1"/>
      <c r="M40" s="1"/>
      <c r="N40" s="1"/>
      <c r="O40" s="1">
        <f t="shared" si="2"/>
        <v>9070</v>
      </c>
    </row>
    <row r="41" spans="1:15" ht="12.75">
      <c r="A41" s="3">
        <v>30</v>
      </c>
      <c r="C41" s="19">
        <v>42856</v>
      </c>
      <c r="E41" s="1">
        <f>4613+21</f>
        <v>4634</v>
      </c>
      <c r="F41" s="1"/>
      <c r="G41" s="1">
        <v>1406</v>
      </c>
      <c r="H41" s="1"/>
      <c r="I41" s="1">
        <f>1569+1379</f>
        <v>2948</v>
      </c>
      <c r="J41" s="1"/>
      <c r="K41" s="1">
        <v>132.5</v>
      </c>
      <c r="L41" s="1"/>
      <c r="M41" s="1"/>
      <c r="N41" s="1"/>
      <c r="O41" s="1">
        <f t="shared" si="2"/>
        <v>9120.5</v>
      </c>
    </row>
    <row r="42" spans="1:15" ht="12.75">
      <c r="A42" s="3">
        <v>31</v>
      </c>
      <c r="C42" s="19">
        <v>42887</v>
      </c>
      <c r="E42" s="1">
        <f>4624+21</f>
        <v>4645</v>
      </c>
      <c r="F42" s="1"/>
      <c r="G42" s="1">
        <v>1391</v>
      </c>
      <c r="H42" s="1"/>
      <c r="I42" s="1">
        <f>1567+1380</f>
        <v>2947</v>
      </c>
      <c r="J42" s="1"/>
      <c r="K42" s="1">
        <v>165</v>
      </c>
      <c r="L42" s="1"/>
      <c r="M42" s="1"/>
      <c r="N42" s="1"/>
      <c r="O42" s="1">
        <f t="shared" si="2"/>
        <v>9148</v>
      </c>
    </row>
    <row r="43" spans="1:15" ht="12.75">
      <c r="A43" s="3">
        <v>32</v>
      </c>
      <c r="C43" s="19">
        <v>42917</v>
      </c>
      <c r="E43" s="1">
        <f>4628+21</f>
        <v>4649</v>
      </c>
      <c r="F43" s="1"/>
      <c r="G43" s="1">
        <v>1377</v>
      </c>
      <c r="H43" s="1"/>
      <c r="I43" s="1">
        <f>1570+1383</f>
        <v>2953</v>
      </c>
      <c r="J43" s="1"/>
      <c r="K43" s="1">
        <v>176</v>
      </c>
      <c r="L43" s="1"/>
      <c r="M43" s="1"/>
      <c r="N43" s="1"/>
      <c r="O43" s="1">
        <f t="shared" si="2"/>
        <v>9155</v>
      </c>
    </row>
    <row r="44" spans="1:15" ht="12.75">
      <c r="A44" s="3">
        <v>33</v>
      </c>
      <c r="C44" s="19">
        <v>42948</v>
      </c>
      <c r="E44" s="1">
        <f>4627+21</f>
        <v>4648</v>
      </c>
      <c r="F44" s="1"/>
      <c r="G44" s="1">
        <v>1374</v>
      </c>
      <c r="H44" s="1"/>
      <c r="I44" s="1">
        <f>1571+1384</f>
        <v>2955</v>
      </c>
      <c r="J44" s="1"/>
      <c r="K44" s="1">
        <v>154</v>
      </c>
      <c r="L44" s="1"/>
      <c r="M44" s="1"/>
      <c r="N44" s="1"/>
      <c r="O44" s="1">
        <f t="shared" si="2"/>
        <v>9131</v>
      </c>
    </row>
    <row r="45" spans="1:15" ht="12.75">
      <c r="A45" s="3">
        <v>34</v>
      </c>
      <c r="C45" s="19">
        <v>42979</v>
      </c>
      <c r="E45" s="1">
        <f>4625+21</f>
        <v>4646</v>
      </c>
      <c r="F45" s="1"/>
      <c r="G45" s="1">
        <v>1368</v>
      </c>
      <c r="H45" s="1"/>
      <c r="I45" s="1">
        <f>1571+1384</f>
        <v>2955</v>
      </c>
      <c r="J45" s="1"/>
      <c r="K45" s="1">
        <v>117</v>
      </c>
      <c r="L45" s="1"/>
      <c r="M45" s="1"/>
      <c r="N45" s="1"/>
      <c r="O45" s="1">
        <f t="shared" si="2"/>
        <v>9086</v>
      </c>
    </row>
    <row r="46" spans="1:15" ht="12.75">
      <c r="A46" s="3">
        <v>35</v>
      </c>
      <c r="C46" s="19">
        <v>43009</v>
      </c>
      <c r="E46" s="1">
        <f>4614+21</f>
        <v>4635</v>
      </c>
      <c r="F46" s="1"/>
      <c r="G46" s="1">
        <v>1362</v>
      </c>
      <c r="H46" s="1"/>
      <c r="I46" s="1">
        <f>1571+1385</f>
        <v>2956</v>
      </c>
      <c r="J46" s="1"/>
      <c r="K46" s="1">
        <v>114</v>
      </c>
      <c r="L46" s="1"/>
      <c r="M46" s="1"/>
      <c r="N46" s="1"/>
      <c r="O46" s="1">
        <f t="shared" si="2"/>
        <v>9067</v>
      </c>
    </row>
    <row r="47" spans="1:15" ht="12.75">
      <c r="A47" s="3">
        <v>36</v>
      </c>
      <c r="C47" s="19">
        <v>43040</v>
      </c>
      <c r="E47" s="1">
        <f>4610+21</f>
        <v>4631</v>
      </c>
      <c r="F47" s="1"/>
      <c r="G47" s="1">
        <v>1357</v>
      </c>
      <c r="H47" s="1"/>
      <c r="I47" s="1">
        <f>1570+1383</f>
        <v>2953</v>
      </c>
      <c r="J47" s="1"/>
      <c r="K47" s="1">
        <v>100</v>
      </c>
      <c r="L47" s="1"/>
      <c r="M47" s="1"/>
      <c r="N47" s="1"/>
      <c r="O47" s="1">
        <f t="shared" si="2"/>
        <v>9041</v>
      </c>
    </row>
    <row r="48" spans="1:15" ht="12.75">
      <c r="A48" s="3">
        <v>37</v>
      </c>
      <c r="C48" s="19">
        <v>43070</v>
      </c>
      <c r="E48" s="1">
        <f>4600+21</f>
        <v>4621</v>
      </c>
      <c r="F48" s="1"/>
      <c r="G48" s="1">
        <v>1343</v>
      </c>
      <c r="H48" s="1"/>
      <c r="I48" s="1">
        <f>1569+1385</f>
        <v>2954</v>
      </c>
      <c r="J48" s="1"/>
      <c r="K48" s="1">
        <v>96</v>
      </c>
      <c r="L48" s="1"/>
      <c r="M48" s="1"/>
      <c r="N48" s="1"/>
      <c r="O48" s="1">
        <f t="shared" si="2"/>
        <v>9014</v>
      </c>
    </row>
    <row r="49" spans="1:15" ht="12.75">
      <c r="A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3">
        <v>38</v>
      </c>
      <c r="C50" t="s">
        <v>1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f>SUM(O37:O48)/12</f>
        <v>9090.875</v>
      </c>
    </row>
    <row r="52" spans="1:3" ht="12.75">
      <c r="A52" s="13" t="s">
        <v>5</v>
      </c>
      <c r="C52" s="28" t="s">
        <v>162</v>
      </c>
    </row>
    <row r="53" ht="12.75">
      <c r="C53" s="28" t="s">
        <v>163</v>
      </c>
    </row>
    <row r="54" ht="12.75">
      <c r="C54" s="28" t="s">
        <v>164</v>
      </c>
    </row>
    <row r="55" ht="12.75">
      <c r="C55" s="40" t="s">
        <v>165</v>
      </c>
    </row>
  </sheetData>
  <sheetProtection/>
  <printOptions/>
  <pageMargins left="0.7" right="0.7" top="0.75" bottom="0.75" header="0.3" footer="0.3"/>
  <pageSetup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="60" zoomScalePageLayoutView="0" workbookViewId="0" topLeftCell="A1">
      <selection activeCell="S66" activeCellId="1" sqref="C24 S66"/>
    </sheetView>
  </sheetViews>
  <sheetFormatPr defaultColWidth="9.140625" defaultRowHeight="12.75"/>
  <cols>
    <col min="1" max="1" width="6.7109375" style="0" customWidth="1"/>
    <col min="2" max="2" width="0.85546875" style="0" customWidth="1"/>
    <col min="3" max="3" width="40.7109375" style="0" customWidth="1"/>
    <col min="4" max="4" width="4.7109375" style="0" customWidth="1"/>
    <col min="5" max="5" width="0.85546875" style="0" customWidth="1"/>
    <col min="6" max="6" width="11.7109375" style="0" customWidth="1"/>
    <col min="7" max="7" width="0.85546875" style="0" customWidth="1"/>
    <col min="8" max="8" width="11.7109375" style="0" customWidth="1"/>
    <col min="9" max="9" width="0.85546875" style="0" customWidth="1"/>
    <col min="10" max="10" width="12.7109375" style="0" customWidth="1"/>
  </cols>
  <sheetData>
    <row r="1" spans="1:7" ht="12.75">
      <c r="A1" t="s">
        <v>14</v>
      </c>
      <c r="G1" s="28" t="s">
        <v>102</v>
      </c>
    </row>
    <row r="2" spans="1:7" ht="12.75">
      <c r="A2" s="28" t="s">
        <v>101</v>
      </c>
      <c r="G2" t="str">
        <f>empPRadj!H2</f>
        <v>Exhibit No. HWS-2</v>
      </c>
    </row>
    <row r="3" ht="12.75">
      <c r="G3" t="str">
        <f>empPRadj!H3</f>
        <v>Payroll Adjustments</v>
      </c>
    </row>
    <row r="4" spans="1:7" ht="12.75">
      <c r="A4" s="28" t="s">
        <v>139</v>
      </c>
      <c r="G4" s="28" t="s">
        <v>166</v>
      </c>
    </row>
    <row r="7" spans="1:7" ht="12.75">
      <c r="A7" s="3" t="s">
        <v>8</v>
      </c>
      <c r="G7" s="9" t="s">
        <v>76</v>
      </c>
    </row>
    <row r="8" spans="1:10" ht="12.75">
      <c r="A8" s="4" t="s">
        <v>9</v>
      </c>
      <c r="F8" s="15" t="s">
        <v>36</v>
      </c>
      <c r="G8" s="3"/>
      <c r="H8" s="15" t="s">
        <v>37</v>
      </c>
      <c r="J8" s="31" t="s">
        <v>2</v>
      </c>
    </row>
    <row r="10" spans="1:10" ht="12.75">
      <c r="A10" s="3">
        <v>1</v>
      </c>
      <c r="C10" t="s">
        <v>167</v>
      </c>
      <c r="F10" s="1">
        <v>9067</v>
      </c>
      <c r="G10" s="1"/>
      <c r="H10" s="1">
        <v>9067</v>
      </c>
      <c r="J10" s="27" t="s">
        <v>3</v>
      </c>
    </row>
    <row r="11" spans="1:10" ht="12.75">
      <c r="A11" s="3"/>
      <c r="F11" s="1"/>
      <c r="G11" s="1"/>
      <c r="H11" s="1"/>
      <c r="J11" s="3"/>
    </row>
    <row r="12" spans="1:10" ht="12.75">
      <c r="A12" s="3">
        <v>2</v>
      </c>
      <c r="C12" t="s">
        <v>38</v>
      </c>
      <c r="F12" s="6"/>
      <c r="G12" s="1"/>
      <c r="H12" s="6">
        <f>H14-H10</f>
        <v>-232</v>
      </c>
      <c r="J12" s="27" t="s">
        <v>77</v>
      </c>
    </row>
    <row r="13" spans="1:10" ht="12.75">
      <c r="A13" s="3"/>
      <c r="F13" s="1"/>
      <c r="G13" s="1"/>
      <c r="H13" s="1"/>
      <c r="J13" s="3"/>
    </row>
    <row r="14" spans="1:10" ht="12.75">
      <c r="A14" s="3">
        <v>3</v>
      </c>
      <c r="C14" t="s">
        <v>39</v>
      </c>
      <c r="F14" s="6">
        <f>SUM(F10:F12)</f>
        <v>9067</v>
      </c>
      <c r="G14" s="1"/>
      <c r="H14" s="6">
        <v>8835</v>
      </c>
      <c r="J14" s="3"/>
    </row>
    <row r="15" spans="1:10" ht="12.75">
      <c r="A15" s="3"/>
      <c r="J15" s="3"/>
    </row>
    <row r="16" spans="1:10" ht="12.75">
      <c r="A16" s="3">
        <v>4</v>
      </c>
      <c r="C16" t="s">
        <v>168</v>
      </c>
      <c r="F16" s="1">
        <v>1103164</v>
      </c>
      <c r="H16" s="1">
        <v>1103164</v>
      </c>
      <c r="J16" s="27" t="s">
        <v>3</v>
      </c>
    </row>
    <row r="17" spans="1:10" ht="12.75">
      <c r="A17" s="3"/>
      <c r="F17" s="1"/>
      <c r="H17" s="1"/>
      <c r="J17" s="3"/>
    </row>
    <row r="18" spans="1:10" ht="12.75">
      <c r="A18" s="3">
        <v>5</v>
      </c>
      <c r="C18" t="s">
        <v>40</v>
      </c>
      <c r="F18" s="1">
        <v>-51530</v>
      </c>
      <c r="H18" s="1">
        <v>-51530</v>
      </c>
      <c r="J18" s="27" t="s">
        <v>4</v>
      </c>
    </row>
    <row r="19" spans="1:10" ht="12.75">
      <c r="A19" s="3"/>
      <c r="F19" s="1"/>
      <c r="H19" s="1"/>
      <c r="J19" s="3"/>
    </row>
    <row r="20" spans="1:10" ht="12.75">
      <c r="A20" s="3">
        <v>6</v>
      </c>
      <c r="C20" s="28" t="s">
        <v>93</v>
      </c>
      <c r="F20" s="1">
        <v>0</v>
      </c>
      <c r="H20" s="1">
        <v>0</v>
      </c>
      <c r="J20" s="27" t="s">
        <v>4</v>
      </c>
    </row>
    <row r="21" ht="12.75">
      <c r="A21" s="3"/>
    </row>
    <row r="22" spans="1:10" ht="12.75">
      <c r="A22" s="3">
        <v>7</v>
      </c>
      <c r="C22" t="s">
        <v>41</v>
      </c>
      <c r="F22" s="6">
        <v>-77066</v>
      </c>
      <c r="H22" s="6">
        <v>-77066</v>
      </c>
      <c r="J22" s="27" t="s">
        <v>4</v>
      </c>
    </row>
    <row r="23" spans="1:8" ht="12.75">
      <c r="A23" s="3"/>
      <c r="F23" s="1"/>
      <c r="H23" s="1"/>
    </row>
    <row r="24" spans="1:8" ht="12.75">
      <c r="A24" s="3">
        <v>8</v>
      </c>
      <c r="C24" t="s">
        <v>224</v>
      </c>
      <c r="F24" s="1">
        <f>SUM(F16:F22)</f>
        <v>974568</v>
      </c>
      <c r="H24" s="1">
        <f>SUM(H16:H22)</f>
        <v>974568</v>
      </c>
    </row>
    <row r="25" spans="1:8" ht="12.75">
      <c r="A25" s="3"/>
      <c r="F25" s="1"/>
      <c r="H25" s="1"/>
    </row>
    <row r="26" spans="1:10" ht="12.75">
      <c r="A26" s="3">
        <v>9</v>
      </c>
      <c r="C26" t="s">
        <v>42</v>
      </c>
      <c r="F26" s="30">
        <f>F24/F14</f>
        <v>107.48516598654462</v>
      </c>
      <c r="G26" s="30"/>
      <c r="H26" s="30">
        <f>H24/F14</f>
        <v>107.48516598654462</v>
      </c>
      <c r="J26" s="27" t="s">
        <v>94</v>
      </c>
    </row>
    <row r="27" spans="1:6" ht="12.75">
      <c r="A27" s="3"/>
      <c r="F27" s="1"/>
    </row>
    <row r="28" spans="1:10" ht="12.75">
      <c r="A28" s="3">
        <v>10</v>
      </c>
      <c r="C28" s="13" t="s">
        <v>43</v>
      </c>
      <c r="H28" s="1">
        <f>H26*H12</f>
        <v>-24936.558508878352</v>
      </c>
      <c r="J28" s="27" t="s">
        <v>95</v>
      </c>
    </row>
    <row r="29" ht="12.75">
      <c r="A29" s="3"/>
    </row>
    <row r="30" spans="1:10" ht="12.75">
      <c r="A30" s="3">
        <v>11</v>
      </c>
      <c r="C30" s="13" t="s">
        <v>44</v>
      </c>
      <c r="H30" s="32">
        <f>empPRadj!H29</f>
        <v>0.6629</v>
      </c>
      <c r="J30" s="27" t="s">
        <v>77</v>
      </c>
    </row>
    <row r="31" ht="12.75">
      <c r="A31" s="3"/>
    </row>
    <row r="32" spans="1:10" ht="12.75">
      <c r="A32" s="3">
        <v>12</v>
      </c>
      <c r="C32" s="28" t="s">
        <v>169</v>
      </c>
      <c r="H32" s="1">
        <f>H28*H30</f>
        <v>-16530.44463553546</v>
      </c>
      <c r="J32" s="28" t="s">
        <v>96</v>
      </c>
    </row>
    <row r="33" ht="12.75">
      <c r="A33" s="3"/>
    </row>
    <row r="34" spans="1:10" ht="12.75">
      <c r="A34" s="3">
        <v>13</v>
      </c>
      <c r="C34" s="13" t="s">
        <v>45</v>
      </c>
      <c r="H34" s="29">
        <v>0.964177</v>
      </c>
      <c r="J34" s="27" t="s">
        <v>62</v>
      </c>
    </row>
    <row r="35" ht="12.75">
      <c r="A35" s="3"/>
    </row>
    <row r="36" spans="1:10" ht="13.5" thickBot="1">
      <c r="A36" s="3">
        <v>14</v>
      </c>
      <c r="C36" s="28" t="s">
        <v>170</v>
      </c>
      <c r="H36" s="7">
        <f>H32*H34</f>
        <v>-15938.274517356671</v>
      </c>
      <c r="J36" s="28" t="s">
        <v>97</v>
      </c>
    </row>
    <row r="37" ht="13.5" thickTop="1">
      <c r="A37" s="3"/>
    </row>
    <row r="38" spans="1:3" ht="12.75">
      <c r="A38" s="28" t="s">
        <v>5</v>
      </c>
      <c r="C38" s="28" t="s">
        <v>159</v>
      </c>
    </row>
    <row r="39" spans="3:8" ht="12.75">
      <c r="C39" s="28" t="s">
        <v>107</v>
      </c>
      <c r="H39" s="1"/>
    </row>
    <row r="40" ht="12.75">
      <c r="C40" s="28" t="s">
        <v>160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60" zoomScalePageLayoutView="0" workbookViewId="0" topLeftCell="A1">
      <selection activeCell="S66" activeCellId="1" sqref="C24 S66"/>
    </sheetView>
  </sheetViews>
  <sheetFormatPr defaultColWidth="9.140625" defaultRowHeight="12.75"/>
  <cols>
    <col min="1" max="1" width="6.7109375" style="0" customWidth="1"/>
    <col min="2" max="2" width="0.85546875" style="0" customWidth="1"/>
    <col min="3" max="3" width="35.7109375" style="0" customWidth="1"/>
    <col min="4" max="4" width="0.85546875" style="0" customWidth="1"/>
    <col min="5" max="5" width="12.7109375" style="0" customWidth="1"/>
    <col min="6" max="6" width="0.85546875" style="0" customWidth="1"/>
    <col min="7" max="7" width="12.7109375" style="0" customWidth="1"/>
    <col min="8" max="8" width="0.85546875" style="0" customWidth="1"/>
    <col min="9" max="9" width="13.7109375" style="0" customWidth="1"/>
  </cols>
  <sheetData>
    <row r="1" spans="1:7" ht="12.75">
      <c r="A1" t="s">
        <v>14</v>
      </c>
      <c r="G1" t="s">
        <v>102</v>
      </c>
    </row>
    <row r="2" spans="1:7" ht="12.75">
      <c r="A2" t="s">
        <v>101</v>
      </c>
      <c r="G2" s="28" t="s">
        <v>85</v>
      </c>
    </row>
    <row r="3" ht="12.75">
      <c r="G3" s="28" t="s">
        <v>79</v>
      </c>
    </row>
    <row r="4" spans="1:7" ht="12.75">
      <c r="A4" s="28" t="s">
        <v>171</v>
      </c>
      <c r="G4" s="28" t="s">
        <v>11</v>
      </c>
    </row>
    <row r="6" spans="1:6" ht="12.75">
      <c r="A6" s="3" t="s">
        <v>8</v>
      </c>
      <c r="F6" s="9" t="s">
        <v>76</v>
      </c>
    </row>
    <row r="7" spans="1:9" ht="12.75">
      <c r="A7" s="4" t="s">
        <v>9</v>
      </c>
      <c r="C7" s="4" t="s">
        <v>66</v>
      </c>
      <c r="D7" s="11"/>
      <c r="E7" s="31" t="s">
        <v>78</v>
      </c>
      <c r="F7" s="3"/>
      <c r="G7" s="31" t="s">
        <v>53</v>
      </c>
      <c r="I7" s="31" t="s">
        <v>2</v>
      </c>
    </row>
    <row r="9" spans="1:9" ht="12.75">
      <c r="A9" s="3">
        <v>1</v>
      </c>
      <c r="C9" t="s">
        <v>172</v>
      </c>
      <c r="E9" s="1">
        <f>10272+26278+679</f>
        <v>37229</v>
      </c>
      <c r="F9" s="1"/>
      <c r="G9" s="1">
        <f>40308.731+20497.923</f>
        <v>60806.653999999995</v>
      </c>
      <c r="I9" s="27" t="s">
        <v>106</v>
      </c>
    </row>
    <row r="10" spans="1:9" ht="12.75">
      <c r="A10" s="3"/>
      <c r="E10" s="1"/>
      <c r="F10" s="1"/>
      <c r="G10" s="1"/>
      <c r="I10" s="3"/>
    </row>
    <row r="11" spans="1:9" ht="12.75">
      <c r="A11" s="3">
        <v>2</v>
      </c>
      <c r="C11" t="s">
        <v>80</v>
      </c>
      <c r="E11" s="1"/>
      <c r="I11" s="27"/>
    </row>
    <row r="12" ht="12.75">
      <c r="A12" s="3"/>
    </row>
    <row r="13" spans="1:9" ht="12.75">
      <c r="A13" s="3">
        <v>3</v>
      </c>
      <c r="C13" s="28" t="s">
        <v>146</v>
      </c>
      <c r="D13" s="28"/>
      <c r="E13" s="6">
        <v>-37229</v>
      </c>
      <c r="F13" s="1"/>
      <c r="G13" s="6">
        <f>-0.4*G9</f>
        <v>-24322.6616</v>
      </c>
      <c r="I13" s="27" t="s">
        <v>77</v>
      </c>
    </row>
    <row r="14" spans="1:7" ht="12.75">
      <c r="A14" s="3"/>
      <c r="E14" s="1"/>
      <c r="F14" s="1"/>
      <c r="G14" s="1"/>
    </row>
    <row r="15" spans="1:9" ht="12.75">
      <c r="A15" s="3">
        <v>4</v>
      </c>
      <c r="C15" s="28" t="s">
        <v>225</v>
      </c>
      <c r="D15" s="28"/>
      <c r="E15" s="8">
        <f>SUM(E9:E13)</f>
        <v>0</v>
      </c>
      <c r="F15" s="8"/>
      <c r="G15" s="8">
        <f>SUM(G9:G13)</f>
        <v>36483.992399999996</v>
      </c>
      <c r="I15" s="3"/>
    </row>
    <row r="16" ht="12.75">
      <c r="I16" s="3"/>
    </row>
    <row r="17" spans="1:9" ht="12.75">
      <c r="A17" s="3">
        <v>5</v>
      </c>
      <c r="C17" s="28" t="s">
        <v>141</v>
      </c>
      <c r="G17" s="6">
        <f>-0.5*G15</f>
        <v>-18241.996199999998</v>
      </c>
      <c r="I17" s="27" t="s">
        <v>77</v>
      </c>
    </row>
    <row r="18" ht="12.75">
      <c r="A18" s="3"/>
    </row>
    <row r="19" spans="1:7" ht="12.75">
      <c r="A19" s="3">
        <v>6</v>
      </c>
      <c r="C19" s="28" t="s">
        <v>142</v>
      </c>
      <c r="G19" s="1">
        <f>G15+G17</f>
        <v>18241.996199999998</v>
      </c>
    </row>
    <row r="20" ht="12.75">
      <c r="A20" s="3"/>
    </row>
    <row r="21" spans="1:9" ht="12.75">
      <c r="A21" s="3">
        <v>7</v>
      </c>
      <c r="C21" s="28" t="s">
        <v>143</v>
      </c>
      <c r="G21" s="1">
        <f>G13+G17</f>
        <v>-42564.6578</v>
      </c>
      <c r="I21" s="27" t="s">
        <v>144</v>
      </c>
    </row>
    <row r="22" ht="12.75">
      <c r="A22" s="3"/>
    </row>
    <row r="23" spans="1:9" ht="12.75">
      <c r="A23" s="3">
        <v>8</v>
      </c>
      <c r="C23" s="28" t="s">
        <v>81</v>
      </c>
      <c r="D23" s="28"/>
      <c r="E23" s="1"/>
      <c r="G23" s="32">
        <v>0.6629</v>
      </c>
      <c r="I23" s="27" t="s">
        <v>4</v>
      </c>
    </row>
    <row r="25" spans="1:9" ht="12.75">
      <c r="A25" s="3">
        <v>9</v>
      </c>
      <c r="C25" s="28" t="s">
        <v>173</v>
      </c>
      <c r="D25" s="28"/>
      <c r="G25" s="1">
        <f>G21*G23</f>
        <v>-28216.111655620003</v>
      </c>
      <c r="I25" s="27" t="s">
        <v>82</v>
      </c>
    </row>
    <row r="26" ht="12.75">
      <c r="A26" s="3"/>
    </row>
    <row r="27" spans="1:9" ht="12.75">
      <c r="A27" s="3">
        <v>10</v>
      </c>
      <c r="C27" s="13" t="s">
        <v>45</v>
      </c>
      <c r="D27" s="13"/>
      <c r="G27" s="29">
        <v>0.967467</v>
      </c>
      <c r="I27" s="27" t="s">
        <v>3</v>
      </c>
    </row>
    <row r="28" ht="12.75">
      <c r="A28" s="3"/>
    </row>
    <row r="29" spans="1:9" ht="13.5" thickBot="1">
      <c r="A29" s="3">
        <v>11</v>
      </c>
      <c r="C29" s="28" t="s">
        <v>155</v>
      </c>
      <c r="D29" s="13"/>
      <c r="G29" s="7">
        <f>G25*G27</f>
        <v>-27298.156895127715</v>
      </c>
      <c r="I29" s="27" t="s">
        <v>145</v>
      </c>
    </row>
    <row r="30" ht="13.5" thickTop="1"/>
    <row r="34" spans="1:3" ht="12.75">
      <c r="A34" s="28" t="s">
        <v>5</v>
      </c>
      <c r="C34" s="28" t="s">
        <v>175</v>
      </c>
    </row>
    <row r="35" spans="3:4" ht="12.75">
      <c r="C35" s="28" t="s">
        <v>174</v>
      </c>
      <c r="D35" s="28"/>
    </row>
    <row r="36" ht="12.75">
      <c r="D36" s="28"/>
    </row>
  </sheetData>
  <sheetProtection/>
  <printOptions/>
  <pageMargins left="0.7" right="0.7" top="0.75" bottom="0.75" header="0.3" footer="0.3"/>
  <pageSetup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60" zoomScalePageLayoutView="0" workbookViewId="0" topLeftCell="A1">
      <selection activeCell="S66" activeCellId="1" sqref="C24 S66"/>
    </sheetView>
  </sheetViews>
  <sheetFormatPr defaultColWidth="9.140625" defaultRowHeight="12.75"/>
  <cols>
    <col min="1" max="1" width="6.7109375" style="0" customWidth="1"/>
    <col min="2" max="2" width="0.85546875" style="0" customWidth="1"/>
    <col min="3" max="3" width="35.7109375" style="0" customWidth="1"/>
    <col min="4" max="4" width="0.85546875" style="0" customWidth="1"/>
    <col min="5" max="5" width="12.7109375" style="0" customWidth="1"/>
    <col min="6" max="6" width="0.85546875" style="0" customWidth="1"/>
    <col min="7" max="7" width="12.7109375" style="0" customWidth="1"/>
    <col min="8" max="8" width="0.85546875" style="0" customWidth="1"/>
    <col min="9" max="9" width="13.7109375" style="0" customWidth="1"/>
  </cols>
  <sheetData>
    <row r="1" spans="1:7" ht="12.75">
      <c r="A1" t="s">
        <v>14</v>
      </c>
      <c r="G1" t="s">
        <v>102</v>
      </c>
    </row>
    <row r="2" spans="1:7" ht="12.75">
      <c r="A2" s="28" t="s">
        <v>108</v>
      </c>
      <c r="G2" s="28" t="s">
        <v>85</v>
      </c>
    </row>
    <row r="3" ht="12.75">
      <c r="G3" t="str">
        <f>'2017 incentive'!G3</f>
        <v>Incentive Compensation</v>
      </c>
    </row>
    <row r="4" spans="1:7" ht="12.75">
      <c r="A4" s="28" t="s">
        <v>140</v>
      </c>
      <c r="G4" s="28" t="s">
        <v>12</v>
      </c>
    </row>
    <row r="6" spans="1:6" ht="12.75">
      <c r="A6" s="3" t="s">
        <v>8</v>
      </c>
      <c r="F6" s="9" t="s">
        <v>76</v>
      </c>
    </row>
    <row r="7" spans="1:9" ht="12.75">
      <c r="A7" s="4" t="s">
        <v>9</v>
      </c>
      <c r="C7" s="4" t="s">
        <v>66</v>
      </c>
      <c r="D7" s="11"/>
      <c r="E7" s="31" t="s">
        <v>78</v>
      </c>
      <c r="F7" s="3"/>
      <c r="G7" s="31" t="s">
        <v>53</v>
      </c>
      <c r="I7" s="31" t="s">
        <v>2</v>
      </c>
    </row>
    <row r="9" spans="1:9" ht="12.75">
      <c r="A9" s="3">
        <v>1</v>
      </c>
      <c r="C9" t="s">
        <v>176</v>
      </c>
      <c r="E9" s="1">
        <v>37446</v>
      </c>
      <c r="F9" s="1"/>
      <c r="G9" s="1">
        <f>40308.731+20497.923</f>
        <v>60806.653999999995</v>
      </c>
      <c r="I9" s="27" t="s">
        <v>106</v>
      </c>
    </row>
    <row r="10" spans="1:9" ht="12.75">
      <c r="A10" s="3"/>
      <c r="E10" s="1"/>
      <c r="F10" s="1"/>
      <c r="G10" s="1"/>
      <c r="I10" s="3"/>
    </row>
    <row r="11" spans="1:9" ht="12.75">
      <c r="A11" s="3">
        <v>2</v>
      </c>
      <c r="C11" t="s">
        <v>80</v>
      </c>
      <c r="E11" s="1"/>
      <c r="I11" s="27"/>
    </row>
    <row r="12" ht="12.75">
      <c r="A12" s="3"/>
    </row>
    <row r="13" spans="1:9" ht="12.75">
      <c r="A13" s="3">
        <v>3</v>
      </c>
      <c r="C13" s="28" t="s">
        <v>146</v>
      </c>
      <c r="D13" s="28"/>
      <c r="E13" s="6">
        <v>-37446</v>
      </c>
      <c r="F13" s="1"/>
      <c r="G13" s="6">
        <f>-0.4*G9</f>
        <v>-24322.6616</v>
      </c>
      <c r="I13" s="27" t="s">
        <v>77</v>
      </c>
    </row>
    <row r="14" spans="1:7" ht="12.75">
      <c r="A14" s="3"/>
      <c r="E14" s="1"/>
      <c r="F14" s="1"/>
      <c r="G14" s="1"/>
    </row>
    <row r="15" spans="1:9" ht="12.75">
      <c r="A15" s="3">
        <v>4</v>
      </c>
      <c r="C15" s="28" t="s">
        <v>225</v>
      </c>
      <c r="D15" s="28"/>
      <c r="E15" s="8">
        <f>SUM(E9:E13)</f>
        <v>0</v>
      </c>
      <c r="F15" s="8"/>
      <c r="G15" s="8">
        <f>SUM(G9:G13)</f>
        <v>36483.992399999996</v>
      </c>
      <c r="I15" s="3"/>
    </row>
    <row r="16" ht="12.75">
      <c r="I16" s="3"/>
    </row>
    <row r="17" spans="1:9" ht="12.75">
      <c r="A17" s="3">
        <v>5</v>
      </c>
      <c r="C17" s="28" t="s">
        <v>141</v>
      </c>
      <c r="G17" s="6">
        <f>-0.5*G15</f>
        <v>-18241.996199999998</v>
      </c>
      <c r="I17" s="27" t="s">
        <v>77</v>
      </c>
    </row>
    <row r="18" ht="12.75">
      <c r="A18" s="3"/>
    </row>
    <row r="19" spans="1:7" ht="12.75">
      <c r="A19" s="3">
        <v>6</v>
      </c>
      <c r="C19" s="28" t="s">
        <v>142</v>
      </c>
      <c r="G19" s="1">
        <f>G15+G17</f>
        <v>18241.996199999998</v>
      </c>
    </row>
    <row r="20" ht="12.75">
      <c r="A20" s="3"/>
    </row>
    <row r="21" spans="1:9" ht="12.75">
      <c r="A21" s="3">
        <v>7</v>
      </c>
      <c r="C21" s="28" t="s">
        <v>143</v>
      </c>
      <c r="G21" s="1">
        <f>G13+G17</f>
        <v>-42564.6578</v>
      </c>
      <c r="I21" s="27" t="s">
        <v>144</v>
      </c>
    </row>
    <row r="22" ht="12.75">
      <c r="A22" s="3"/>
    </row>
    <row r="23" spans="1:9" ht="12.75">
      <c r="A23" s="3">
        <v>8</v>
      </c>
      <c r="C23" s="28" t="s">
        <v>81</v>
      </c>
      <c r="D23" s="28"/>
      <c r="E23" s="1"/>
      <c r="G23" s="32">
        <v>0.6629</v>
      </c>
      <c r="I23" s="27" t="s">
        <v>4</v>
      </c>
    </row>
    <row r="25" spans="1:9" ht="12.75">
      <c r="A25" s="3">
        <v>9</v>
      </c>
      <c r="C25" s="28" t="s">
        <v>177</v>
      </c>
      <c r="D25" s="28"/>
      <c r="G25" s="1">
        <f>G21*G23</f>
        <v>-28216.111655620003</v>
      </c>
      <c r="I25" s="27" t="s">
        <v>82</v>
      </c>
    </row>
    <row r="26" ht="12.75">
      <c r="A26" s="3"/>
    </row>
    <row r="27" spans="1:9" ht="12.75">
      <c r="A27" s="3">
        <v>10</v>
      </c>
      <c r="C27" s="13" t="s">
        <v>45</v>
      </c>
      <c r="D27" s="13"/>
      <c r="G27" s="29">
        <v>0.967467</v>
      </c>
      <c r="I27" s="27" t="s">
        <v>3</v>
      </c>
    </row>
    <row r="28" ht="12.75">
      <c r="A28" s="3"/>
    </row>
    <row r="29" spans="1:9" ht="13.5" thickBot="1">
      <c r="A29" s="3">
        <v>11</v>
      </c>
      <c r="C29" s="28" t="s">
        <v>170</v>
      </c>
      <c r="D29" s="13"/>
      <c r="G29" s="7">
        <f>G25*G27</f>
        <v>-27298.156895127715</v>
      </c>
      <c r="I29" s="27" t="s">
        <v>145</v>
      </c>
    </row>
    <row r="30" ht="13.5" thickTop="1"/>
    <row r="34" spans="1:3" ht="12.75">
      <c r="A34" s="28" t="s">
        <v>5</v>
      </c>
      <c r="C34" s="28" t="s">
        <v>175</v>
      </c>
    </row>
    <row r="35" spans="3:4" ht="12.75">
      <c r="C35" s="28" t="s">
        <v>174</v>
      </c>
      <c r="D35" s="28"/>
    </row>
    <row r="36" ht="12.75">
      <c r="D36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60" zoomScalePageLayoutView="0" workbookViewId="0" topLeftCell="A1">
      <selection activeCell="S66" activeCellId="1" sqref="C24 S66"/>
    </sheetView>
  </sheetViews>
  <sheetFormatPr defaultColWidth="9.140625" defaultRowHeight="12.75"/>
  <cols>
    <col min="1" max="1" width="6.7109375" style="0" customWidth="1"/>
    <col min="2" max="2" width="0.85546875" style="0" customWidth="1"/>
    <col min="3" max="3" width="9.7109375" style="0" customWidth="1"/>
    <col min="4" max="4" width="0.85546875" style="0" customWidth="1"/>
    <col min="5" max="5" width="12.7109375" style="0" customWidth="1"/>
    <col min="6" max="6" width="0.85546875" style="0" customWidth="1"/>
    <col min="7" max="7" width="10.7109375" style="0" customWidth="1"/>
    <col min="8" max="8" width="0.85546875" style="0" customWidth="1"/>
    <col min="9" max="9" width="10.7109375" style="0" customWidth="1"/>
    <col min="10" max="10" width="0.85546875" style="0" customWidth="1"/>
    <col min="11" max="11" width="10.7109375" style="0" customWidth="1"/>
    <col min="12" max="12" width="0.85546875" style="0" customWidth="1"/>
    <col min="13" max="13" width="10.7109375" style="0" customWidth="1"/>
    <col min="14" max="14" width="0.85546875" style="0" customWidth="1"/>
    <col min="15" max="15" width="10.7109375" style="0" customWidth="1"/>
  </cols>
  <sheetData>
    <row r="1" spans="1:13" ht="12.75">
      <c r="A1" t="s">
        <v>14</v>
      </c>
      <c r="M1" s="28" t="s">
        <v>102</v>
      </c>
    </row>
    <row r="2" spans="1:13" ht="12.75">
      <c r="A2" s="28" t="s">
        <v>101</v>
      </c>
      <c r="M2" s="28" t="s">
        <v>87</v>
      </c>
    </row>
    <row r="3" ht="12.75">
      <c r="M3" s="28" t="s">
        <v>178</v>
      </c>
    </row>
    <row r="4" spans="1:13" ht="12.75">
      <c r="A4" s="13" t="s">
        <v>52</v>
      </c>
      <c r="M4" s="28" t="s">
        <v>11</v>
      </c>
    </row>
    <row r="6" spans="1:10" ht="12.75">
      <c r="A6" s="3" t="s">
        <v>8</v>
      </c>
      <c r="J6" s="23" t="s">
        <v>46</v>
      </c>
    </row>
    <row r="7" spans="1:15" ht="12.75">
      <c r="A7" s="4" t="s">
        <v>9</v>
      </c>
      <c r="F7" s="3"/>
      <c r="H7" s="3"/>
      <c r="I7" s="15" t="s">
        <v>27</v>
      </c>
      <c r="J7" s="11"/>
      <c r="K7" s="15" t="s">
        <v>7</v>
      </c>
      <c r="M7" s="15" t="s">
        <v>28</v>
      </c>
      <c r="O7" s="15" t="s">
        <v>2</v>
      </c>
    </row>
    <row r="8" ht="12.75">
      <c r="C8" s="23">
        <v>2017</v>
      </c>
    </row>
    <row r="9" spans="1:15" ht="12.75">
      <c r="A9" s="3">
        <v>1</v>
      </c>
      <c r="C9" s="13" t="s">
        <v>59</v>
      </c>
      <c r="I9" s="1"/>
      <c r="K9" s="1">
        <v>164315</v>
      </c>
      <c r="O9" s="12" t="s">
        <v>3</v>
      </c>
    </row>
    <row r="10" spans="1:15" ht="12.75">
      <c r="A10" s="3">
        <v>2</v>
      </c>
      <c r="C10" t="s">
        <v>50</v>
      </c>
      <c r="F10" s="1"/>
      <c r="H10" s="1"/>
      <c r="I10" s="6"/>
      <c r="J10" s="1"/>
      <c r="K10" s="6">
        <f>-67765-2155-6004</f>
        <v>-75924</v>
      </c>
      <c r="O10" s="12" t="s">
        <v>3</v>
      </c>
    </row>
    <row r="11" spans="1:15" ht="12.75">
      <c r="A11" s="3">
        <v>3</v>
      </c>
      <c r="C11" s="13" t="s">
        <v>51</v>
      </c>
      <c r="I11" s="8">
        <v>62298</v>
      </c>
      <c r="K11" s="8">
        <f>SUM(K9:K10)</f>
        <v>88391</v>
      </c>
      <c r="M11" s="2">
        <f>I11/K11</f>
        <v>0.704800262470161</v>
      </c>
      <c r="O11" s="12" t="s">
        <v>4</v>
      </c>
    </row>
    <row r="12" spans="1:15" ht="12.75">
      <c r="A12" s="3">
        <v>4</v>
      </c>
      <c r="C12" s="13" t="s">
        <v>55</v>
      </c>
      <c r="I12" s="1">
        <f>K12*M11</f>
        <v>42660.85508705638</v>
      </c>
      <c r="K12" s="1">
        <v>60529</v>
      </c>
      <c r="O12" s="12" t="s">
        <v>61</v>
      </c>
    </row>
    <row r="13" spans="1:15" ht="12.75">
      <c r="A13" s="3">
        <v>5</v>
      </c>
      <c r="C13" s="13" t="s">
        <v>56</v>
      </c>
      <c r="I13" s="1">
        <f>K13*M11</f>
        <v>-9765.00763652408</v>
      </c>
      <c r="K13" s="1">
        <f>-9371-4484</f>
        <v>-13855</v>
      </c>
      <c r="O13" s="12" t="s">
        <v>61</v>
      </c>
    </row>
    <row r="14" spans="1:15" ht="12.75">
      <c r="A14" s="3">
        <v>6</v>
      </c>
      <c r="C14" s="13" t="s">
        <v>60</v>
      </c>
      <c r="I14" s="16">
        <f>SUM(I11:I13)</f>
        <v>95193.8474505323</v>
      </c>
      <c r="K14" s="16">
        <f>SUM(K11:K13)</f>
        <v>135065</v>
      </c>
      <c r="M14" s="2">
        <f>I14/K14</f>
        <v>0.704800262470161</v>
      </c>
      <c r="O14" s="12" t="s">
        <v>62</v>
      </c>
    </row>
    <row r="15" spans="1:15" ht="12.75">
      <c r="A15" s="3"/>
      <c r="O15" s="3"/>
    </row>
    <row r="16" spans="1:15" ht="12.75">
      <c r="A16" s="3">
        <v>7</v>
      </c>
      <c r="C16" t="s">
        <v>53</v>
      </c>
      <c r="I16" s="1">
        <f>employee!O50</f>
        <v>9090.875</v>
      </c>
      <c r="J16" s="1"/>
      <c r="K16" s="1">
        <f>I16</f>
        <v>9090.875</v>
      </c>
      <c r="O16" s="12" t="s">
        <v>3</v>
      </c>
    </row>
    <row r="17" spans="1:15" ht="12.75">
      <c r="A17" s="3"/>
      <c r="O17" s="3"/>
    </row>
    <row r="18" spans="1:15" ht="12.75">
      <c r="A18" s="3">
        <v>8</v>
      </c>
      <c r="C18" t="s">
        <v>54</v>
      </c>
      <c r="I18" s="33">
        <f>I14/I16</f>
        <v>10.471362487167879</v>
      </c>
      <c r="K18" s="33">
        <f>K14/K16</f>
        <v>14.85720571452143</v>
      </c>
      <c r="O18" s="12" t="s">
        <v>63</v>
      </c>
    </row>
    <row r="19" spans="1:15" ht="12.75">
      <c r="A19" s="3"/>
      <c r="O19" s="3"/>
    </row>
    <row r="20" spans="1:15" ht="12.75">
      <c r="A20" s="3">
        <v>9</v>
      </c>
      <c r="C20" t="s">
        <v>38</v>
      </c>
      <c r="I20" s="1">
        <f>empPRadj!H11</f>
        <v>-256</v>
      </c>
      <c r="K20" s="1">
        <f>I20</f>
        <v>-256</v>
      </c>
      <c r="O20" s="27" t="s">
        <v>89</v>
      </c>
    </row>
    <row r="21" spans="1:15" ht="12.75">
      <c r="A21" s="3">
        <v>10</v>
      </c>
      <c r="C21" s="28" t="s">
        <v>86</v>
      </c>
      <c r="I21" s="16">
        <f>I18*I20</f>
        <v>-2680.668796714977</v>
      </c>
      <c r="K21" s="16">
        <f>K18*K20</f>
        <v>-3803.444662917486</v>
      </c>
      <c r="M21" s="2">
        <f>I21/K21</f>
        <v>0.7048002624701609</v>
      </c>
      <c r="O21" s="12" t="s">
        <v>64</v>
      </c>
    </row>
    <row r="22" spans="1:15" ht="12.75">
      <c r="A22" s="3"/>
      <c r="O22" s="3"/>
    </row>
    <row r="23" spans="1:16" ht="12.75">
      <c r="A23" s="3">
        <v>11</v>
      </c>
      <c r="C23" s="13" t="s">
        <v>57</v>
      </c>
      <c r="I23" s="1">
        <f>I14+I21</f>
        <v>92513.17865381732</v>
      </c>
      <c r="K23" s="1">
        <f>K14+K21</f>
        <v>131261.5553370825</v>
      </c>
      <c r="M23" s="2">
        <f>I23/K23</f>
        <v>0.704800262470161</v>
      </c>
      <c r="O23" s="12" t="s">
        <v>65</v>
      </c>
      <c r="P23" s="28"/>
    </row>
    <row r="24" spans="1:16" ht="12.75">
      <c r="A24" s="3"/>
      <c r="O24" s="3"/>
      <c r="P24" s="28"/>
    </row>
    <row r="25" spans="1:16" ht="12.75">
      <c r="A25" s="3">
        <v>12</v>
      </c>
      <c r="C25" s="28" t="s">
        <v>118</v>
      </c>
      <c r="I25" s="1">
        <f>I14</f>
        <v>95193.8474505323</v>
      </c>
      <c r="K25" s="1">
        <f>K14</f>
        <v>135065</v>
      </c>
      <c r="M25" s="2">
        <f>I25/K25</f>
        <v>0.704800262470161</v>
      </c>
      <c r="O25" s="12" t="s">
        <v>62</v>
      </c>
      <c r="P25" s="28"/>
    </row>
    <row r="26" spans="1:16" ht="12.75">
      <c r="A26" s="3"/>
      <c r="O26" s="3"/>
      <c r="P26" s="28"/>
    </row>
    <row r="27" spans="1:16" ht="12.75">
      <c r="A27" s="3">
        <v>13</v>
      </c>
      <c r="C27" s="13" t="s">
        <v>58</v>
      </c>
      <c r="I27" s="16">
        <f>I23-I25</f>
        <v>-2680.6687967149774</v>
      </c>
      <c r="O27" s="27" t="s">
        <v>119</v>
      </c>
      <c r="P27" s="28"/>
    </row>
    <row r="28" spans="1:16" ht="12.75">
      <c r="A28" s="3"/>
      <c r="O28" s="3"/>
      <c r="P28" s="28"/>
    </row>
    <row r="29" spans="1:15" ht="12.75">
      <c r="A29" s="3">
        <v>14</v>
      </c>
      <c r="C29" s="13" t="s">
        <v>45</v>
      </c>
      <c r="I29" s="26">
        <v>0.968169</v>
      </c>
      <c r="O29" s="12" t="s">
        <v>4</v>
      </c>
    </row>
    <row r="30" ht="12.75">
      <c r="O30" s="3"/>
    </row>
    <row r="31" spans="1:15" ht="13.5" thickBot="1">
      <c r="A31" s="3">
        <v>15</v>
      </c>
      <c r="C31" s="13" t="s">
        <v>47</v>
      </c>
      <c r="I31" s="7">
        <f>I27*I29</f>
        <v>-2595.3404282467427</v>
      </c>
      <c r="O31" s="27" t="s">
        <v>120</v>
      </c>
    </row>
    <row r="32" ht="13.5" thickTop="1"/>
    <row r="34" spans="1:3" ht="12.75">
      <c r="A34" s="13" t="s">
        <v>5</v>
      </c>
      <c r="C34" s="28" t="s">
        <v>159</v>
      </c>
    </row>
    <row r="35" ht="12.75">
      <c r="C35" s="28" t="s">
        <v>179</v>
      </c>
    </row>
    <row r="36" ht="12.75">
      <c r="C36" s="28" t="s">
        <v>98</v>
      </c>
    </row>
  </sheetData>
  <sheetProtection/>
  <printOptions/>
  <pageMargins left="0.7" right="0.7" top="0.75" bottom="0.75" header="0.3" footer="0.3"/>
  <pageSetup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="60" zoomScalePageLayoutView="0" workbookViewId="0" topLeftCell="A1">
      <selection activeCell="S66" activeCellId="1" sqref="C24 S66"/>
    </sheetView>
  </sheetViews>
  <sheetFormatPr defaultColWidth="9.140625" defaultRowHeight="12.75"/>
  <cols>
    <col min="1" max="1" width="6.7109375" style="0" customWidth="1"/>
    <col min="2" max="2" width="0.85546875" style="0" customWidth="1"/>
    <col min="3" max="3" width="9.7109375" style="0" customWidth="1"/>
    <col min="4" max="4" width="0.85546875" style="0" customWidth="1"/>
    <col min="5" max="5" width="12.7109375" style="0" customWidth="1"/>
    <col min="6" max="6" width="0.85546875" style="0" customWidth="1"/>
    <col min="7" max="7" width="12.7109375" style="0" customWidth="1"/>
    <col min="8" max="8" width="0.85546875" style="0" customWidth="1"/>
    <col min="9" max="9" width="10.7109375" style="0" customWidth="1"/>
    <col min="10" max="10" width="0.85546875" style="0" customWidth="1"/>
    <col min="11" max="11" width="10.7109375" style="0" customWidth="1"/>
    <col min="12" max="12" width="0.85546875" style="0" customWidth="1"/>
    <col min="13" max="13" width="8.7109375" style="0" customWidth="1"/>
    <col min="14" max="14" width="0.85546875" style="0" customWidth="1"/>
  </cols>
  <sheetData>
    <row r="1" spans="1:13" ht="12.75">
      <c r="A1" t="s">
        <v>14</v>
      </c>
      <c r="M1" t="str">
        <f>'2018prtaxexp'!K1</f>
        <v>Docket No. 160021-EI</v>
      </c>
    </row>
    <row r="2" spans="1:13" ht="12.75">
      <c r="A2" s="28" t="s">
        <v>108</v>
      </c>
      <c r="K2" s="28"/>
      <c r="M2" t="str">
        <f>'2017benefits'!M2</f>
        <v>Exhibit No. HWS-4</v>
      </c>
    </row>
    <row r="3" spans="11:13" ht="12.75">
      <c r="K3" s="28"/>
      <c r="M3" t="str">
        <f>'2017benefits'!M3</f>
        <v>Benefits Adjustment</v>
      </c>
    </row>
    <row r="4" spans="1:13" ht="12.75">
      <c r="A4" s="28" t="s">
        <v>151</v>
      </c>
      <c r="M4" s="28" t="s">
        <v>12</v>
      </c>
    </row>
    <row r="6" spans="1:10" ht="12.75">
      <c r="A6" s="3" t="s">
        <v>8</v>
      </c>
      <c r="J6" s="9" t="s">
        <v>76</v>
      </c>
    </row>
    <row r="7" spans="1:15" ht="12.75">
      <c r="A7" s="4" t="s">
        <v>9</v>
      </c>
      <c r="F7" s="3"/>
      <c r="H7" s="3"/>
      <c r="I7" s="15" t="s">
        <v>27</v>
      </c>
      <c r="J7" s="11"/>
      <c r="K7" s="15" t="s">
        <v>7</v>
      </c>
      <c r="M7" s="15" t="s">
        <v>28</v>
      </c>
      <c r="O7" s="15" t="s">
        <v>2</v>
      </c>
    </row>
    <row r="8" ht="12.75">
      <c r="C8" s="23">
        <v>2018</v>
      </c>
    </row>
    <row r="9" spans="1:15" ht="12.75">
      <c r="A9" s="3">
        <v>1</v>
      </c>
      <c r="C9" s="13" t="s">
        <v>59</v>
      </c>
      <c r="I9" s="1"/>
      <c r="K9" s="1">
        <v>168174</v>
      </c>
      <c r="O9" s="12" t="s">
        <v>3</v>
      </c>
    </row>
    <row r="10" spans="1:15" ht="12.75">
      <c r="A10" s="3">
        <v>2</v>
      </c>
      <c r="C10" t="s">
        <v>50</v>
      </c>
      <c r="F10" s="1"/>
      <c r="H10" s="1"/>
      <c r="I10" s="6"/>
      <c r="J10" s="1"/>
      <c r="K10" s="6">
        <f>-69389-2206-6015</f>
        <v>-77610</v>
      </c>
      <c r="O10" s="12" t="s">
        <v>3</v>
      </c>
    </row>
    <row r="11" spans="1:16" ht="12.75">
      <c r="A11" s="3">
        <v>3</v>
      </c>
      <c r="C11" s="13" t="s">
        <v>51</v>
      </c>
      <c r="I11" s="8">
        <v>63906</v>
      </c>
      <c r="K11" s="8">
        <f>SUM(K9:K10)</f>
        <v>90564</v>
      </c>
      <c r="M11" s="2">
        <f>I11/K11</f>
        <v>0.7056446270041076</v>
      </c>
      <c r="O11" s="12" t="s">
        <v>4</v>
      </c>
      <c r="P11" s="13"/>
    </row>
    <row r="12" spans="1:15" ht="12.75">
      <c r="A12" s="3">
        <v>4</v>
      </c>
      <c r="C12" s="13" t="s">
        <v>55</v>
      </c>
      <c r="I12" s="1">
        <f>K12*M11</f>
        <v>44141.59964224195</v>
      </c>
      <c r="K12" s="1">
        <v>62555</v>
      </c>
      <c r="O12" s="12" t="s">
        <v>61</v>
      </c>
    </row>
    <row r="13" spans="1:15" ht="12.75">
      <c r="A13" s="3">
        <v>5</v>
      </c>
      <c r="C13" s="13" t="s">
        <v>56</v>
      </c>
      <c r="I13" s="1">
        <f>K13*M11</f>
        <v>-9843.036902080297</v>
      </c>
      <c r="K13" s="1">
        <f>-9102-4847</f>
        <v>-13949</v>
      </c>
      <c r="O13" s="12" t="s">
        <v>61</v>
      </c>
    </row>
    <row r="14" spans="1:15" ht="12.75">
      <c r="A14" s="3">
        <v>6</v>
      </c>
      <c r="C14" s="13" t="s">
        <v>60</v>
      </c>
      <c r="I14" s="16">
        <f>SUM(I11:I13)</f>
        <v>98204.56274016167</v>
      </c>
      <c r="K14" s="16">
        <f>SUM(K11:K13)</f>
        <v>139170</v>
      </c>
      <c r="M14" s="2">
        <f>I14/K14</f>
        <v>0.7056446270041077</v>
      </c>
      <c r="O14" s="12" t="s">
        <v>62</v>
      </c>
    </row>
    <row r="15" spans="1:15" ht="12.75">
      <c r="A15" s="3"/>
      <c r="O15" s="3"/>
    </row>
    <row r="16" spans="1:15" ht="12.75">
      <c r="A16" s="3">
        <v>7</v>
      </c>
      <c r="C16" t="s">
        <v>53</v>
      </c>
      <c r="I16" s="1">
        <f>'2018PRemp'!F14</f>
        <v>9067</v>
      </c>
      <c r="J16" s="1"/>
      <c r="K16" s="1">
        <f>I16</f>
        <v>9067</v>
      </c>
      <c r="O16" s="12" t="s">
        <v>3</v>
      </c>
    </row>
    <row r="17" spans="1:15" ht="12.75">
      <c r="A17" s="3"/>
      <c r="O17" s="3"/>
    </row>
    <row r="18" spans="1:15" ht="12.75">
      <c r="A18" s="3">
        <v>8</v>
      </c>
      <c r="C18" t="s">
        <v>54</v>
      </c>
      <c r="I18" s="33">
        <f>I14/I16</f>
        <v>10.830987398275248</v>
      </c>
      <c r="K18" s="33">
        <f>K14/K16</f>
        <v>15.349068048968787</v>
      </c>
      <c r="O18" s="12" t="s">
        <v>63</v>
      </c>
    </row>
    <row r="19" spans="1:15" ht="12.75">
      <c r="A19" s="3"/>
      <c r="O19" s="3"/>
    </row>
    <row r="20" spans="1:15" ht="12.75">
      <c r="A20" s="3">
        <v>9</v>
      </c>
      <c r="C20" t="s">
        <v>38</v>
      </c>
      <c r="I20" s="1">
        <f>'2018PRemp'!H12</f>
        <v>-232</v>
      </c>
      <c r="K20" s="1">
        <f>I20</f>
        <v>-232</v>
      </c>
      <c r="O20" s="27" t="s">
        <v>89</v>
      </c>
    </row>
    <row r="21" spans="1:15" ht="12.75">
      <c r="A21" s="3">
        <v>10</v>
      </c>
      <c r="C21" s="28" t="s">
        <v>86</v>
      </c>
      <c r="I21" s="16">
        <f>I18*I20</f>
        <v>-2512.7890763998575</v>
      </c>
      <c r="K21" s="16">
        <f>K18*K20</f>
        <v>-3560.9837873607585</v>
      </c>
      <c r="M21" s="2">
        <f>I21/K21</f>
        <v>0.7056446270041078</v>
      </c>
      <c r="O21" s="12" t="s">
        <v>64</v>
      </c>
    </row>
    <row r="22" spans="1:15" ht="12.75">
      <c r="A22" s="3"/>
      <c r="O22" s="3"/>
    </row>
    <row r="23" spans="1:15" ht="12.75">
      <c r="A23" s="3">
        <v>11</v>
      </c>
      <c r="C23" s="13" t="s">
        <v>57</v>
      </c>
      <c r="I23" s="1">
        <f>I14+I21</f>
        <v>95691.7736637618</v>
      </c>
      <c r="K23" s="1">
        <f>K14+K21</f>
        <v>135609.01621263925</v>
      </c>
      <c r="M23" s="2">
        <f>I23/K23</f>
        <v>0.7056446270041076</v>
      </c>
      <c r="O23" s="12" t="s">
        <v>65</v>
      </c>
    </row>
    <row r="24" spans="1:15" ht="12.75">
      <c r="A24" s="3"/>
      <c r="O24" s="3"/>
    </row>
    <row r="25" spans="1:15" ht="12.75">
      <c r="A25" s="3">
        <v>12</v>
      </c>
      <c r="C25" s="28" t="s">
        <v>118</v>
      </c>
      <c r="I25" s="1">
        <f>I14</f>
        <v>98204.56274016167</v>
      </c>
      <c r="K25" s="1">
        <f>K14</f>
        <v>139170</v>
      </c>
      <c r="M25" s="2">
        <f>I25/K25</f>
        <v>0.7056446270041077</v>
      </c>
      <c r="O25" s="12" t="s">
        <v>62</v>
      </c>
    </row>
    <row r="26" spans="1:15" ht="12.75">
      <c r="A26" s="3"/>
      <c r="O26" s="3"/>
    </row>
    <row r="27" spans="1:15" ht="12.75">
      <c r="A27" s="3">
        <v>13</v>
      </c>
      <c r="C27" s="13" t="s">
        <v>58</v>
      </c>
      <c r="I27" s="16">
        <f>I23-I25</f>
        <v>-2512.7890763998585</v>
      </c>
      <c r="O27" s="27" t="s">
        <v>119</v>
      </c>
    </row>
    <row r="28" spans="1:15" ht="12.75">
      <c r="A28" s="3"/>
      <c r="O28" s="3"/>
    </row>
    <row r="29" spans="1:15" ht="12.75">
      <c r="A29" s="3">
        <v>14</v>
      </c>
      <c r="C29" s="13" t="s">
        <v>45</v>
      </c>
      <c r="I29" s="26">
        <v>0.968861</v>
      </c>
      <c r="O29" s="12" t="s">
        <v>4</v>
      </c>
    </row>
    <row r="30" ht="12.75">
      <c r="O30" s="3"/>
    </row>
    <row r="31" spans="1:16" ht="13.5" thickBot="1">
      <c r="A31" s="3">
        <v>15</v>
      </c>
      <c r="C31" s="13" t="s">
        <v>47</v>
      </c>
      <c r="I31" s="7">
        <f>I27*I29</f>
        <v>-2434.543337349843</v>
      </c>
      <c r="O31" s="27" t="s">
        <v>120</v>
      </c>
      <c r="P31" s="13"/>
    </row>
    <row r="32" ht="13.5" thickTop="1"/>
    <row r="34" spans="1:3" ht="12.75">
      <c r="A34" s="13" t="s">
        <v>5</v>
      </c>
      <c r="C34" s="28" t="s">
        <v>159</v>
      </c>
    </row>
    <row r="35" ht="12.75">
      <c r="C35" s="28" t="s">
        <v>179</v>
      </c>
    </row>
    <row r="36" ht="12.75">
      <c r="C36" s="28" t="s">
        <v>98</v>
      </c>
    </row>
    <row r="37" spans="1:3" ht="12.75">
      <c r="A37" s="13"/>
      <c r="C37" s="13"/>
    </row>
    <row r="38" ht="12.75">
      <c r="C38" s="28"/>
    </row>
    <row r="39" ht="12.75">
      <c r="C39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="60" zoomScalePageLayoutView="0" workbookViewId="0" topLeftCell="A1">
      <selection activeCell="S66" activeCellId="1" sqref="C24 S66"/>
    </sheetView>
  </sheetViews>
  <sheetFormatPr defaultColWidth="9.140625" defaultRowHeight="12.75"/>
  <cols>
    <col min="1" max="1" width="6.7109375" style="0" customWidth="1"/>
    <col min="2" max="2" width="0.85546875" style="0" customWidth="1"/>
    <col min="3" max="3" width="27.7109375" style="0" customWidth="1"/>
    <col min="4" max="4" width="0.85546875" style="0" customWidth="1"/>
    <col min="5" max="5" width="8.7109375" style="0" customWidth="1"/>
    <col min="6" max="6" width="0.85546875" style="0" customWidth="1"/>
    <col min="7" max="7" width="8.7109375" style="0" customWidth="1"/>
    <col min="8" max="8" width="0.85546875" style="0" customWidth="1"/>
    <col min="9" max="9" width="12.7109375" style="0" customWidth="1"/>
    <col min="10" max="10" width="0.85546875" style="0" customWidth="1"/>
    <col min="11" max="11" width="8.7109375" style="0" customWidth="1"/>
    <col min="12" max="12" width="0.85546875" style="0" customWidth="1"/>
    <col min="13" max="13" width="12.7109375" style="0" customWidth="1"/>
  </cols>
  <sheetData>
    <row r="1" spans="1:11" ht="12.75">
      <c r="A1" t="s">
        <v>14</v>
      </c>
      <c r="K1" s="28" t="s">
        <v>102</v>
      </c>
    </row>
    <row r="2" spans="1:11" ht="12.75">
      <c r="A2" s="28" t="s">
        <v>101</v>
      </c>
      <c r="K2" s="28" t="s">
        <v>88</v>
      </c>
    </row>
    <row r="3" ht="12.75">
      <c r="K3" s="28" t="s">
        <v>75</v>
      </c>
    </row>
    <row r="4" spans="1:11" ht="12.75">
      <c r="A4" s="13" t="s">
        <v>67</v>
      </c>
      <c r="K4" s="28" t="s">
        <v>11</v>
      </c>
    </row>
    <row r="6" spans="1:9" ht="12.75">
      <c r="A6" s="3" t="s">
        <v>8</v>
      </c>
      <c r="I6" s="9" t="s">
        <v>76</v>
      </c>
    </row>
    <row r="7" spans="1:13" ht="12.75">
      <c r="A7" s="4" t="s">
        <v>9</v>
      </c>
      <c r="C7" s="4" t="s">
        <v>66</v>
      </c>
      <c r="F7" s="3"/>
      <c r="H7" s="3"/>
      <c r="I7" s="31" t="s">
        <v>180</v>
      </c>
      <c r="J7" s="11"/>
      <c r="M7" s="15" t="s">
        <v>2</v>
      </c>
    </row>
    <row r="8" ht="12.75">
      <c r="A8" t="s">
        <v>49</v>
      </c>
    </row>
    <row r="9" spans="1:13" ht="12.75">
      <c r="A9" s="3">
        <v>1</v>
      </c>
      <c r="C9" t="s">
        <v>68</v>
      </c>
      <c r="I9" s="1">
        <v>431</v>
      </c>
      <c r="M9" s="3" t="s">
        <v>3</v>
      </c>
    </row>
    <row r="10" spans="1:9" ht="12.75">
      <c r="A10" s="3"/>
      <c r="I10" s="1"/>
    </row>
    <row r="11" spans="1:13" ht="12.75">
      <c r="A11" s="3">
        <v>2</v>
      </c>
      <c r="C11" t="s">
        <v>69</v>
      </c>
      <c r="I11" s="1">
        <v>1724</v>
      </c>
      <c r="M11" s="3" t="s">
        <v>3</v>
      </c>
    </row>
    <row r="12" spans="1:9" ht="12.75">
      <c r="A12" s="3"/>
      <c r="I12" s="1"/>
    </row>
    <row r="13" spans="1:13" ht="12.75">
      <c r="A13" s="3">
        <v>3</v>
      </c>
      <c r="C13" t="s">
        <v>70</v>
      </c>
      <c r="I13" s="6">
        <v>67765</v>
      </c>
      <c r="M13" s="3" t="s">
        <v>3</v>
      </c>
    </row>
    <row r="14" spans="1:9" ht="12.75">
      <c r="A14" s="3"/>
      <c r="I14" s="1"/>
    </row>
    <row r="15" spans="1:9" ht="12.75">
      <c r="A15" s="3">
        <v>4</v>
      </c>
      <c r="C15" t="s">
        <v>71</v>
      </c>
      <c r="I15" s="6">
        <f>SUM(I9:I13)</f>
        <v>69920</v>
      </c>
    </row>
    <row r="16" spans="1:9" ht="12.75">
      <c r="A16" s="3"/>
      <c r="I16" s="1"/>
    </row>
    <row r="17" spans="1:13" ht="12.75">
      <c r="A17" s="3">
        <v>5</v>
      </c>
      <c r="C17" t="s">
        <v>72</v>
      </c>
      <c r="I17" s="1">
        <v>1077342</v>
      </c>
      <c r="M17" s="27" t="s">
        <v>3</v>
      </c>
    </row>
    <row r="18" ht="12.75">
      <c r="A18" s="3"/>
    </row>
    <row r="19" spans="1:13" ht="12.75">
      <c r="A19" s="3">
        <v>6</v>
      </c>
      <c r="C19" s="13" t="s">
        <v>73</v>
      </c>
      <c r="I19" s="2">
        <f>I15/I17</f>
        <v>0.06490046800366087</v>
      </c>
      <c r="M19" s="27" t="s">
        <v>115</v>
      </c>
    </row>
    <row r="20" ht="12.75">
      <c r="A20" s="3"/>
    </row>
    <row r="21" spans="1:3" ht="12.75">
      <c r="A21" s="3"/>
      <c r="C21" s="9" t="s">
        <v>113</v>
      </c>
    </row>
    <row r="22" spans="1:13" ht="12.75">
      <c r="A22" s="3">
        <v>7</v>
      </c>
      <c r="C22" s="28" t="s">
        <v>74</v>
      </c>
      <c r="I22" s="8">
        <f>empPRadj!H31</f>
        <v>-17743.117352090994</v>
      </c>
      <c r="M22" s="27" t="s">
        <v>89</v>
      </c>
    </row>
    <row r="23" ht="12.75">
      <c r="A23" s="3"/>
    </row>
    <row r="24" spans="1:13" ht="12.75">
      <c r="A24" s="3">
        <v>8</v>
      </c>
      <c r="C24" s="28" t="s">
        <v>75</v>
      </c>
      <c r="I24" s="1">
        <f>I22*I19</f>
        <v>-1151.5366199945815</v>
      </c>
      <c r="M24" s="3" t="s">
        <v>83</v>
      </c>
    </row>
    <row r="25" ht="12.75">
      <c r="A25" s="3"/>
    </row>
    <row r="26" spans="1:13" ht="12.75">
      <c r="A26" s="3">
        <v>9</v>
      </c>
      <c r="C26" s="13" t="s">
        <v>45</v>
      </c>
      <c r="I26" s="29">
        <v>0.9863752</v>
      </c>
      <c r="M26" s="27" t="s">
        <v>4</v>
      </c>
    </row>
    <row r="27" ht="12.75">
      <c r="A27" s="3"/>
    </row>
    <row r="28" spans="1:13" ht="13.5" thickBot="1">
      <c r="A28" s="3">
        <v>10</v>
      </c>
      <c r="C28" s="13" t="s">
        <v>47</v>
      </c>
      <c r="I28" s="7">
        <f>I24*I26</f>
        <v>-1135.8471638544793</v>
      </c>
      <c r="M28" s="3" t="s">
        <v>64</v>
      </c>
    </row>
    <row r="29" ht="13.5" thickTop="1"/>
    <row r="30" ht="12.75">
      <c r="C30" s="9" t="s">
        <v>114</v>
      </c>
    </row>
    <row r="32" spans="1:13" ht="12.75">
      <c r="A32" s="3">
        <v>11</v>
      </c>
      <c r="C32" s="13" t="s">
        <v>73</v>
      </c>
      <c r="I32" s="2">
        <f>I13/I17</f>
        <v>0.06290017468918876</v>
      </c>
      <c r="M32" s="27" t="s">
        <v>116</v>
      </c>
    </row>
    <row r="33" ht="12.75">
      <c r="A33" s="3"/>
    </row>
    <row r="34" spans="1:13" ht="12.75">
      <c r="A34" s="3">
        <v>12</v>
      </c>
      <c r="C34" s="28" t="s">
        <v>117</v>
      </c>
      <c r="I34" s="1">
        <f>'2017 incentive'!G25</f>
        <v>-28216.111655620003</v>
      </c>
      <c r="M34" s="27" t="s">
        <v>147</v>
      </c>
    </row>
    <row r="35" ht="12.75">
      <c r="A35" s="3"/>
    </row>
    <row r="36" spans="1:13" ht="12.75">
      <c r="A36" s="3">
        <v>13</v>
      </c>
      <c r="C36" s="28" t="s">
        <v>75</v>
      </c>
      <c r="I36" s="1">
        <f>I34*I32</f>
        <v>-1774.7983521881533</v>
      </c>
      <c r="M36" s="27" t="s">
        <v>148</v>
      </c>
    </row>
    <row r="38" spans="1:13" ht="12.75">
      <c r="A38" s="3">
        <v>14</v>
      </c>
      <c r="C38" s="13" t="s">
        <v>45</v>
      </c>
      <c r="I38" s="29">
        <v>0.9863752</v>
      </c>
      <c r="M38" s="27" t="s">
        <v>4</v>
      </c>
    </row>
    <row r="39" ht="12.75">
      <c r="A39" s="3"/>
    </row>
    <row r="40" spans="1:13" ht="13.5" thickBot="1">
      <c r="A40" s="3">
        <v>15</v>
      </c>
      <c r="C40" s="13" t="s">
        <v>47</v>
      </c>
      <c r="I40" s="7">
        <f>I36*I38</f>
        <v>-1750.6170795992603</v>
      </c>
      <c r="M40" s="27" t="s">
        <v>149</v>
      </c>
    </row>
    <row r="41" ht="13.5" thickTop="1"/>
    <row r="42" spans="1:3" ht="12.75">
      <c r="A42" s="13" t="s">
        <v>5</v>
      </c>
      <c r="C42" s="28" t="s">
        <v>181</v>
      </c>
    </row>
    <row r="43" ht="12.75">
      <c r="C43" s="28" t="s">
        <v>182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="60" zoomScalePageLayoutView="0" workbookViewId="0" topLeftCell="A7">
      <selection activeCell="S66" activeCellId="1" sqref="C24 S66"/>
    </sheetView>
  </sheetViews>
  <sheetFormatPr defaultColWidth="9.140625" defaultRowHeight="12.75"/>
  <cols>
    <col min="1" max="1" width="6.7109375" style="0" customWidth="1"/>
    <col min="2" max="2" width="0.85546875" style="0" customWidth="1"/>
    <col min="3" max="3" width="27.7109375" style="0" customWidth="1"/>
    <col min="4" max="4" width="0.85546875" style="0" customWidth="1"/>
    <col min="5" max="5" width="8.7109375" style="0" customWidth="1"/>
    <col min="6" max="6" width="0.85546875" style="0" customWidth="1"/>
    <col min="7" max="7" width="8.7109375" style="0" customWidth="1"/>
    <col min="8" max="8" width="0.85546875" style="0" customWidth="1"/>
    <col min="9" max="9" width="12.7109375" style="0" customWidth="1"/>
    <col min="10" max="10" width="0.85546875" style="0" customWidth="1"/>
    <col min="11" max="11" width="8.7109375" style="0" customWidth="1"/>
    <col min="12" max="12" width="0.85546875" style="0" customWidth="1"/>
    <col min="13" max="13" width="12.7109375" style="0" customWidth="1"/>
  </cols>
  <sheetData>
    <row r="1" spans="1:11" ht="12.75">
      <c r="A1" t="s">
        <v>14</v>
      </c>
      <c r="K1" t="str">
        <f>'2018incentive'!G1</f>
        <v>Docket No. 160021-EI</v>
      </c>
    </row>
    <row r="2" spans="1:11" ht="12.75">
      <c r="A2" s="28" t="s">
        <v>108</v>
      </c>
      <c r="K2" s="28" t="str">
        <f>PRTaxes!K2</f>
        <v>Exhibit No. HWS-5</v>
      </c>
    </row>
    <row r="3" ht="12.75">
      <c r="K3" t="str">
        <f>PRTaxes!K3</f>
        <v>Payroll Tax Adjustment</v>
      </c>
    </row>
    <row r="4" spans="1:11" ht="12.75">
      <c r="A4" s="28" t="s">
        <v>150</v>
      </c>
      <c r="K4" s="28" t="s">
        <v>12</v>
      </c>
    </row>
    <row r="6" spans="1:9" ht="12.75">
      <c r="A6" s="3" t="s">
        <v>8</v>
      </c>
      <c r="I6" s="9" t="s">
        <v>76</v>
      </c>
    </row>
    <row r="7" spans="1:13" ht="12.75">
      <c r="A7" s="4" t="s">
        <v>9</v>
      </c>
      <c r="C7" s="4" t="s">
        <v>66</v>
      </c>
      <c r="F7" s="3"/>
      <c r="H7" s="3"/>
      <c r="I7" s="15" t="s">
        <v>27</v>
      </c>
      <c r="J7" s="11"/>
      <c r="M7" s="15" t="s">
        <v>2</v>
      </c>
    </row>
    <row r="8" ht="12.75">
      <c r="A8" t="s">
        <v>49</v>
      </c>
    </row>
    <row r="9" spans="1:14" ht="12.75">
      <c r="A9" s="3">
        <v>1</v>
      </c>
      <c r="C9" t="s">
        <v>68</v>
      </c>
      <c r="I9" s="1">
        <v>441</v>
      </c>
      <c r="M9" s="3" t="s">
        <v>3</v>
      </c>
      <c r="N9" s="13"/>
    </row>
    <row r="10" spans="1:9" ht="12.75">
      <c r="A10" s="3"/>
      <c r="I10" s="1"/>
    </row>
    <row r="11" spans="1:13" ht="12.75">
      <c r="A11" s="3">
        <v>2</v>
      </c>
      <c r="C11" t="s">
        <v>69</v>
      </c>
      <c r="I11" s="1">
        <v>1765</v>
      </c>
      <c r="M11" s="3" t="s">
        <v>3</v>
      </c>
    </row>
    <row r="12" spans="1:9" ht="12.75">
      <c r="A12" s="3"/>
      <c r="I12" s="1"/>
    </row>
    <row r="13" spans="1:13" ht="12.75">
      <c r="A13" s="3">
        <v>3</v>
      </c>
      <c r="C13" t="s">
        <v>70</v>
      </c>
      <c r="I13" s="6">
        <v>69389</v>
      </c>
      <c r="M13" s="3" t="s">
        <v>3</v>
      </c>
    </row>
    <row r="14" spans="1:9" ht="12.75">
      <c r="A14" s="3"/>
      <c r="I14" s="1"/>
    </row>
    <row r="15" spans="1:9" ht="12.75">
      <c r="A15" s="3">
        <v>4</v>
      </c>
      <c r="C15" t="s">
        <v>71</v>
      </c>
      <c r="I15" s="6">
        <f>SUM(I9:I13)</f>
        <v>71595</v>
      </c>
    </row>
    <row r="16" spans="1:9" ht="12.75">
      <c r="A16" s="3"/>
      <c r="I16" s="1"/>
    </row>
    <row r="17" spans="1:13" ht="12.75">
      <c r="A17" s="3">
        <v>5</v>
      </c>
      <c r="C17" t="s">
        <v>72</v>
      </c>
      <c r="I17" s="1">
        <v>1103164</v>
      </c>
      <c r="M17" s="27" t="s">
        <v>3</v>
      </c>
    </row>
    <row r="18" ht="12.75">
      <c r="A18" s="3"/>
    </row>
    <row r="19" spans="1:13" ht="12.75">
      <c r="A19" s="3">
        <v>6</v>
      </c>
      <c r="C19" s="13" t="s">
        <v>73</v>
      </c>
      <c r="I19" s="2">
        <f>I15/I17</f>
        <v>0.06489968853225812</v>
      </c>
      <c r="M19" s="27" t="s">
        <v>115</v>
      </c>
    </row>
    <row r="20" ht="12.75">
      <c r="A20" s="3"/>
    </row>
    <row r="21" spans="1:3" ht="12.75">
      <c r="A21" s="3"/>
      <c r="C21" s="9" t="s">
        <v>113</v>
      </c>
    </row>
    <row r="22" spans="1:13" ht="12.75">
      <c r="A22" s="3">
        <v>7</v>
      </c>
      <c r="C22" s="28" t="s">
        <v>74</v>
      </c>
      <c r="I22" s="8">
        <f>'2018PRemp'!H32</f>
        <v>-16530.44463553546</v>
      </c>
      <c r="M22" s="27" t="s">
        <v>89</v>
      </c>
    </row>
    <row r="23" ht="12.75">
      <c r="A23" s="3"/>
    </row>
    <row r="24" spans="1:13" ht="12.75">
      <c r="A24" s="3">
        <v>8</v>
      </c>
      <c r="C24" s="28" t="s">
        <v>75</v>
      </c>
      <c r="I24" s="1">
        <f>I22*I19</f>
        <v>-1072.8207081459884</v>
      </c>
      <c r="M24" s="3" t="s">
        <v>83</v>
      </c>
    </row>
    <row r="25" spans="1:14" ht="12.75">
      <c r="A25" s="3"/>
      <c r="N25" s="13"/>
    </row>
    <row r="26" spans="1:13" ht="12.75">
      <c r="A26" s="3">
        <v>9</v>
      </c>
      <c r="C26" s="13" t="s">
        <v>45</v>
      </c>
      <c r="I26" s="29">
        <v>0.9863752</v>
      </c>
      <c r="M26" s="27" t="s">
        <v>4</v>
      </c>
    </row>
    <row r="27" ht="12.75">
      <c r="A27" s="3"/>
    </row>
    <row r="28" spans="1:13" ht="13.5" thickBot="1">
      <c r="A28" s="3">
        <v>10</v>
      </c>
      <c r="C28" s="13" t="s">
        <v>47</v>
      </c>
      <c r="I28" s="7">
        <f>I24*I26</f>
        <v>-1058.2037405616409</v>
      </c>
      <c r="M28" s="3" t="s">
        <v>64</v>
      </c>
    </row>
    <row r="29" ht="13.5" thickTop="1"/>
    <row r="30" ht="12.75">
      <c r="C30" s="9" t="s">
        <v>114</v>
      </c>
    </row>
    <row r="32" spans="1:13" ht="12.75">
      <c r="A32" s="3">
        <v>11</v>
      </c>
      <c r="C32" s="13" t="s">
        <v>73</v>
      </c>
      <c r="I32" s="2">
        <f>I13/I17</f>
        <v>0.0628999858588569</v>
      </c>
      <c r="M32" s="27" t="s">
        <v>116</v>
      </c>
    </row>
    <row r="33" ht="12.75">
      <c r="A33" s="3"/>
    </row>
    <row r="34" spans="1:13" ht="12.75">
      <c r="A34" s="3">
        <v>12</v>
      </c>
      <c r="C34" s="28" t="s">
        <v>117</v>
      </c>
      <c r="I34" s="1">
        <f>'2018incentive'!G25</f>
        <v>-28216.111655620003</v>
      </c>
      <c r="M34" s="27" t="s">
        <v>147</v>
      </c>
    </row>
    <row r="35" ht="12.75">
      <c r="A35" s="3"/>
    </row>
    <row r="36" spans="1:13" ht="12.75">
      <c r="A36" s="3">
        <v>13</v>
      </c>
      <c r="C36" s="28" t="s">
        <v>75</v>
      </c>
      <c r="I36" s="1">
        <f>I34*I32</f>
        <v>-1774.7930241304255</v>
      </c>
      <c r="M36" s="27" t="s">
        <v>148</v>
      </c>
    </row>
    <row r="38" spans="1:13" ht="12.75">
      <c r="A38" s="3">
        <v>14</v>
      </c>
      <c r="C38" s="13" t="s">
        <v>45</v>
      </c>
      <c r="I38" s="29">
        <v>0.9863752</v>
      </c>
      <c r="M38" s="27" t="s">
        <v>4</v>
      </c>
    </row>
    <row r="39" ht="12.75">
      <c r="A39" s="3"/>
    </row>
    <row r="40" spans="1:13" ht="13.5" thickBot="1">
      <c r="A40" s="3">
        <v>15</v>
      </c>
      <c r="C40" s="13" t="s">
        <v>47</v>
      </c>
      <c r="I40" s="7">
        <f>I36*I38</f>
        <v>-1750.6118241352533</v>
      </c>
      <c r="M40" s="27" t="s">
        <v>149</v>
      </c>
    </row>
    <row r="41" ht="13.5" thickTop="1"/>
    <row r="42" spans="1:3" ht="12.75">
      <c r="A42" s="13" t="s">
        <v>5</v>
      </c>
      <c r="C42" s="28" t="s">
        <v>183</v>
      </c>
    </row>
    <row r="43" ht="12.75">
      <c r="C43" s="28" t="s">
        <v>184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Larkin &amp; Associates PLLC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woods.monica1</cp:lastModifiedBy>
  <cp:lastPrinted>2016-07-06T14:25:04Z</cp:lastPrinted>
  <dcterms:created xsi:type="dcterms:W3CDTF">2008-11-18T14:20:18Z</dcterms:created>
  <dcterms:modified xsi:type="dcterms:W3CDTF">2016-07-06T14:38:34Z</dcterms:modified>
  <cp:category/>
  <cp:version/>
  <cp:contentType/>
  <cp:contentStatus/>
</cp:coreProperties>
</file>