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9" yWindow="65519" windowWidth="14820" windowHeight="3694" tabRatio="654" activeTab="2"/>
  </bookViews>
  <sheets>
    <sheet name="SCHE-1" sheetId="1" r:id="rId1"/>
    <sheet name="SCNew" sheetId="2" r:id="rId2"/>
    <sheet name="Fuel Rev" sheetId="3" r:id="rId3"/>
    <sheet name="Unbilled Fuel" sheetId="4" r:id="rId4"/>
    <sheet name="Actual 2007" sheetId="5" r:id="rId5"/>
    <sheet name="Plan 2009" sheetId="6" r:id="rId6"/>
    <sheet name="Plan 2009 New" sheetId="7" r:id="rId7"/>
    <sheet name="SO Hist" sheetId="8" r:id="rId8"/>
    <sheet name="SC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Regression_Int" localSheetId="0" hidden="1">1</definedName>
    <definedName name="adaytum_col_1" localSheetId="4">'Actual 2007'!$B$4:$D$4</definedName>
    <definedName name="adaytum_col_1" localSheetId="2">'Fuel Rev'!$B$4:$N$4</definedName>
    <definedName name="adaytum_col_1" localSheetId="5">'Plan 2009'!$B$4:$D$4</definedName>
    <definedName name="adaytum_col_1" localSheetId="6">'Plan 2009 New'!$B$4:$D$4</definedName>
    <definedName name="adaytum_col_1" localSheetId="8">'SC'!$C$4:$G$4</definedName>
    <definedName name="adaytum_col_1" localSheetId="7">'SO Hist'!$B$4:$C$4</definedName>
    <definedName name="adaytum_col_1" localSheetId="3">'Unbilled Fuel'!$B$4:$N$4</definedName>
    <definedName name="adaytum_col_2" localSheetId="4">'Actual 2007'!$G$4:$I$4</definedName>
    <definedName name="adaytum_col_2" localSheetId="8">'SC'!$B$67:$C$67</definedName>
    <definedName name="adaytum_data_1" localSheetId="4">'Actual 2007'!$B$5:$D$84</definedName>
    <definedName name="adaytum_data_1" localSheetId="2">'Fuel Rev'!$B$5:$N$27</definedName>
    <definedName name="adaytum_data_1" localSheetId="5">'Plan 2009'!$B$5:$D$154</definedName>
    <definedName name="adaytum_data_1" localSheetId="6">'Plan 2009 New'!$B$5:$D$191</definedName>
    <definedName name="adaytum_data_1" localSheetId="8">'SC'!$C$5:$G$52</definedName>
    <definedName name="adaytum_data_1" localSheetId="1">'SCNew'!$C$5:$C$12</definedName>
    <definedName name="adaytum_data_1" localSheetId="7">'SO Hist'!$B$5:$C$23</definedName>
    <definedName name="adaytum_data_1" localSheetId="3">'Unbilled Fuel'!$B$5:$N$23</definedName>
    <definedName name="adaytum_data_2" localSheetId="4">'Actual 2007'!$G$5:$I$67</definedName>
    <definedName name="adaytum_data_2" localSheetId="8">'SC'!$B$68:$C$71</definedName>
    <definedName name="adaytum_page_1" localSheetId="4">'Actual 2007'!$A$2:$C$2</definedName>
    <definedName name="adaytum_page_1" localSheetId="2">'Fuel Rev'!$A$2:$B$2</definedName>
    <definedName name="adaytum_page_1" localSheetId="5">'Plan 2009'!$A$2:$C$2</definedName>
    <definedName name="adaytum_page_1" localSheetId="6">'Plan 2009 New'!$A$2:$C$2</definedName>
    <definedName name="adaytum_page_1" localSheetId="8">'SC'!$A$2:$B$2</definedName>
    <definedName name="adaytum_page_1" localSheetId="1">'SCNew'!$A$2:$B$2</definedName>
    <definedName name="adaytum_page_1" localSheetId="7">'SO Hist'!$A$2:$D$2</definedName>
    <definedName name="adaytum_page_1" localSheetId="3">'Unbilled Fuel'!$A$2:$B$2</definedName>
    <definedName name="adaytum_page_2" localSheetId="4">'Actual 2007'!$F$2:$H$2</definedName>
    <definedName name="adaytum_page_2" localSheetId="8">'SC'!$A$65:$C$65</definedName>
    <definedName name="adaytum_row_1" localSheetId="4">'Actual 2007'!$A$5:$A$84</definedName>
    <definedName name="adaytum_row_1" localSheetId="2">'Fuel Rev'!$A$5:$A$27</definedName>
    <definedName name="adaytum_row_1" localSheetId="5">'Plan 2009'!$A$5:$A$154</definedName>
    <definedName name="adaytum_row_1" localSheetId="6">'Plan 2009 New'!$A$5:$A$191</definedName>
    <definedName name="adaytum_row_1" localSheetId="8">'SC'!$A$5:$B$52</definedName>
    <definedName name="adaytum_row_1" localSheetId="1">'SCNew'!$A$5:$B$12</definedName>
    <definedName name="adaytum_row_1" localSheetId="7">'SO Hist'!$A$5:$A$23</definedName>
    <definedName name="adaytum_row_1" localSheetId="3">'Unbilled Fuel'!$A$5:$A$23</definedName>
    <definedName name="adaytum_row_2" localSheetId="4">'Actual 2007'!$F$5:$F$67</definedName>
    <definedName name="adaytum_row_2" localSheetId="8">'SC'!$A$68:$A$71</definedName>
    <definedName name="adaytum_view_1" localSheetId="4">'Actual 2007'!$F$1</definedName>
    <definedName name="adaytum_view_1" localSheetId="2">'Fuel Rev'!$A$1</definedName>
    <definedName name="adaytum_view_1" localSheetId="8">'SC'!$A$1</definedName>
    <definedName name="adaytum_view_1" localSheetId="1">'SCNew'!$A$1</definedName>
    <definedName name="adaytum_view_1" localSheetId="7">'SO Hist'!$A$1</definedName>
    <definedName name="adaytum_view_1" localSheetId="3">'Unbilled Fuel'!$A$1</definedName>
    <definedName name="adaytum_view_2" localSheetId="4">'Actual 2007'!$A$1</definedName>
    <definedName name="adaytum_view_2" localSheetId="5">'Plan 2009'!$A$1</definedName>
    <definedName name="adaytum_view_2" localSheetId="6">'Plan 2009 New'!$A$1</definedName>
    <definedName name="adaytum_view_2" localSheetId="8">'SC'!$A$64</definedName>
    <definedName name="PAGE_1">'SCHE-1'!$A$1:$V$62</definedName>
    <definedName name="PAGE_2">'SCHE-1'!$A$64:$V$111</definedName>
    <definedName name="PAGE_3">'SCHE-1'!$A$123:$V$193</definedName>
    <definedName name="_xlnm.Print_Area" localSheetId="0">'SCHE-1'!$A$1:$V$193</definedName>
    <definedName name="Print_Area_MI" localSheetId="0">'SCHE-1'!$A$1:$V$62</definedName>
  </definedNames>
  <calcPr fullCalcOnLoad="1"/>
</workbook>
</file>

<file path=xl/comments1.xml><?xml version="1.0" encoding="utf-8"?>
<comments xmlns="http://schemas.openxmlformats.org/spreadsheetml/2006/main">
  <authors>
    <author>Sue Richards</author>
  </authors>
  <commentList>
    <comment ref="Q93" authorId="0">
      <text>
        <r>
          <rPr>
            <b/>
            <sz val="8"/>
            <rFont val="Tahoma"/>
            <family val="0"/>
          </rPr>
          <t>Sue Richards:</t>
        </r>
        <r>
          <rPr>
            <sz val="8"/>
            <rFont val="Tahoma"/>
            <family val="0"/>
          </rPr>
          <t xml:space="preserve">
Hardee Maintenance</t>
        </r>
      </text>
    </comment>
  </commentList>
</comments>
</file>

<file path=xl/comments2.xml><?xml version="1.0" encoding="utf-8"?>
<comments xmlns="http://schemas.openxmlformats.org/spreadsheetml/2006/main">
  <authors>
    <author>Sue Richards</author>
    <author>Paul Higgins</author>
  </authors>
  <commentList>
    <comment ref="A2" authorId="0">
      <text>
        <r>
          <rPr>
            <sz val="8"/>
            <rFont val="Tahoma"/>
            <family val="0"/>
          </rPr>
          <t>Periods</t>
        </r>
      </text>
    </comment>
    <comment ref="B2" authorId="0">
      <text>
        <r>
          <rPr>
            <sz val="8"/>
            <rFont val="Tahoma"/>
            <family val="0"/>
          </rPr>
          <t>Div to Reg - CO 01 (WF)</t>
        </r>
      </text>
    </comment>
    <comment ref="A5" authorId="0">
      <text>
        <r>
          <rPr>
            <sz val="8"/>
            <rFont val="Tahoma"/>
            <family val="0"/>
          </rPr>
          <t>Net Rev Calc</t>
        </r>
      </text>
    </comment>
    <comment ref="A7" authorId="0">
      <text>
        <r>
          <rPr>
            <sz val="8"/>
            <rFont val="Tahoma"/>
            <family val="0"/>
          </rPr>
          <t>Net Rev Calc</t>
        </r>
      </text>
    </comment>
    <comment ref="A9" authorId="0">
      <text>
        <r>
          <rPr>
            <sz val="8"/>
            <rFont val="Tahoma"/>
            <family val="0"/>
          </rPr>
          <t>Net Rev Calc</t>
        </r>
      </text>
    </comment>
    <comment ref="A11" authorId="0">
      <text>
        <r>
          <rPr>
            <sz val="8"/>
            <rFont val="Tahoma"/>
            <family val="0"/>
          </rPr>
          <t>Net Rev Calc</t>
        </r>
      </text>
    </comment>
    <comment ref="B5" authorId="0">
      <text>
        <r>
          <rPr>
            <sz val="8"/>
            <rFont val="Tahoma"/>
            <family val="0"/>
          </rPr>
          <t>5 yr Scenarios</t>
        </r>
      </text>
    </comment>
    <comment ref="B6" authorId="0">
      <text>
        <r>
          <rPr>
            <sz val="8"/>
            <rFont val="Tahoma"/>
            <family val="0"/>
          </rPr>
          <t>5 yr Scenarios</t>
        </r>
      </text>
    </comment>
    <comment ref="B7" authorId="0">
      <text>
        <r>
          <rPr>
            <sz val="8"/>
            <rFont val="Tahoma"/>
            <family val="0"/>
          </rPr>
          <t>5 yr Scenarios</t>
        </r>
      </text>
    </comment>
    <comment ref="B8" authorId="0">
      <text>
        <r>
          <rPr>
            <sz val="8"/>
            <rFont val="Tahoma"/>
            <family val="0"/>
          </rPr>
          <t>5 yr Scenarios</t>
        </r>
      </text>
    </comment>
    <comment ref="B9" authorId="0">
      <text>
        <r>
          <rPr>
            <sz val="8"/>
            <rFont val="Tahoma"/>
            <family val="0"/>
          </rPr>
          <t>5 yr Scenarios</t>
        </r>
      </text>
    </comment>
    <comment ref="B10" authorId="0">
      <text>
        <r>
          <rPr>
            <sz val="8"/>
            <rFont val="Tahoma"/>
            <family val="0"/>
          </rPr>
          <t>5 yr Scenarios</t>
        </r>
      </text>
    </comment>
    <comment ref="B11" authorId="0">
      <text>
        <r>
          <rPr>
            <sz val="8"/>
            <rFont val="Tahoma"/>
            <family val="0"/>
          </rPr>
          <t>5 yr Scenarios</t>
        </r>
      </text>
    </comment>
    <comment ref="B12" authorId="0">
      <text>
        <r>
          <rPr>
            <sz val="8"/>
            <rFont val="Tahoma"/>
            <family val="0"/>
          </rPr>
          <t>5 yr Scenarios</t>
        </r>
      </text>
    </comment>
    <comment ref="C4" authorId="0">
      <text>
        <r>
          <rPr>
            <sz val="8"/>
            <rFont val="Tahoma"/>
            <family val="0"/>
          </rPr>
          <t>5 Year Plan</t>
        </r>
      </text>
    </comment>
    <comment ref="A1" authorId="1">
      <text>
        <r>
          <rPr>
            <sz val="8"/>
            <rFont val="Tahoma"/>
            <family val="0"/>
          </rPr>
          <t xml:space="preserve">Adaytum2
TYP=V
SVR=
LIB=Five Yr Plan
CBE=5 Yr Op Rev Calc
FGD=Y
BGD=Y
FGL=Y
BGL=N
SUP=N
BBF=N
NTS=Y
VAL=Y
RHD=N
LCK=N
RFH=N
BBK=Y
OVF=N
IAB=N
BAZ=N
EAZ=N
P01=Periods
P02=Div to Reg - CO 01 (WF)
R01=Net Rev Calc
R02=5 yr Scenarios
C01=5 Year Plan
SLO=D
SLD=NNNNN
RGP=adaytum_page_1
RGR=adaytum_row_1
RGD=adaytum_data_1
VID=2961EF933CDA63C0
CHK=-291800423
</t>
        </r>
      </text>
    </comment>
  </commentList>
</comments>
</file>

<file path=xl/comments3.xml><?xml version="1.0" encoding="utf-8"?>
<comments xmlns="http://schemas.openxmlformats.org/spreadsheetml/2006/main">
  <authors>
    <author>Sue Richards</author>
    <author>Paul Higgins</author>
  </authors>
  <commentList>
    <comment ref="A2" authorId="0">
      <text>
        <r>
          <rPr>
            <sz val="8"/>
            <rFont val="Tahoma"/>
            <family val="0"/>
          </rPr>
          <t>Versions</t>
        </r>
      </text>
    </comment>
    <comment ref="B2" authorId="0">
      <text>
        <r>
          <rPr>
            <sz val="8"/>
            <rFont val="Tahoma"/>
            <family val="0"/>
          </rPr>
          <t>Master Divisions</t>
        </r>
      </text>
    </comment>
    <comment ref="A5" authorId="0">
      <text>
        <r>
          <rPr>
            <sz val="8"/>
            <rFont val="Tahoma"/>
            <family val="0"/>
          </rPr>
          <t>Map COA Revenue Accts</t>
        </r>
      </text>
    </comment>
    <comment ref="A6" authorId="0">
      <text>
        <r>
          <rPr>
            <sz val="8"/>
            <rFont val="Tahoma"/>
            <family val="0"/>
          </rPr>
          <t>Map COA Revenue Accts</t>
        </r>
      </text>
    </comment>
    <comment ref="A7" authorId="0">
      <text>
        <r>
          <rPr>
            <sz val="8"/>
            <rFont val="Tahoma"/>
            <family val="0"/>
          </rPr>
          <t>Map COA Revenue Accts</t>
        </r>
      </text>
    </comment>
    <comment ref="A8" authorId="0">
      <text>
        <r>
          <rPr>
            <sz val="8"/>
            <rFont val="Tahoma"/>
            <family val="0"/>
          </rPr>
          <t>Map COA Revenue Accts</t>
        </r>
      </text>
    </comment>
    <comment ref="A9" authorId="0">
      <text>
        <r>
          <rPr>
            <sz val="8"/>
            <rFont val="Tahoma"/>
            <family val="0"/>
          </rPr>
          <t>Map COA Revenue Accts</t>
        </r>
      </text>
    </comment>
    <comment ref="A10" authorId="0">
      <text>
        <r>
          <rPr>
            <sz val="8"/>
            <rFont val="Tahoma"/>
            <family val="0"/>
          </rPr>
          <t>Map COA Revenue Accts</t>
        </r>
      </text>
    </comment>
    <comment ref="A11" authorId="0">
      <text>
        <r>
          <rPr>
            <sz val="8"/>
            <rFont val="Tahoma"/>
            <family val="0"/>
          </rPr>
          <t>Map COA Revenue Accts</t>
        </r>
      </text>
    </comment>
    <comment ref="A12" authorId="0">
      <text>
        <r>
          <rPr>
            <sz val="8"/>
            <rFont val="Tahoma"/>
            <family val="0"/>
          </rPr>
          <t>Map COA Revenue Accts</t>
        </r>
      </text>
    </comment>
    <comment ref="A13" authorId="0">
      <text>
        <r>
          <rPr>
            <sz val="8"/>
            <rFont val="Tahoma"/>
            <family val="0"/>
          </rPr>
          <t>Map COA Revenue Accts</t>
        </r>
      </text>
    </comment>
    <comment ref="A14" authorId="0">
      <text>
        <r>
          <rPr>
            <sz val="8"/>
            <rFont val="Tahoma"/>
            <family val="0"/>
          </rPr>
          <t>Map COA Revenue Accts</t>
        </r>
      </text>
    </comment>
    <comment ref="A15" authorId="0">
      <text>
        <r>
          <rPr>
            <sz val="8"/>
            <rFont val="Tahoma"/>
            <family val="0"/>
          </rPr>
          <t>Map COA Revenue Accts</t>
        </r>
      </text>
    </comment>
    <comment ref="A16" authorId="0">
      <text>
        <r>
          <rPr>
            <sz val="8"/>
            <rFont val="Tahoma"/>
            <family val="0"/>
          </rPr>
          <t>Map COA Revenue Accts</t>
        </r>
      </text>
    </comment>
    <comment ref="A17" authorId="0">
      <text>
        <r>
          <rPr>
            <sz val="8"/>
            <rFont val="Tahoma"/>
            <family val="0"/>
          </rPr>
          <t>Map COA Revenue Accts</t>
        </r>
      </text>
    </comment>
    <comment ref="A18" authorId="0">
      <text>
        <r>
          <rPr>
            <sz val="8"/>
            <rFont val="Tahoma"/>
            <family val="0"/>
          </rPr>
          <t>Map COA Revenue Accts</t>
        </r>
      </text>
    </comment>
    <comment ref="A19" authorId="0">
      <text>
        <r>
          <rPr>
            <sz val="8"/>
            <rFont val="Tahoma"/>
            <family val="0"/>
          </rPr>
          <t>Map COA Revenue Accts</t>
        </r>
      </text>
    </comment>
    <comment ref="A20" authorId="0">
      <text>
        <r>
          <rPr>
            <sz val="8"/>
            <rFont val="Tahoma"/>
            <family val="0"/>
          </rPr>
          <t>Map COA Revenue Accts</t>
        </r>
      </text>
    </comment>
    <comment ref="A21" authorId="0">
      <text>
        <r>
          <rPr>
            <sz val="8"/>
            <rFont val="Tahoma"/>
            <family val="0"/>
          </rPr>
          <t>Map COA Revenue Accts</t>
        </r>
      </text>
    </comment>
    <comment ref="A22" authorId="0">
      <text>
        <r>
          <rPr>
            <sz val="8"/>
            <rFont val="Tahoma"/>
            <family val="0"/>
          </rPr>
          <t>Map COA Revenue Accts</t>
        </r>
      </text>
    </comment>
    <comment ref="A23" authorId="0">
      <text>
        <r>
          <rPr>
            <sz val="8"/>
            <rFont val="Tahoma"/>
            <family val="0"/>
          </rPr>
          <t>Map COA Revenue Accts</t>
        </r>
      </text>
    </comment>
    <comment ref="A24" authorId="0">
      <text>
        <r>
          <rPr>
            <sz val="8"/>
            <rFont val="Tahoma"/>
            <family val="0"/>
          </rPr>
          <t>Map COA Revenue Accts</t>
        </r>
      </text>
    </comment>
    <comment ref="A25" authorId="0">
      <text>
        <r>
          <rPr>
            <sz val="8"/>
            <rFont val="Tahoma"/>
            <family val="0"/>
          </rPr>
          <t>Map COA Revenue Accts</t>
        </r>
      </text>
    </comment>
    <comment ref="A26" authorId="0">
      <text>
        <r>
          <rPr>
            <sz val="8"/>
            <rFont val="Tahoma"/>
            <family val="0"/>
          </rPr>
          <t>Map COA Revenue Accts</t>
        </r>
      </text>
    </comment>
    <comment ref="A27" authorId="0">
      <text>
        <r>
          <rPr>
            <sz val="8"/>
            <rFont val="Tahoma"/>
            <family val="0"/>
          </rPr>
          <t>Map COA Revenue Accts</t>
        </r>
      </text>
    </comment>
    <comment ref="B4" authorId="0">
      <text>
        <r>
          <rPr>
            <sz val="8"/>
            <rFont val="Tahoma"/>
            <family val="0"/>
          </rPr>
          <t>Periods</t>
        </r>
      </text>
    </comment>
    <comment ref="C4" authorId="0">
      <text>
        <r>
          <rPr>
            <sz val="8"/>
            <rFont val="Tahoma"/>
            <family val="0"/>
          </rPr>
          <t>Periods</t>
        </r>
      </text>
    </comment>
    <comment ref="D4" authorId="0">
      <text>
        <r>
          <rPr>
            <sz val="8"/>
            <rFont val="Tahoma"/>
            <family val="0"/>
          </rPr>
          <t>Periods</t>
        </r>
      </text>
    </comment>
    <comment ref="E4" authorId="0">
      <text>
        <r>
          <rPr>
            <sz val="8"/>
            <rFont val="Tahoma"/>
            <family val="0"/>
          </rPr>
          <t>Periods</t>
        </r>
      </text>
    </comment>
    <comment ref="F4" authorId="0">
      <text>
        <r>
          <rPr>
            <sz val="8"/>
            <rFont val="Tahoma"/>
            <family val="0"/>
          </rPr>
          <t>Periods</t>
        </r>
      </text>
    </comment>
    <comment ref="G4" authorId="0">
      <text>
        <r>
          <rPr>
            <sz val="8"/>
            <rFont val="Tahoma"/>
            <family val="0"/>
          </rPr>
          <t>Periods</t>
        </r>
      </text>
    </comment>
    <comment ref="H4" authorId="0">
      <text>
        <r>
          <rPr>
            <sz val="8"/>
            <rFont val="Tahoma"/>
            <family val="0"/>
          </rPr>
          <t>Periods</t>
        </r>
      </text>
    </comment>
    <comment ref="I4" authorId="0">
      <text>
        <r>
          <rPr>
            <sz val="8"/>
            <rFont val="Tahoma"/>
            <family val="0"/>
          </rPr>
          <t>Periods</t>
        </r>
      </text>
    </comment>
    <comment ref="J4" authorId="0">
      <text>
        <r>
          <rPr>
            <sz val="8"/>
            <rFont val="Tahoma"/>
            <family val="0"/>
          </rPr>
          <t>Periods</t>
        </r>
      </text>
    </comment>
    <comment ref="K4" authorId="0">
      <text>
        <r>
          <rPr>
            <sz val="8"/>
            <rFont val="Tahoma"/>
            <family val="0"/>
          </rPr>
          <t>Periods</t>
        </r>
      </text>
    </comment>
    <comment ref="L4" authorId="0">
      <text>
        <r>
          <rPr>
            <sz val="8"/>
            <rFont val="Tahoma"/>
            <family val="0"/>
          </rPr>
          <t>Periods</t>
        </r>
      </text>
    </comment>
    <comment ref="M4" authorId="0">
      <text>
        <r>
          <rPr>
            <sz val="8"/>
            <rFont val="Tahoma"/>
            <family val="0"/>
          </rPr>
          <t>Periods</t>
        </r>
      </text>
    </comment>
    <comment ref="N4" authorId="0">
      <text>
        <r>
          <rPr>
            <sz val="8"/>
            <rFont val="Tahoma"/>
            <family val="0"/>
          </rPr>
          <t>Periods</t>
        </r>
      </text>
    </comment>
    <comment ref="A30" authorId="0">
      <text>
        <r>
          <rPr>
            <sz val="8"/>
            <rFont val="Tahoma"/>
            <family val="0"/>
          </rPr>
          <t>PGA Rate Class</t>
        </r>
      </text>
    </comment>
    <comment ref="A31" authorId="0">
      <text>
        <r>
          <rPr>
            <sz val="8"/>
            <rFont val="Tahoma"/>
            <family val="0"/>
          </rPr>
          <t>PGA Rate Class</t>
        </r>
      </text>
    </comment>
    <comment ref="A1" authorId="1">
      <text>
        <r>
          <rPr>
            <sz val="8"/>
            <rFont val="Tahoma"/>
            <family val="0"/>
          </rPr>
          <t xml:space="preserve">Adaytum2
TYP=V
SVR=
LIB=Revenue
CBE=Div Import Therms
FGD=Y
BGD=Y
FGL=Y
BGL=N
SUP=N
BBF=N
NTS=Y
VAL=Y
RHD=N
LCK=N
RFH=N
BBK=Y
OVF=N
IAB=N
BAZ=N
EAZ=N
P01=Versions
P02=Master Divisions
R01=Map COA Revenue Accts
C01=Periods
SLO=D
SLD=NNNN
RGP=adaytum_page_1
RGR=adaytum_row_1
RGC=adaytum_col_1
RGD=adaytum_data_1
VID=FF26A3F654C663C0
CHK=1912262484
</t>
        </r>
      </text>
    </comment>
  </commentList>
</comments>
</file>

<file path=xl/comments4.xml><?xml version="1.0" encoding="utf-8"?>
<comments xmlns="http://schemas.openxmlformats.org/spreadsheetml/2006/main">
  <authors>
    <author>Sue Richards</author>
    <author>Paul Higgins</author>
  </authors>
  <commentList>
    <comment ref="A2" authorId="0">
      <text>
        <r>
          <rPr>
            <sz val="8"/>
            <rFont val="Tahoma"/>
            <family val="0"/>
          </rPr>
          <t>Versions</t>
        </r>
      </text>
    </comment>
    <comment ref="B2" authorId="0">
      <text>
        <r>
          <rPr>
            <sz val="8"/>
            <rFont val="Tahoma"/>
            <family val="0"/>
          </rPr>
          <t>Master Divisions</t>
        </r>
      </text>
    </comment>
    <comment ref="A5" authorId="0">
      <text>
        <r>
          <rPr>
            <sz val="8"/>
            <rFont val="Tahoma"/>
            <family val="0"/>
          </rPr>
          <t>Map COA Revenue Accts</t>
        </r>
      </text>
    </comment>
    <comment ref="A6" authorId="0">
      <text>
        <r>
          <rPr>
            <sz val="8"/>
            <rFont val="Tahoma"/>
            <family val="0"/>
          </rPr>
          <t>Map COA Revenue Accts</t>
        </r>
      </text>
    </comment>
    <comment ref="A7" authorId="0">
      <text>
        <r>
          <rPr>
            <sz val="8"/>
            <rFont val="Tahoma"/>
            <family val="0"/>
          </rPr>
          <t>Map COA Revenue Accts</t>
        </r>
      </text>
    </comment>
    <comment ref="A8" authorId="0">
      <text>
        <r>
          <rPr>
            <sz val="8"/>
            <rFont val="Tahoma"/>
            <family val="0"/>
          </rPr>
          <t>Map COA Revenue Accts</t>
        </r>
      </text>
    </comment>
    <comment ref="A9" authorId="0">
      <text>
        <r>
          <rPr>
            <sz val="8"/>
            <rFont val="Tahoma"/>
            <family val="0"/>
          </rPr>
          <t>Map COA Revenue Accts</t>
        </r>
      </text>
    </comment>
    <comment ref="A10" authorId="0">
      <text>
        <r>
          <rPr>
            <sz val="8"/>
            <rFont val="Tahoma"/>
            <family val="0"/>
          </rPr>
          <t>Map COA Revenue Accts</t>
        </r>
      </text>
    </comment>
    <comment ref="A11" authorId="0">
      <text>
        <r>
          <rPr>
            <sz val="8"/>
            <rFont val="Tahoma"/>
            <family val="0"/>
          </rPr>
          <t>Map COA Revenue Accts</t>
        </r>
      </text>
    </comment>
    <comment ref="A12" authorId="0">
      <text>
        <r>
          <rPr>
            <sz val="8"/>
            <rFont val="Tahoma"/>
            <family val="0"/>
          </rPr>
          <t>Map COA Revenue Accts</t>
        </r>
      </text>
    </comment>
    <comment ref="A13" authorId="0">
      <text>
        <r>
          <rPr>
            <sz val="8"/>
            <rFont val="Tahoma"/>
            <family val="0"/>
          </rPr>
          <t>Map COA Revenue Accts</t>
        </r>
      </text>
    </comment>
    <comment ref="A14" authorId="0">
      <text>
        <r>
          <rPr>
            <sz val="8"/>
            <rFont val="Tahoma"/>
            <family val="0"/>
          </rPr>
          <t>Map COA Revenue Accts</t>
        </r>
      </text>
    </comment>
    <comment ref="A15" authorId="0">
      <text>
        <r>
          <rPr>
            <sz val="8"/>
            <rFont val="Tahoma"/>
            <family val="0"/>
          </rPr>
          <t>Map COA Revenue Accts</t>
        </r>
      </text>
    </comment>
    <comment ref="A16" authorId="0">
      <text>
        <r>
          <rPr>
            <sz val="8"/>
            <rFont val="Tahoma"/>
            <family val="0"/>
          </rPr>
          <t>Map COA Revenue Accts</t>
        </r>
      </text>
    </comment>
    <comment ref="A17" authorId="0">
      <text>
        <r>
          <rPr>
            <sz val="8"/>
            <rFont val="Tahoma"/>
            <family val="0"/>
          </rPr>
          <t>Map COA Revenue Accts</t>
        </r>
      </text>
    </comment>
    <comment ref="A18" authorId="0">
      <text>
        <r>
          <rPr>
            <sz val="8"/>
            <rFont val="Tahoma"/>
            <family val="0"/>
          </rPr>
          <t>Map COA Revenue Accts</t>
        </r>
      </text>
    </comment>
    <comment ref="A19" authorId="0">
      <text>
        <r>
          <rPr>
            <sz val="8"/>
            <rFont val="Tahoma"/>
            <family val="0"/>
          </rPr>
          <t>Map COA Revenue Accts</t>
        </r>
      </text>
    </comment>
    <comment ref="A20" authorId="0">
      <text>
        <r>
          <rPr>
            <sz val="8"/>
            <rFont val="Tahoma"/>
            <family val="0"/>
          </rPr>
          <t>Map COA Revenue Accts</t>
        </r>
      </text>
    </comment>
    <comment ref="A21" authorId="0">
      <text>
        <r>
          <rPr>
            <sz val="8"/>
            <rFont val="Tahoma"/>
            <family val="0"/>
          </rPr>
          <t>Map COA Revenue Accts</t>
        </r>
      </text>
    </comment>
    <comment ref="A22" authorId="0">
      <text>
        <r>
          <rPr>
            <sz val="8"/>
            <rFont val="Tahoma"/>
            <family val="0"/>
          </rPr>
          <t>Map COA Revenue Accts</t>
        </r>
      </text>
    </comment>
    <comment ref="A23" authorId="0">
      <text>
        <r>
          <rPr>
            <sz val="8"/>
            <rFont val="Tahoma"/>
            <family val="0"/>
          </rPr>
          <t>Map COA Revenue Accts</t>
        </r>
      </text>
    </comment>
    <comment ref="B4" authorId="0">
      <text>
        <r>
          <rPr>
            <sz val="8"/>
            <rFont val="Tahoma"/>
            <family val="0"/>
          </rPr>
          <t>Periods</t>
        </r>
      </text>
    </comment>
    <comment ref="C4" authorId="0">
      <text>
        <r>
          <rPr>
            <sz val="8"/>
            <rFont val="Tahoma"/>
            <family val="0"/>
          </rPr>
          <t>Periods</t>
        </r>
      </text>
    </comment>
    <comment ref="D4" authorId="0">
      <text>
        <r>
          <rPr>
            <sz val="8"/>
            <rFont val="Tahoma"/>
            <family val="0"/>
          </rPr>
          <t>Periods</t>
        </r>
      </text>
    </comment>
    <comment ref="E4" authorId="0">
      <text>
        <r>
          <rPr>
            <sz val="8"/>
            <rFont val="Tahoma"/>
            <family val="0"/>
          </rPr>
          <t>Periods</t>
        </r>
      </text>
    </comment>
    <comment ref="F4" authorId="0">
      <text>
        <r>
          <rPr>
            <sz val="8"/>
            <rFont val="Tahoma"/>
            <family val="0"/>
          </rPr>
          <t>Periods</t>
        </r>
      </text>
    </comment>
    <comment ref="G4" authorId="0">
      <text>
        <r>
          <rPr>
            <sz val="8"/>
            <rFont val="Tahoma"/>
            <family val="0"/>
          </rPr>
          <t>Periods</t>
        </r>
      </text>
    </comment>
    <comment ref="H4" authorId="0">
      <text>
        <r>
          <rPr>
            <sz val="8"/>
            <rFont val="Tahoma"/>
            <family val="0"/>
          </rPr>
          <t>Periods</t>
        </r>
      </text>
    </comment>
    <comment ref="I4" authorId="0">
      <text>
        <r>
          <rPr>
            <sz val="8"/>
            <rFont val="Tahoma"/>
            <family val="0"/>
          </rPr>
          <t>Periods</t>
        </r>
      </text>
    </comment>
    <comment ref="J4" authorId="0">
      <text>
        <r>
          <rPr>
            <sz val="8"/>
            <rFont val="Tahoma"/>
            <family val="0"/>
          </rPr>
          <t>Periods</t>
        </r>
      </text>
    </comment>
    <comment ref="K4" authorId="0">
      <text>
        <r>
          <rPr>
            <sz val="8"/>
            <rFont val="Tahoma"/>
            <family val="0"/>
          </rPr>
          <t>Periods</t>
        </r>
      </text>
    </comment>
    <comment ref="L4" authorId="0">
      <text>
        <r>
          <rPr>
            <sz val="8"/>
            <rFont val="Tahoma"/>
            <family val="0"/>
          </rPr>
          <t>Periods</t>
        </r>
      </text>
    </comment>
    <comment ref="M4" authorId="0">
      <text>
        <r>
          <rPr>
            <sz val="8"/>
            <rFont val="Tahoma"/>
            <family val="0"/>
          </rPr>
          <t>Periods</t>
        </r>
      </text>
    </comment>
    <comment ref="N4" authorId="0">
      <text>
        <r>
          <rPr>
            <sz val="8"/>
            <rFont val="Tahoma"/>
            <family val="0"/>
          </rPr>
          <t>Periods</t>
        </r>
      </text>
    </comment>
    <comment ref="A26" authorId="0">
      <text>
        <r>
          <rPr>
            <sz val="8"/>
            <rFont val="Tahoma"/>
            <family val="0"/>
          </rPr>
          <t>PGA Rate Class</t>
        </r>
      </text>
    </comment>
    <comment ref="A27" authorId="0">
      <text>
        <r>
          <rPr>
            <sz val="8"/>
            <rFont val="Tahoma"/>
            <family val="0"/>
          </rPr>
          <t>PGA Rate Class</t>
        </r>
      </text>
    </comment>
    <comment ref="A1" authorId="1">
      <text>
        <r>
          <rPr>
            <sz val="8"/>
            <rFont val="Tahoma"/>
            <family val="0"/>
          </rPr>
          <t xml:space="preserve">Adaytum2
TYP=V
SVR=
LIB=Revenue
CBE=Div Import Therms
FGD=Y
BGD=Y
FGL=Y
BGL=N
SUP=N
BBF=N
NTS=Y
VAL=Y
RHD=N
LCK=N
RFH=N
BBK=Y
OVF=N
IAB=N
BAZ=N
EAZ=N
P01=Versions
P02=Master Divisions
R01=Map COA Revenue Accts
C01=Periods
SLO=D
SLD=NNNN
RGP=adaytum_page_1
RGR=adaytum_row_1
RGC=adaytum_col_1
RGD=adaytum_data_1
VID=6F6E6EEE50C663C0
CHK=-797149182
</t>
        </r>
      </text>
    </comment>
  </commentList>
</comments>
</file>

<file path=xl/comments5.xml><?xml version="1.0" encoding="utf-8"?>
<comments xmlns="http://schemas.openxmlformats.org/spreadsheetml/2006/main">
  <authors>
    <author>Sue Richards</author>
    <author>Paul Higgins</author>
  </authors>
  <commentList>
    <comment ref="A2" authorId="0">
      <text>
        <r>
          <rPr>
            <sz val="8"/>
            <rFont val="Tahoma"/>
            <family val="0"/>
          </rPr>
          <t>5 yr Scenarios</t>
        </r>
      </text>
    </comment>
    <comment ref="B2" authorId="0">
      <text>
        <r>
          <rPr>
            <sz val="8"/>
            <rFont val="Tahoma"/>
            <family val="0"/>
          </rPr>
          <t>Periods</t>
        </r>
      </text>
    </comment>
    <comment ref="C2" authorId="0">
      <text>
        <r>
          <rPr>
            <sz val="8"/>
            <rFont val="Tahoma"/>
            <family val="0"/>
          </rPr>
          <t>5 Year Plan</t>
        </r>
      </text>
    </comment>
    <comment ref="A5" authorId="0">
      <text>
        <r>
          <rPr>
            <sz val="8"/>
            <rFont val="Tahoma"/>
            <family val="0"/>
          </rPr>
          <t>Net Rev Calc</t>
        </r>
      </text>
    </comment>
    <comment ref="A6" authorId="0">
      <text>
        <r>
          <rPr>
            <sz val="8"/>
            <rFont val="Tahoma"/>
            <family val="0"/>
          </rPr>
          <t>Net Rev Calc</t>
        </r>
      </text>
    </comment>
    <comment ref="B4" authorId="0">
      <text>
        <r>
          <rPr>
            <sz val="8"/>
            <rFont val="Tahoma"/>
            <family val="0"/>
          </rPr>
          <t>Div to Reg - CO 01 (WF)</t>
        </r>
      </text>
    </comment>
    <comment ref="C4" authorId="0">
      <text>
        <r>
          <rPr>
            <sz val="8"/>
            <rFont val="Tahoma"/>
            <family val="0"/>
          </rPr>
          <t>Div to Reg - CO 01 (WF)</t>
        </r>
      </text>
    </comment>
    <comment ref="D4" authorId="0">
      <text>
        <r>
          <rPr>
            <sz val="8"/>
            <rFont val="Tahoma"/>
            <family val="0"/>
          </rPr>
          <t>Div to Reg - CO 01 (WF)</t>
        </r>
      </text>
    </comment>
    <comment ref="A9" authorId="0">
      <text>
        <r>
          <rPr>
            <sz val="8"/>
            <rFont val="Tahoma"/>
            <family val="0"/>
          </rPr>
          <t>Net Rev Calc</t>
        </r>
      </text>
    </comment>
    <comment ref="A10" authorId="0">
      <text>
        <r>
          <rPr>
            <sz val="8"/>
            <rFont val="Tahoma"/>
            <family val="0"/>
          </rPr>
          <t>Net Rev Calc</t>
        </r>
      </text>
    </comment>
    <comment ref="A11" authorId="0">
      <text>
        <r>
          <rPr>
            <sz val="8"/>
            <rFont val="Tahoma"/>
            <family val="0"/>
          </rPr>
          <t>Net Rev Calc</t>
        </r>
      </text>
    </comment>
    <comment ref="A12" authorId="0">
      <text>
        <r>
          <rPr>
            <sz val="8"/>
            <rFont val="Tahoma"/>
            <family val="0"/>
          </rPr>
          <t>Net Rev Calc</t>
        </r>
      </text>
    </comment>
    <comment ref="A17" authorId="0">
      <text>
        <r>
          <rPr>
            <sz val="8"/>
            <rFont val="Tahoma"/>
            <family val="0"/>
          </rPr>
          <t>Net Rev Calc</t>
        </r>
      </text>
    </comment>
    <comment ref="A18" authorId="0">
      <text>
        <r>
          <rPr>
            <sz val="8"/>
            <rFont val="Tahoma"/>
            <family val="0"/>
          </rPr>
          <t>Net Rev Calc</t>
        </r>
      </text>
    </comment>
    <comment ref="A19" authorId="0">
      <text>
        <r>
          <rPr>
            <sz val="8"/>
            <rFont val="Tahoma"/>
            <family val="0"/>
          </rPr>
          <t>Net Rev Calc</t>
        </r>
      </text>
    </comment>
    <comment ref="A20" authorId="0">
      <text>
        <r>
          <rPr>
            <sz val="8"/>
            <rFont val="Tahoma"/>
            <family val="0"/>
          </rPr>
          <t>Net Rev Calc</t>
        </r>
      </text>
    </comment>
    <comment ref="A21" authorId="0">
      <text>
        <r>
          <rPr>
            <sz val="8"/>
            <rFont val="Tahoma"/>
            <family val="0"/>
          </rPr>
          <t>Net Rev Calc</t>
        </r>
      </text>
    </comment>
    <comment ref="A22" authorId="0">
      <text>
        <r>
          <rPr>
            <sz val="8"/>
            <rFont val="Tahoma"/>
            <family val="0"/>
          </rPr>
          <t>Net Rev Calc</t>
        </r>
      </text>
    </comment>
    <comment ref="A23" authorId="0">
      <text>
        <r>
          <rPr>
            <sz val="8"/>
            <rFont val="Tahoma"/>
            <family val="0"/>
          </rPr>
          <t>Net Rev Calc</t>
        </r>
      </text>
    </comment>
    <comment ref="A24" authorId="0">
      <text>
        <r>
          <rPr>
            <sz val="8"/>
            <rFont val="Tahoma"/>
            <family val="0"/>
          </rPr>
          <t>Net Rev Calc</t>
        </r>
      </text>
    </comment>
    <comment ref="A25" authorId="0">
      <text>
        <r>
          <rPr>
            <sz val="8"/>
            <rFont val="Tahoma"/>
            <family val="0"/>
          </rPr>
          <t>Net Rev Calc</t>
        </r>
      </text>
    </comment>
    <comment ref="A26" authorId="0">
      <text>
        <r>
          <rPr>
            <sz val="8"/>
            <rFont val="Tahoma"/>
            <family val="0"/>
          </rPr>
          <t>Net Rev Calc</t>
        </r>
      </text>
    </comment>
    <comment ref="A27" authorId="0">
      <text>
        <r>
          <rPr>
            <sz val="8"/>
            <rFont val="Tahoma"/>
            <family val="0"/>
          </rPr>
          <t>Net Rev Calc</t>
        </r>
      </text>
    </comment>
    <comment ref="A28" authorId="0">
      <text>
        <r>
          <rPr>
            <sz val="8"/>
            <rFont val="Tahoma"/>
            <family val="0"/>
          </rPr>
          <t>Net Rev Calc</t>
        </r>
      </text>
    </comment>
    <comment ref="A29" authorId="0">
      <text>
        <r>
          <rPr>
            <sz val="8"/>
            <rFont val="Tahoma"/>
            <family val="0"/>
          </rPr>
          <t>Net Rev Calc</t>
        </r>
      </text>
    </comment>
    <comment ref="A30" authorId="0">
      <text>
        <r>
          <rPr>
            <sz val="8"/>
            <rFont val="Tahoma"/>
            <family val="0"/>
          </rPr>
          <t>Net Rev Calc</t>
        </r>
      </text>
    </comment>
    <comment ref="A31" authorId="0">
      <text>
        <r>
          <rPr>
            <sz val="8"/>
            <rFont val="Tahoma"/>
            <family val="0"/>
          </rPr>
          <t>Net Rev Calc</t>
        </r>
      </text>
    </comment>
    <comment ref="A32" authorId="0">
      <text>
        <r>
          <rPr>
            <sz val="8"/>
            <rFont val="Tahoma"/>
            <family val="0"/>
          </rPr>
          <t>Net Rev Calc</t>
        </r>
      </text>
    </comment>
    <comment ref="A33" authorId="0">
      <text>
        <r>
          <rPr>
            <sz val="8"/>
            <rFont val="Tahoma"/>
            <family val="0"/>
          </rPr>
          <t>Net Rev Calc</t>
        </r>
      </text>
    </comment>
    <comment ref="A34" authorId="0">
      <text>
        <r>
          <rPr>
            <sz val="8"/>
            <rFont val="Tahoma"/>
            <family val="0"/>
          </rPr>
          <t>Net Rev Calc</t>
        </r>
      </text>
    </comment>
    <comment ref="A35" authorId="0">
      <text>
        <r>
          <rPr>
            <sz val="8"/>
            <rFont val="Tahoma"/>
            <family val="0"/>
          </rPr>
          <t>Net Rev Calc</t>
        </r>
      </text>
    </comment>
    <comment ref="A36" authorId="0">
      <text>
        <r>
          <rPr>
            <sz val="8"/>
            <rFont val="Tahoma"/>
            <family val="0"/>
          </rPr>
          <t>Net Rev Calc</t>
        </r>
      </text>
    </comment>
    <comment ref="A37" authorId="0">
      <text>
        <r>
          <rPr>
            <sz val="8"/>
            <rFont val="Tahoma"/>
            <family val="0"/>
          </rPr>
          <t>Net Rev Calc</t>
        </r>
      </text>
    </comment>
    <comment ref="A38" authorId="0">
      <text>
        <r>
          <rPr>
            <sz val="8"/>
            <rFont val="Tahoma"/>
            <family val="0"/>
          </rPr>
          <t>Net Rev Calc</t>
        </r>
      </text>
    </comment>
    <comment ref="A39" authorId="0">
      <text>
        <r>
          <rPr>
            <sz val="8"/>
            <rFont val="Tahoma"/>
            <family val="0"/>
          </rPr>
          <t>Net Rev Calc</t>
        </r>
      </text>
    </comment>
    <comment ref="A40" authorId="0">
      <text>
        <r>
          <rPr>
            <sz val="8"/>
            <rFont val="Tahoma"/>
            <family val="0"/>
          </rPr>
          <t>Net Rev Calc</t>
        </r>
      </text>
    </comment>
    <comment ref="A41" authorId="0">
      <text>
        <r>
          <rPr>
            <sz val="8"/>
            <rFont val="Tahoma"/>
            <family val="0"/>
          </rPr>
          <t>Net Rev Calc</t>
        </r>
      </text>
    </comment>
    <comment ref="A42" authorId="0">
      <text>
        <r>
          <rPr>
            <sz val="8"/>
            <rFont val="Tahoma"/>
            <family val="0"/>
          </rPr>
          <t>Net Rev Calc</t>
        </r>
      </text>
    </comment>
    <comment ref="A43" authorId="0">
      <text>
        <r>
          <rPr>
            <sz val="8"/>
            <rFont val="Tahoma"/>
            <family val="0"/>
          </rPr>
          <t>Net Rev Calc</t>
        </r>
      </text>
    </comment>
    <comment ref="A44" authorId="0">
      <text>
        <r>
          <rPr>
            <sz val="8"/>
            <rFont val="Tahoma"/>
            <family val="0"/>
          </rPr>
          <t>Net Rev Calc</t>
        </r>
      </text>
    </comment>
    <comment ref="A45" authorId="0">
      <text>
        <r>
          <rPr>
            <sz val="8"/>
            <rFont val="Tahoma"/>
            <family val="0"/>
          </rPr>
          <t>Net Rev Calc</t>
        </r>
      </text>
    </comment>
    <comment ref="A46" authorId="0">
      <text>
        <r>
          <rPr>
            <sz val="8"/>
            <rFont val="Tahoma"/>
            <family val="0"/>
          </rPr>
          <t>Net Rev Calc</t>
        </r>
      </text>
    </comment>
    <comment ref="A47" authorId="0">
      <text>
        <r>
          <rPr>
            <sz val="8"/>
            <rFont val="Tahoma"/>
            <family val="0"/>
          </rPr>
          <t>Net Rev Calc</t>
        </r>
      </text>
    </comment>
    <comment ref="A48" authorId="0">
      <text>
        <r>
          <rPr>
            <sz val="8"/>
            <rFont val="Tahoma"/>
            <family val="0"/>
          </rPr>
          <t>Net Rev Calc</t>
        </r>
      </text>
    </comment>
    <comment ref="A49" authorId="0">
      <text>
        <r>
          <rPr>
            <sz val="8"/>
            <rFont val="Tahoma"/>
            <family val="0"/>
          </rPr>
          <t>Net Rev Calc</t>
        </r>
      </text>
    </comment>
    <comment ref="A50" authorId="0">
      <text>
        <r>
          <rPr>
            <sz val="8"/>
            <rFont val="Tahoma"/>
            <family val="0"/>
          </rPr>
          <t>Net Rev Calc</t>
        </r>
      </text>
    </comment>
    <comment ref="A51" authorId="0">
      <text>
        <r>
          <rPr>
            <sz val="8"/>
            <rFont val="Tahoma"/>
            <family val="0"/>
          </rPr>
          <t>Net Rev Calc</t>
        </r>
      </text>
    </comment>
    <comment ref="A52" authorId="0">
      <text>
        <r>
          <rPr>
            <sz val="8"/>
            <rFont val="Tahoma"/>
            <family val="0"/>
          </rPr>
          <t>Net Rev Calc</t>
        </r>
      </text>
    </comment>
    <comment ref="A53" authorId="0">
      <text>
        <r>
          <rPr>
            <sz val="8"/>
            <rFont val="Tahoma"/>
            <family val="0"/>
          </rPr>
          <t>Net Rev Calc</t>
        </r>
      </text>
    </comment>
    <comment ref="A54" authorId="0">
      <text>
        <r>
          <rPr>
            <sz val="8"/>
            <rFont val="Tahoma"/>
            <family val="0"/>
          </rPr>
          <t>Net Rev Calc</t>
        </r>
      </text>
    </comment>
    <comment ref="A55" authorId="0">
      <text>
        <r>
          <rPr>
            <sz val="8"/>
            <rFont val="Tahoma"/>
            <family val="0"/>
          </rPr>
          <t>Net Rev Calc</t>
        </r>
      </text>
    </comment>
    <comment ref="A56" authorId="0">
      <text>
        <r>
          <rPr>
            <sz val="8"/>
            <rFont val="Tahoma"/>
            <family val="0"/>
          </rPr>
          <t>Net Rev Calc</t>
        </r>
      </text>
    </comment>
    <comment ref="A57" authorId="0">
      <text>
        <r>
          <rPr>
            <sz val="8"/>
            <rFont val="Tahoma"/>
            <family val="0"/>
          </rPr>
          <t>Net Rev Calc</t>
        </r>
      </text>
    </comment>
    <comment ref="A58" authorId="0">
      <text>
        <r>
          <rPr>
            <sz val="8"/>
            <rFont val="Tahoma"/>
            <family val="0"/>
          </rPr>
          <t>Net Rev Calc</t>
        </r>
      </text>
    </comment>
    <comment ref="A59" authorId="0">
      <text>
        <r>
          <rPr>
            <sz val="8"/>
            <rFont val="Tahoma"/>
            <family val="0"/>
          </rPr>
          <t>Net Rev Calc</t>
        </r>
      </text>
    </comment>
    <comment ref="A60" authorId="0">
      <text>
        <r>
          <rPr>
            <sz val="8"/>
            <rFont val="Tahoma"/>
            <family val="0"/>
          </rPr>
          <t>Net Rev Calc</t>
        </r>
      </text>
    </comment>
    <comment ref="A61" authorId="0">
      <text>
        <r>
          <rPr>
            <sz val="8"/>
            <rFont val="Tahoma"/>
            <family val="0"/>
          </rPr>
          <t>Net Rev Calc</t>
        </r>
      </text>
    </comment>
    <comment ref="A62" authorId="0">
      <text>
        <r>
          <rPr>
            <sz val="8"/>
            <rFont val="Tahoma"/>
            <family val="0"/>
          </rPr>
          <t>Net Rev Calc</t>
        </r>
      </text>
    </comment>
    <comment ref="A63" authorId="0">
      <text>
        <r>
          <rPr>
            <sz val="8"/>
            <rFont val="Tahoma"/>
            <family val="0"/>
          </rPr>
          <t>Net Rev Calc</t>
        </r>
      </text>
    </comment>
    <comment ref="A64" authorId="0">
      <text>
        <r>
          <rPr>
            <sz val="8"/>
            <rFont val="Tahoma"/>
            <family val="0"/>
          </rPr>
          <t>Net Rev Calc</t>
        </r>
      </text>
    </comment>
    <comment ref="A65" authorId="0">
      <text>
        <r>
          <rPr>
            <sz val="8"/>
            <rFont val="Tahoma"/>
            <family val="0"/>
          </rPr>
          <t>Net Rev Calc</t>
        </r>
      </text>
    </comment>
    <comment ref="A66" authorId="0">
      <text>
        <r>
          <rPr>
            <sz val="8"/>
            <rFont val="Tahoma"/>
            <family val="0"/>
          </rPr>
          <t>Net Rev Calc</t>
        </r>
      </text>
    </comment>
    <comment ref="A67" authorId="0">
      <text>
        <r>
          <rPr>
            <sz val="8"/>
            <rFont val="Tahoma"/>
            <family val="0"/>
          </rPr>
          <t>Net Rev Calc</t>
        </r>
      </text>
    </comment>
    <comment ref="A68" authorId="0">
      <text>
        <r>
          <rPr>
            <sz val="8"/>
            <rFont val="Tahoma"/>
            <family val="0"/>
          </rPr>
          <t>Net Rev Calc</t>
        </r>
      </text>
    </comment>
    <comment ref="A69" authorId="0">
      <text>
        <r>
          <rPr>
            <sz val="8"/>
            <rFont val="Tahoma"/>
            <family val="0"/>
          </rPr>
          <t>Net Rev Calc</t>
        </r>
      </text>
    </comment>
    <comment ref="A70" authorId="0">
      <text>
        <r>
          <rPr>
            <sz val="8"/>
            <rFont val="Tahoma"/>
            <family val="0"/>
          </rPr>
          <t>Net Rev Calc</t>
        </r>
      </text>
    </comment>
    <comment ref="A71" authorId="0">
      <text>
        <r>
          <rPr>
            <sz val="8"/>
            <rFont val="Tahoma"/>
            <family val="0"/>
          </rPr>
          <t>Net Rev Calc</t>
        </r>
      </text>
    </comment>
    <comment ref="A72" authorId="0">
      <text>
        <r>
          <rPr>
            <sz val="8"/>
            <rFont val="Tahoma"/>
            <family val="0"/>
          </rPr>
          <t>Net Rev Calc</t>
        </r>
      </text>
    </comment>
    <comment ref="A73" authorId="0">
      <text>
        <r>
          <rPr>
            <sz val="8"/>
            <rFont val="Tahoma"/>
            <family val="0"/>
          </rPr>
          <t>Net Rev Calc</t>
        </r>
      </text>
    </comment>
    <comment ref="A74" authorId="0">
      <text>
        <r>
          <rPr>
            <sz val="8"/>
            <rFont val="Tahoma"/>
            <family val="0"/>
          </rPr>
          <t>Net Rev Calc</t>
        </r>
      </text>
    </comment>
    <comment ref="A75" authorId="0">
      <text>
        <r>
          <rPr>
            <sz val="8"/>
            <rFont val="Tahoma"/>
            <family val="0"/>
          </rPr>
          <t>Net Rev Calc</t>
        </r>
      </text>
    </comment>
    <comment ref="A76" authorId="0">
      <text>
        <r>
          <rPr>
            <sz val="8"/>
            <rFont val="Tahoma"/>
            <family val="0"/>
          </rPr>
          <t>Net Rev Calc</t>
        </r>
      </text>
    </comment>
    <comment ref="A78" authorId="0">
      <text>
        <r>
          <rPr>
            <sz val="8"/>
            <rFont val="Tahoma"/>
            <family val="0"/>
          </rPr>
          <t>Net Rev Calc</t>
        </r>
      </text>
    </comment>
    <comment ref="A79" authorId="0">
      <text>
        <r>
          <rPr>
            <sz val="8"/>
            <rFont val="Tahoma"/>
            <family val="0"/>
          </rPr>
          <t>Net Rev Calc</t>
        </r>
      </text>
    </comment>
    <comment ref="A80" authorId="0">
      <text>
        <r>
          <rPr>
            <sz val="8"/>
            <rFont val="Tahoma"/>
            <family val="0"/>
          </rPr>
          <t>Net Rev Calc</t>
        </r>
      </text>
    </comment>
    <comment ref="A81" authorId="0">
      <text>
        <r>
          <rPr>
            <sz val="8"/>
            <rFont val="Tahoma"/>
            <family val="0"/>
          </rPr>
          <t>Net Rev Calc</t>
        </r>
      </text>
    </comment>
    <comment ref="A82" authorId="0">
      <text>
        <r>
          <rPr>
            <sz val="8"/>
            <rFont val="Tahoma"/>
            <family val="0"/>
          </rPr>
          <t>Net Rev Calc</t>
        </r>
      </text>
    </comment>
    <comment ref="A83" authorId="0">
      <text>
        <r>
          <rPr>
            <sz val="8"/>
            <rFont val="Tahoma"/>
            <family val="0"/>
          </rPr>
          <t>Net Rev Calc</t>
        </r>
      </text>
    </comment>
    <comment ref="A84" authorId="0">
      <text>
        <r>
          <rPr>
            <sz val="8"/>
            <rFont val="Tahoma"/>
            <family val="0"/>
          </rPr>
          <t>Net Rev Calc</t>
        </r>
      </text>
    </comment>
    <comment ref="A77" authorId="0">
      <text>
        <r>
          <rPr>
            <sz val="8"/>
            <rFont val="Tahoma"/>
            <family val="0"/>
          </rPr>
          <t>Net Rev Calc</t>
        </r>
      </text>
    </comment>
    <comment ref="A7" authorId="0">
      <text>
        <r>
          <rPr>
            <sz val="8"/>
            <rFont val="Tahoma"/>
            <family val="0"/>
          </rPr>
          <t>Net Rev Calc</t>
        </r>
      </text>
    </comment>
    <comment ref="A8" authorId="0">
      <text>
        <r>
          <rPr>
            <sz val="8"/>
            <rFont val="Tahoma"/>
            <family val="0"/>
          </rPr>
          <t>Net Rev Calc</t>
        </r>
      </text>
    </comment>
    <comment ref="A13" authorId="0">
      <text>
        <r>
          <rPr>
            <sz val="8"/>
            <rFont val="Tahoma"/>
            <family val="0"/>
          </rPr>
          <t>Net Rev Calc</t>
        </r>
      </text>
    </comment>
    <comment ref="A14" authorId="0">
      <text>
        <r>
          <rPr>
            <sz val="8"/>
            <rFont val="Tahoma"/>
            <family val="0"/>
          </rPr>
          <t>Net Rev Calc</t>
        </r>
      </text>
    </comment>
    <comment ref="A15" authorId="0">
      <text>
        <r>
          <rPr>
            <sz val="8"/>
            <rFont val="Tahoma"/>
            <family val="0"/>
          </rPr>
          <t>Net Rev Calc</t>
        </r>
      </text>
    </comment>
    <comment ref="A16" authorId="0">
      <text>
        <r>
          <rPr>
            <sz val="8"/>
            <rFont val="Tahoma"/>
            <family val="0"/>
          </rPr>
          <t>Net Rev Calc</t>
        </r>
      </text>
    </comment>
    <comment ref="F2" authorId="0">
      <text>
        <r>
          <rPr>
            <sz val="8"/>
            <rFont val="Tahoma"/>
            <family val="0"/>
          </rPr>
          <t>Rep Ropis Variance Version</t>
        </r>
      </text>
    </comment>
    <comment ref="G2" authorId="0">
      <text>
        <r>
          <rPr>
            <sz val="8"/>
            <rFont val="Tahoma"/>
            <family val="0"/>
          </rPr>
          <t>Final NetRev</t>
        </r>
      </text>
    </comment>
    <comment ref="H2" authorId="0">
      <text>
        <r>
          <rPr>
            <sz val="8"/>
            <rFont val="Tahoma"/>
            <family val="0"/>
          </rPr>
          <t>Periods</t>
        </r>
      </text>
    </comment>
    <comment ref="F5" authorId="0">
      <text>
        <r>
          <rPr>
            <sz val="8"/>
            <rFont val="Tahoma"/>
            <family val="0"/>
          </rPr>
          <t>New NetRev Calc</t>
        </r>
      </text>
    </comment>
    <comment ref="F6" authorId="0">
      <text>
        <r>
          <rPr>
            <sz val="8"/>
            <rFont val="Tahoma"/>
            <family val="0"/>
          </rPr>
          <t>New NetRev Calc</t>
        </r>
      </text>
    </comment>
    <comment ref="F7" authorId="0">
      <text>
        <r>
          <rPr>
            <sz val="8"/>
            <rFont val="Tahoma"/>
            <family val="0"/>
          </rPr>
          <t>New NetRev Calc</t>
        </r>
      </text>
    </comment>
    <comment ref="F8" authorId="0">
      <text>
        <r>
          <rPr>
            <sz val="8"/>
            <rFont val="Tahoma"/>
            <family val="0"/>
          </rPr>
          <t>New NetRev Calc</t>
        </r>
      </text>
    </comment>
    <comment ref="F9" authorId="0">
      <text>
        <r>
          <rPr>
            <sz val="8"/>
            <rFont val="Tahoma"/>
            <family val="0"/>
          </rPr>
          <t>New NetRev Calc</t>
        </r>
      </text>
    </comment>
    <comment ref="F10" authorId="0">
      <text>
        <r>
          <rPr>
            <sz val="8"/>
            <rFont val="Tahoma"/>
            <family val="0"/>
          </rPr>
          <t>New NetRev Calc</t>
        </r>
      </text>
    </comment>
    <comment ref="F11" authorId="0">
      <text>
        <r>
          <rPr>
            <sz val="8"/>
            <rFont val="Tahoma"/>
            <family val="0"/>
          </rPr>
          <t>New NetRev Calc</t>
        </r>
      </text>
    </comment>
    <comment ref="F12" authorId="0">
      <text>
        <r>
          <rPr>
            <sz val="8"/>
            <rFont val="Tahoma"/>
            <family val="0"/>
          </rPr>
          <t>New NetRev Calc</t>
        </r>
      </text>
    </comment>
    <comment ref="F13" authorId="0">
      <text>
        <r>
          <rPr>
            <sz val="8"/>
            <rFont val="Tahoma"/>
            <family val="0"/>
          </rPr>
          <t>New NetRev Calc</t>
        </r>
      </text>
    </comment>
    <comment ref="F14" authorId="0">
      <text>
        <r>
          <rPr>
            <sz val="8"/>
            <rFont val="Tahoma"/>
            <family val="0"/>
          </rPr>
          <t>New NetRev Calc</t>
        </r>
      </text>
    </comment>
    <comment ref="F15" authorId="0">
      <text>
        <r>
          <rPr>
            <sz val="8"/>
            <rFont val="Tahoma"/>
            <family val="0"/>
          </rPr>
          <t>New NetRev Calc</t>
        </r>
      </text>
    </comment>
    <comment ref="F16" authorId="0">
      <text>
        <r>
          <rPr>
            <sz val="8"/>
            <rFont val="Tahoma"/>
            <family val="0"/>
          </rPr>
          <t>New NetRev Calc</t>
        </r>
      </text>
    </comment>
    <comment ref="F17" authorId="0">
      <text>
        <r>
          <rPr>
            <sz val="8"/>
            <rFont val="Tahoma"/>
            <family val="0"/>
          </rPr>
          <t>New NetRev Calc</t>
        </r>
      </text>
    </comment>
    <comment ref="F18" authorId="0">
      <text>
        <r>
          <rPr>
            <sz val="8"/>
            <rFont val="Tahoma"/>
            <family val="0"/>
          </rPr>
          <t>New NetRev Calc</t>
        </r>
      </text>
    </comment>
    <comment ref="F19" authorId="0">
      <text>
        <r>
          <rPr>
            <sz val="8"/>
            <rFont val="Tahoma"/>
            <family val="0"/>
          </rPr>
          <t>New NetRev Calc</t>
        </r>
      </text>
    </comment>
    <comment ref="F20" authorId="0">
      <text>
        <r>
          <rPr>
            <sz val="8"/>
            <rFont val="Tahoma"/>
            <family val="0"/>
          </rPr>
          <t>New NetRev Calc</t>
        </r>
      </text>
    </comment>
    <comment ref="F21" authorId="0">
      <text>
        <r>
          <rPr>
            <sz val="8"/>
            <rFont val="Tahoma"/>
            <family val="0"/>
          </rPr>
          <t>New NetRev Calc</t>
        </r>
      </text>
    </comment>
    <comment ref="F22" authorId="0">
      <text>
        <r>
          <rPr>
            <sz val="8"/>
            <rFont val="Tahoma"/>
            <family val="0"/>
          </rPr>
          <t>New NetRev Calc</t>
        </r>
      </text>
    </comment>
    <comment ref="F23" authorId="0">
      <text>
        <r>
          <rPr>
            <sz val="8"/>
            <rFont val="Tahoma"/>
            <family val="0"/>
          </rPr>
          <t>New NetRev Calc</t>
        </r>
      </text>
    </comment>
    <comment ref="F24" authorId="0">
      <text>
        <r>
          <rPr>
            <sz val="8"/>
            <rFont val="Tahoma"/>
            <family val="0"/>
          </rPr>
          <t>New NetRev Calc</t>
        </r>
      </text>
    </comment>
    <comment ref="F25" authorId="0">
      <text>
        <r>
          <rPr>
            <sz val="8"/>
            <rFont val="Tahoma"/>
            <family val="0"/>
          </rPr>
          <t>New NetRev Calc</t>
        </r>
      </text>
    </comment>
    <comment ref="F26" authorId="0">
      <text>
        <r>
          <rPr>
            <sz val="8"/>
            <rFont val="Tahoma"/>
            <family val="0"/>
          </rPr>
          <t>New NetRev Calc</t>
        </r>
      </text>
    </comment>
    <comment ref="F27" authorId="0">
      <text>
        <r>
          <rPr>
            <sz val="8"/>
            <rFont val="Tahoma"/>
            <family val="0"/>
          </rPr>
          <t>New NetRev Calc</t>
        </r>
      </text>
    </comment>
    <comment ref="F28" authorId="0">
      <text>
        <r>
          <rPr>
            <sz val="8"/>
            <rFont val="Tahoma"/>
            <family val="0"/>
          </rPr>
          <t>New NetRev Calc</t>
        </r>
      </text>
    </comment>
    <comment ref="F29" authorId="0">
      <text>
        <r>
          <rPr>
            <sz val="8"/>
            <rFont val="Tahoma"/>
            <family val="0"/>
          </rPr>
          <t>New NetRev Calc</t>
        </r>
      </text>
    </comment>
    <comment ref="F30" authorId="0">
      <text>
        <r>
          <rPr>
            <sz val="8"/>
            <rFont val="Tahoma"/>
            <family val="0"/>
          </rPr>
          <t>New NetRev Calc</t>
        </r>
      </text>
    </comment>
    <comment ref="F31" authorId="0">
      <text>
        <r>
          <rPr>
            <sz val="8"/>
            <rFont val="Tahoma"/>
            <family val="0"/>
          </rPr>
          <t>New NetRev Calc</t>
        </r>
      </text>
    </comment>
    <comment ref="F32" authorId="0">
      <text>
        <r>
          <rPr>
            <sz val="8"/>
            <rFont val="Tahoma"/>
            <family val="0"/>
          </rPr>
          <t>New NetRev Calc</t>
        </r>
      </text>
    </comment>
    <comment ref="F33" authorId="0">
      <text>
        <r>
          <rPr>
            <sz val="8"/>
            <rFont val="Tahoma"/>
            <family val="0"/>
          </rPr>
          <t>New NetRev Calc</t>
        </r>
      </text>
    </comment>
    <comment ref="F34" authorId="0">
      <text>
        <r>
          <rPr>
            <sz val="8"/>
            <rFont val="Tahoma"/>
            <family val="0"/>
          </rPr>
          <t>New NetRev Calc</t>
        </r>
      </text>
    </comment>
    <comment ref="F35" authorId="0">
      <text>
        <r>
          <rPr>
            <sz val="8"/>
            <rFont val="Tahoma"/>
            <family val="0"/>
          </rPr>
          <t>New NetRev Calc</t>
        </r>
      </text>
    </comment>
    <comment ref="F36" authorId="0">
      <text>
        <r>
          <rPr>
            <sz val="8"/>
            <rFont val="Tahoma"/>
            <family val="0"/>
          </rPr>
          <t>New NetRev Calc</t>
        </r>
      </text>
    </comment>
    <comment ref="F37" authorId="0">
      <text>
        <r>
          <rPr>
            <sz val="8"/>
            <rFont val="Tahoma"/>
            <family val="0"/>
          </rPr>
          <t>New NetRev Calc</t>
        </r>
      </text>
    </comment>
    <comment ref="F38" authorId="0">
      <text>
        <r>
          <rPr>
            <sz val="8"/>
            <rFont val="Tahoma"/>
            <family val="0"/>
          </rPr>
          <t>New NetRev Calc</t>
        </r>
      </text>
    </comment>
    <comment ref="F39" authorId="0">
      <text>
        <r>
          <rPr>
            <sz val="8"/>
            <rFont val="Tahoma"/>
            <family val="0"/>
          </rPr>
          <t>New NetRev Calc</t>
        </r>
      </text>
    </comment>
    <comment ref="F40" authorId="0">
      <text>
        <r>
          <rPr>
            <sz val="8"/>
            <rFont val="Tahoma"/>
            <family val="0"/>
          </rPr>
          <t>New NetRev Calc</t>
        </r>
      </text>
    </comment>
    <comment ref="F41" authorId="0">
      <text>
        <r>
          <rPr>
            <sz val="8"/>
            <rFont val="Tahoma"/>
            <family val="0"/>
          </rPr>
          <t>New NetRev Calc</t>
        </r>
      </text>
    </comment>
    <comment ref="F42" authorId="0">
      <text>
        <r>
          <rPr>
            <sz val="8"/>
            <rFont val="Tahoma"/>
            <family val="0"/>
          </rPr>
          <t>New NetRev Calc</t>
        </r>
      </text>
    </comment>
    <comment ref="F43" authorId="0">
      <text>
        <r>
          <rPr>
            <sz val="8"/>
            <rFont val="Tahoma"/>
            <family val="0"/>
          </rPr>
          <t>New NetRev Calc</t>
        </r>
      </text>
    </comment>
    <comment ref="F44" authorId="0">
      <text>
        <r>
          <rPr>
            <sz val="8"/>
            <rFont val="Tahoma"/>
            <family val="0"/>
          </rPr>
          <t>New NetRev Calc</t>
        </r>
      </text>
    </comment>
    <comment ref="F45" authorId="0">
      <text>
        <r>
          <rPr>
            <sz val="8"/>
            <rFont val="Tahoma"/>
            <family val="0"/>
          </rPr>
          <t>New NetRev Calc</t>
        </r>
      </text>
    </comment>
    <comment ref="F46" authorId="0">
      <text>
        <r>
          <rPr>
            <sz val="8"/>
            <rFont val="Tahoma"/>
            <family val="0"/>
          </rPr>
          <t>New NetRev Calc</t>
        </r>
      </text>
    </comment>
    <comment ref="F47" authorId="0">
      <text>
        <r>
          <rPr>
            <sz val="8"/>
            <rFont val="Tahoma"/>
            <family val="0"/>
          </rPr>
          <t>New NetRev Calc</t>
        </r>
      </text>
    </comment>
    <comment ref="F48" authorId="0">
      <text>
        <r>
          <rPr>
            <sz val="8"/>
            <rFont val="Tahoma"/>
            <family val="0"/>
          </rPr>
          <t>New NetRev Calc</t>
        </r>
      </text>
    </comment>
    <comment ref="F49" authorId="0">
      <text>
        <r>
          <rPr>
            <sz val="8"/>
            <rFont val="Tahoma"/>
            <family val="0"/>
          </rPr>
          <t>New NetRev Calc</t>
        </r>
      </text>
    </comment>
    <comment ref="F50" authorId="0">
      <text>
        <r>
          <rPr>
            <sz val="8"/>
            <rFont val="Tahoma"/>
            <family val="0"/>
          </rPr>
          <t>New NetRev Calc</t>
        </r>
      </text>
    </comment>
    <comment ref="F51" authorId="0">
      <text>
        <r>
          <rPr>
            <sz val="8"/>
            <rFont val="Tahoma"/>
            <family val="0"/>
          </rPr>
          <t>New NetRev Calc</t>
        </r>
      </text>
    </comment>
    <comment ref="F52" authorId="0">
      <text>
        <r>
          <rPr>
            <sz val="8"/>
            <rFont val="Tahoma"/>
            <family val="0"/>
          </rPr>
          <t>New NetRev Calc</t>
        </r>
      </text>
    </comment>
    <comment ref="F53" authorId="0">
      <text>
        <r>
          <rPr>
            <sz val="8"/>
            <rFont val="Tahoma"/>
            <family val="0"/>
          </rPr>
          <t>New NetRev Calc</t>
        </r>
      </text>
    </comment>
    <comment ref="F54" authorId="0">
      <text>
        <r>
          <rPr>
            <sz val="8"/>
            <rFont val="Tahoma"/>
            <family val="0"/>
          </rPr>
          <t>New NetRev Calc</t>
        </r>
      </text>
    </comment>
    <comment ref="F55" authorId="0">
      <text>
        <r>
          <rPr>
            <sz val="8"/>
            <rFont val="Tahoma"/>
            <family val="0"/>
          </rPr>
          <t>New NetRev Calc</t>
        </r>
      </text>
    </comment>
    <comment ref="F56" authorId="0">
      <text>
        <r>
          <rPr>
            <sz val="8"/>
            <rFont val="Tahoma"/>
            <family val="0"/>
          </rPr>
          <t>New NetRev Calc</t>
        </r>
      </text>
    </comment>
    <comment ref="F57" authorId="0">
      <text>
        <r>
          <rPr>
            <sz val="8"/>
            <rFont val="Tahoma"/>
            <family val="0"/>
          </rPr>
          <t>New NetRev Calc</t>
        </r>
      </text>
    </comment>
    <comment ref="F58" authorId="0">
      <text>
        <r>
          <rPr>
            <sz val="8"/>
            <rFont val="Tahoma"/>
            <family val="0"/>
          </rPr>
          <t>New NetRev Calc</t>
        </r>
      </text>
    </comment>
    <comment ref="F59" authorId="0">
      <text>
        <r>
          <rPr>
            <sz val="8"/>
            <rFont val="Tahoma"/>
            <family val="0"/>
          </rPr>
          <t>New NetRev Calc</t>
        </r>
      </text>
    </comment>
    <comment ref="F60" authorId="0">
      <text>
        <r>
          <rPr>
            <sz val="8"/>
            <rFont val="Tahoma"/>
            <family val="0"/>
          </rPr>
          <t>New NetRev Calc</t>
        </r>
      </text>
    </comment>
    <comment ref="F61" authorId="0">
      <text>
        <r>
          <rPr>
            <sz val="8"/>
            <rFont val="Tahoma"/>
            <family val="0"/>
          </rPr>
          <t>New NetRev Calc</t>
        </r>
      </text>
    </comment>
    <comment ref="F62" authorId="0">
      <text>
        <r>
          <rPr>
            <sz val="8"/>
            <rFont val="Tahoma"/>
            <family val="0"/>
          </rPr>
          <t>New NetRev Calc</t>
        </r>
      </text>
    </comment>
    <comment ref="F63" authorId="0">
      <text>
        <r>
          <rPr>
            <sz val="8"/>
            <rFont val="Tahoma"/>
            <family val="0"/>
          </rPr>
          <t>New NetRev Calc</t>
        </r>
      </text>
    </comment>
    <comment ref="F64" authorId="0">
      <text>
        <r>
          <rPr>
            <sz val="8"/>
            <rFont val="Tahoma"/>
            <family val="0"/>
          </rPr>
          <t>New NetRev Calc</t>
        </r>
      </text>
    </comment>
    <comment ref="F65" authorId="0">
      <text>
        <r>
          <rPr>
            <sz val="8"/>
            <rFont val="Tahoma"/>
            <family val="0"/>
          </rPr>
          <t>New NetRev Calc</t>
        </r>
      </text>
    </comment>
    <comment ref="F66" authorId="0">
      <text>
        <r>
          <rPr>
            <sz val="8"/>
            <rFont val="Tahoma"/>
            <family val="0"/>
          </rPr>
          <t>New NetRev Calc</t>
        </r>
      </text>
    </comment>
    <comment ref="F67" authorId="0">
      <text>
        <r>
          <rPr>
            <sz val="8"/>
            <rFont val="Tahoma"/>
            <family val="0"/>
          </rPr>
          <t>New NetRev Calc</t>
        </r>
      </text>
    </comment>
    <comment ref="G4" authorId="0">
      <text>
        <r>
          <rPr>
            <sz val="8"/>
            <rFont val="Tahoma"/>
            <family val="0"/>
          </rPr>
          <t>PGS+WFNG Divs</t>
        </r>
      </text>
    </comment>
    <comment ref="H4" authorId="0">
      <text>
        <r>
          <rPr>
            <sz val="8"/>
            <rFont val="Tahoma"/>
            <family val="0"/>
          </rPr>
          <t>PGS+WFNG Divs</t>
        </r>
      </text>
    </comment>
    <comment ref="I4" authorId="0">
      <text>
        <r>
          <rPr>
            <sz val="8"/>
            <rFont val="Tahoma"/>
            <family val="0"/>
          </rPr>
          <t>PGS+WFNG Divs</t>
        </r>
      </text>
    </comment>
    <comment ref="A1" authorId="1">
      <text>
        <r>
          <rPr>
            <sz val="8"/>
            <rFont val="Tahoma"/>
            <family val="0"/>
          </rPr>
          <t xml:space="preserve">Adaytum2
TYP=V
SVR=
LIB=Five Yr Plan
CBE=5 Yr Op Rev Calc
FGD=Y
BGD=Y
FGL=Y
BGL=N
SUP=N
BBF=N
NTS=Y
VAL=Y
RHD=N
LCK=N
RFH=N
BBK=Y
OVF=N
IAB=N
BAZ=N
EAZ=N
RGP=adaytum_page_1
RGR=adaytum_row_1
RGC=adaytum_col_1
RGD=adaytum_data_1
P01=5 yr Scenarios
P02=Periods
P03=5 Year Plan
R01=Net Rev Calc
C01=Div to Reg - CO 01 (WF)
VID=5D681E3F50D863C0
CHK=452957663
SLO=D
SLD=NNNNN
</t>
        </r>
      </text>
    </comment>
    <comment ref="F1" authorId="1">
      <text>
        <r>
          <rPr>
            <sz val="8"/>
            <rFont val="Tahoma"/>
            <family val="0"/>
          </rPr>
          <t xml:space="preserve">Adaytum2
TYP=V
SVR=
LIB=GA Reports
CBE=NetRev 2007
FGD=Y
BGD=Y
FGL=Y
BGL=N
SUP=N
BBF=N
NTS=Y
VAL=Y
RHD=N
LCK=N
RFH=N
BBK=Y
OVF=N
IAB=N
BAZ=N
EAZ=N
P01=Rep Ropis Variance Version
P02=Final NetRev
P03=Periods
R01=New NetRev Calc
C01=PGS+WFNG Divs
SLO=D
SLD=NNNNN
RGP=adaytum_page_2
RGR=adaytum_row_2
RGC=adaytum_col_2
RGD=adaytum_data_2
VID=7DE2492F4EC663C0
CHK=-1598492468
</t>
        </r>
      </text>
    </comment>
  </commentList>
</comments>
</file>

<file path=xl/comments6.xml><?xml version="1.0" encoding="utf-8"?>
<comments xmlns="http://schemas.openxmlformats.org/spreadsheetml/2006/main">
  <authors>
    <author>Sue Richards</author>
    <author>Paul Higgins</author>
  </authors>
  <commentList>
    <comment ref="A2" authorId="0">
      <text>
        <r>
          <rPr>
            <sz val="8"/>
            <rFont val="Tahoma"/>
            <family val="0"/>
          </rPr>
          <t>5 yr Scenarios</t>
        </r>
      </text>
    </comment>
    <comment ref="B2" authorId="0">
      <text>
        <r>
          <rPr>
            <sz val="8"/>
            <rFont val="Tahoma"/>
            <family val="0"/>
          </rPr>
          <t>Periods</t>
        </r>
      </text>
    </comment>
    <comment ref="C2" authorId="0">
      <text>
        <r>
          <rPr>
            <sz val="8"/>
            <rFont val="Tahoma"/>
            <family val="0"/>
          </rPr>
          <t>5 Year Plan</t>
        </r>
      </text>
    </comment>
    <comment ref="A5" authorId="0">
      <text>
        <r>
          <rPr>
            <sz val="8"/>
            <rFont val="Tahoma"/>
            <family val="0"/>
          </rPr>
          <t>Net Rev Calc</t>
        </r>
      </text>
    </comment>
    <comment ref="A6" authorId="0">
      <text>
        <r>
          <rPr>
            <sz val="8"/>
            <rFont val="Tahoma"/>
            <family val="0"/>
          </rPr>
          <t>Net Rev Calc</t>
        </r>
      </text>
    </comment>
    <comment ref="A7" authorId="0">
      <text>
        <r>
          <rPr>
            <sz val="8"/>
            <rFont val="Tahoma"/>
            <family val="0"/>
          </rPr>
          <t>Net Rev Calc</t>
        </r>
      </text>
    </comment>
    <comment ref="A8" authorId="0">
      <text>
        <r>
          <rPr>
            <sz val="8"/>
            <rFont val="Tahoma"/>
            <family val="0"/>
          </rPr>
          <t>Net Rev Calc</t>
        </r>
      </text>
    </comment>
    <comment ref="B4" authorId="0">
      <text>
        <r>
          <rPr>
            <sz val="8"/>
            <rFont val="Tahoma"/>
            <family val="0"/>
          </rPr>
          <t>Div to Reg - CO 01 (WF)</t>
        </r>
      </text>
    </comment>
    <comment ref="C4" authorId="0">
      <text>
        <r>
          <rPr>
            <sz val="8"/>
            <rFont val="Tahoma"/>
            <family val="0"/>
          </rPr>
          <t>Div to Reg - CO 01 (WF)</t>
        </r>
      </text>
    </comment>
    <comment ref="D4" authorId="0">
      <text>
        <r>
          <rPr>
            <sz val="8"/>
            <rFont val="Tahoma"/>
            <family val="0"/>
          </rPr>
          <t>Div to Reg - CO 01 (WF)</t>
        </r>
      </text>
    </comment>
    <comment ref="A9" authorId="0">
      <text>
        <r>
          <rPr>
            <sz val="8"/>
            <rFont val="Tahoma"/>
            <family val="0"/>
          </rPr>
          <t>Net Rev Calc</t>
        </r>
      </text>
    </comment>
    <comment ref="A15" authorId="0">
      <text>
        <r>
          <rPr>
            <sz val="8"/>
            <rFont val="Tahoma"/>
            <family val="0"/>
          </rPr>
          <t>Net Rev Calc</t>
        </r>
      </text>
    </comment>
    <comment ref="A16" authorId="0">
      <text>
        <r>
          <rPr>
            <sz val="8"/>
            <rFont val="Tahoma"/>
            <family val="0"/>
          </rPr>
          <t>Net Rev Calc</t>
        </r>
      </text>
    </comment>
    <comment ref="A17" authorId="0">
      <text>
        <r>
          <rPr>
            <sz val="8"/>
            <rFont val="Tahoma"/>
            <family val="0"/>
          </rPr>
          <t>Net Rev Calc</t>
        </r>
      </text>
    </comment>
    <comment ref="A18" authorId="0">
      <text>
        <r>
          <rPr>
            <sz val="8"/>
            <rFont val="Tahoma"/>
            <family val="0"/>
          </rPr>
          <t>Net Rev Calc</t>
        </r>
      </text>
    </comment>
    <comment ref="A19" authorId="0">
      <text>
        <r>
          <rPr>
            <sz val="8"/>
            <rFont val="Tahoma"/>
            <family val="0"/>
          </rPr>
          <t>Net Rev Calc</t>
        </r>
      </text>
    </comment>
    <comment ref="A20" authorId="0">
      <text>
        <r>
          <rPr>
            <sz val="8"/>
            <rFont val="Tahoma"/>
            <family val="0"/>
          </rPr>
          <t>Net Rev Calc</t>
        </r>
      </text>
    </comment>
    <comment ref="A21" authorId="0">
      <text>
        <r>
          <rPr>
            <sz val="8"/>
            <rFont val="Tahoma"/>
            <family val="0"/>
          </rPr>
          <t>Net Rev Calc</t>
        </r>
      </text>
    </comment>
    <comment ref="A22" authorId="0">
      <text>
        <r>
          <rPr>
            <sz val="8"/>
            <rFont val="Tahoma"/>
            <family val="0"/>
          </rPr>
          <t>Net Rev Calc</t>
        </r>
      </text>
    </comment>
    <comment ref="A23" authorId="0">
      <text>
        <r>
          <rPr>
            <sz val="8"/>
            <rFont val="Tahoma"/>
            <family val="0"/>
          </rPr>
          <t>Net Rev Calc</t>
        </r>
      </text>
    </comment>
    <comment ref="A32" authorId="0">
      <text>
        <r>
          <rPr>
            <sz val="8"/>
            <rFont val="Tahoma"/>
            <family val="0"/>
          </rPr>
          <t>Net Rev Calc</t>
        </r>
      </text>
    </comment>
    <comment ref="A33" authorId="0">
      <text>
        <r>
          <rPr>
            <sz val="8"/>
            <rFont val="Tahoma"/>
            <family val="0"/>
          </rPr>
          <t>Net Rev Calc</t>
        </r>
      </text>
    </comment>
    <comment ref="A34" authorId="0">
      <text>
        <r>
          <rPr>
            <sz val="8"/>
            <rFont val="Tahoma"/>
            <family val="0"/>
          </rPr>
          <t>Net Rev Calc</t>
        </r>
      </text>
    </comment>
    <comment ref="A35" authorId="0">
      <text>
        <r>
          <rPr>
            <sz val="8"/>
            <rFont val="Tahoma"/>
            <family val="0"/>
          </rPr>
          <t>Net Rev Calc</t>
        </r>
      </text>
    </comment>
    <comment ref="A36" authorId="0">
      <text>
        <r>
          <rPr>
            <sz val="8"/>
            <rFont val="Tahoma"/>
            <family val="0"/>
          </rPr>
          <t>Net Rev Calc</t>
        </r>
      </text>
    </comment>
    <comment ref="A37" authorId="0">
      <text>
        <r>
          <rPr>
            <sz val="8"/>
            <rFont val="Tahoma"/>
            <family val="0"/>
          </rPr>
          <t>Net Rev Calc</t>
        </r>
      </text>
    </comment>
    <comment ref="A38" authorId="0">
      <text>
        <r>
          <rPr>
            <sz val="8"/>
            <rFont val="Tahoma"/>
            <family val="0"/>
          </rPr>
          <t>Net Rev Calc</t>
        </r>
      </text>
    </comment>
    <comment ref="A39" authorId="0">
      <text>
        <r>
          <rPr>
            <sz val="8"/>
            <rFont val="Tahoma"/>
            <family val="0"/>
          </rPr>
          <t>Net Rev Calc</t>
        </r>
      </text>
    </comment>
    <comment ref="A40" authorId="0">
      <text>
        <r>
          <rPr>
            <sz val="8"/>
            <rFont val="Tahoma"/>
            <family val="0"/>
          </rPr>
          <t>Net Rev Calc</t>
        </r>
      </text>
    </comment>
    <comment ref="A41" authorId="0">
      <text>
        <r>
          <rPr>
            <sz val="8"/>
            <rFont val="Tahoma"/>
            <family val="0"/>
          </rPr>
          <t>Net Rev Calc</t>
        </r>
      </text>
    </comment>
    <comment ref="A42" authorId="0">
      <text>
        <r>
          <rPr>
            <sz val="8"/>
            <rFont val="Tahoma"/>
            <family val="0"/>
          </rPr>
          <t>Net Rev Calc</t>
        </r>
      </text>
    </comment>
    <comment ref="A43" authorId="0">
      <text>
        <r>
          <rPr>
            <sz val="8"/>
            <rFont val="Tahoma"/>
            <family val="0"/>
          </rPr>
          <t>Net Rev Calc</t>
        </r>
      </text>
    </comment>
    <comment ref="A44" authorId="0">
      <text>
        <r>
          <rPr>
            <sz val="8"/>
            <rFont val="Tahoma"/>
            <family val="0"/>
          </rPr>
          <t>Net Rev Calc</t>
        </r>
      </text>
    </comment>
    <comment ref="A45" authorId="0">
      <text>
        <r>
          <rPr>
            <sz val="8"/>
            <rFont val="Tahoma"/>
            <family val="0"/>
          </rPr>
          <t>Net Rev Calc</t>
        </r>
      </text>
    </comment>
    <comment ref="A46" authorId="0">
      <text>
        <r>
          <rPr>
            <sz val="8"/>
            <rFont val="Tahoma"/>
            <family val="0"/>
          </rPr>
          <t>Net Rev Calc</t>
        </r>
      </text>
    </comment>
    <comment ref="A47" authorId="0">
      <text>
        <r>
          <rPr>
            <sz val="8"/>
            <rFont val="Tahoma"/>
            <family val="0"/>
          </rPr>
          <t>Net Rev Calc</t>
        </r>
      </text>
    </comment>
    <comment ref="A48" authorId="0">
      <text>
        <r>
          <rPr>
            <sz val="8"/>
            <rFont val="Tahoma"/>
            <family val="0"/>
          </rPr>
          <t>Net Rev Calc</t>
        </r>
      </text>
    </comment>
    <comment ref="A49" authorId="0">
      <text>
        <r>
          <rPr>
            <sz val="8"/>
            <rFont val="Tahoma"/>
            <family val="0"/>
          </rPr>
          <t>Net Rev Calc</t>
        </r>
      </text>
    </comment>
    <comment ref="A50" authorId="0">
      <text>
        <r>
          <rPr>
            <sz val="8"/>
            <rFont val="Tahoma"/>
            <family val="0"/>
          </rPr>
          <t>Net Rev Calc</t>
        </r>
      </text>
    </comment>
    <comment ref="A51" authorId="0">
      <text>
        <r>
          <rPr>
            <sz val="8"/>
            <rFont val="Tahoma"/>
            <family val="0"/>
          </rPr>
          <t>Net Rev Calc</t>
        </r>
      </text>
    </comment>
    <comment ref="A52" authorId="0">
      <text>
        <r>
          <rPr>
            <sz val="8"/>
            <rFont val="Tahoma"/>
            <family val="0"/>
          </rPr>
          <t>Net Rev Calc</t>
        </r>
      </text>
    </comment>
    <comment ref="A53" authorId="0">
      <text>
        <r>
          <rPr>
            <sz val="8"/>
            <rFont val="Tahoma"/>
            <family val="0"/>
          </rPr>
          <t>Net Rev Calc</t>
        </r>
      </text>
    </comment>
    <comment ref="A54" authorId="0">
      <text>
        <r>
          <rPr>
            <sz val="8"/>
            <rFont val="Tahoma"/>
            <family val="0"/>
          </rPr>
          <t>Net Rev Calc</t>
        </r>
      </text>
    </comment>
    <comment ref="A55" authorId="0">
      <text>
        <r>
          <rPr>
            <sz val="8"/>
            <rFont val="Tahoma"/>
            <family val="0"/>
          </rPr>
          <t>Net Rev Calc</t>
        </r>
      </text>
    </comment>
    <comment ref="A56" authorId="0">
      <text>
        <r>
          <rPr>
            <sz val="8"/>
            <rFont val="Tahoma"/>
            <family val="0"/>
          </rPr>
          <t>Net Rev Calc</t>
        </r>
      </text>
    </comment>
    <comment ref="A57" authorId="0">
      <text>
        <r>
          <rPr>
            <sz val="8"/>
            <rFont val="Tahoma"/>
            <family val="0"/>
          </rPr>
          <t>Net Rev Calc</t>
        </r>
      </text>
    </comment>
    <comment ref="A58" authorId="0">
      <text>
        <r>
          <rPr>
            <sz val="8"/>
            <rFont val="Tahoma"/>
            <family val="0"/>
          </rPr>
          <t>Net Rev Calc</t>
        </r>
      </text>
    </comment>
    <comment ref="A59" authorId="0">
      <text>
        <r>
          <rPr>
            <sz val="8"/>
            <rFont val="Tahoma"/>
            <family val="0"/>
          </rPr>
          <t>Net Rev Calc</t>
        </r>
      </text>
    </comment>
    <comment ref="A60" authorId="0">
      <text>
        <r>
          <rPr>
            <sz val="8"/>
            <rFont val="Tahoma"/>
            <family val="0"/>
          </rPr>
          <t>Net Rev Calc</t>
        </r>
      </text>
    </comment>
    <comment ref="A61" authorId="0">
      <text>
        <r>
          <rPr>
            <sz val="8"/>
            <rFont val="Tahoma"/>
            <family val="0"/>
          </rPr>
          <t>Net Rev Calc</t>
        </r>
      </text>
    </comment>
    <comment ref="A62" authorId="0">
      <text>
        <r>
          <rPr>
            <sz val="8"/>
            <rFont val="Tahoma"/>
            <family val="0"/>
          </rPr>
          <t>Net Rev Calc</t>
        </r>
      </text>
    </comment>
    <comment ref="A63" authorId="0">
      <text>
        <r>
          <rPr>
            <sz val="8"/>
            <rFont val="Tahoma"/>
            <family val="0"/>
          </rPr>
          <t>Net Rev Calc</t>
        </r>
      </text>
    </comment>
    <comment ref="A64" authorId="0">
      <text>
        <r>
          <rPr>
            <sz val="8"/>
            <rFont val="Tahoma"/>
            <family val="0"/>
          </rPr>
          <t>Net Rev Calc</t>
        </r>
      </text>
    </comment>
    <comment ref="A65" authorId="0">
      <text>
        <r>
          <rPr>
            <sz val="8"/>
            <rFont val="Tahoma"/>
            <family val="0"/>
          </rPr>
          <t>Net Rev Calc</t>
        </r>
      </text>
    </comment>
    <comment ref="A66" authorId="0">
      <text>
        <r>
          <rPr>
            <sz val="8"/>
            <rFont val="Tahoma"/>
            <family val="0"/>
          </rPr>
          <t>Net Rev Calc</t>
        </r>
      </text>
    </comment>
    <comment ref="A67" authorId="0">
      <text>
        <r>
          <rPr>
            <sz val="8"/>
            <rFont val="Tahoma"/>
            <family val="0"/>
          </rPr>
          <t>Net Rev Calc</t>
        </r>
      </text>
    </comment>
    <comment ref="A68" authorId="0">
      <text>
        <r>
          <rPr>
            <sz val="8"/>
            <rFont val="Tahoma"/>
            <family val="0"/>
          </rPr>
          <t>Net Rev Calc</t>
        </r>
      </text>
    </comment>
    <comment ref="A69" authorId="0">
      <text>
        <r>
          <rPr>
            <sz val="8"/>
            <rFont val="Tahoma"/>
            <family val="0"/>
          </rPr>
          <t>Net Rev Calc</t>
        </r>
      </text>
    </comment>
    <comment ref="A70" authorId="0">
      <text>
        <r>
          <rPr>
            <sz val="8"/>
            <rFont val="Tahoma"/>
            <family val="0"/>
          </rPr>
          <t>Net Rev Calc</t>
        </r>
      </text>
    </comment>
    <comment ref="A71" authorId="0">
      <text>
        <r>
          <rPr>
            <sz val="8"/>
            <rFont val="Tahoma"/>
            <family val="0"/>
          </rPr>
          <t>Net Rev Calc</t>
        </r>
      </text>
    </comment>
    <comment ref="A72" authorId="0">
      <text>
        <r>
          <rPr>
            <sz val="8"/>
            <rFont val="Tahoma"/>
            <family val="0"/>
          </rPr>
          <t>Net Rev Calc</t>
        </r>
      </text>
    </comment>
    <comment ref="A73" authorId="0">
      <text>
        <r>
          <rPr>
            <sz val="8"/>
            <rFont val="Tahoma"/>
            <family val="0"/>
          </rPr>
          <t>Net Rev Calc</t>
        </r>
      </text>
    </comment>
    <comment ref="A74" authorId="0">
      <text>
        <r>
          <rPr>
            <sz val="8"/>
            <rFont val="Tahoma"/>
            <family val="0"/>
          </rPr>
          <t>Net Rev Calc</t>
        </r>
      </text>
    </comment>
    <comment ref="A75" authorId="0">
      <text>
        <r>
          <rPr>
            <sz val="8"/>
            <rFont val="Tahoma"/>
            <family val="0"/>
          </rPr>
          <t>Net Rev Calc</t>
        </r>
      </text>
    </comment>
    <comment ref="A76" authorId="0">
      <text>
        <r>
          <rPr>
            <sz val="8"/>
            <rFont val="Tahoma"/>
            <family val="0"/>
          </rPr>
          <t>Net Rev Calc</t>
        </r>
      </text>
    </comment>
    <comment ref="A77" authorId="0">
      <text>
        <r>
          <rPr>
            <sz val="8"/>
            <rFont val="Tahoma"/>
            <family val="0"/>
          </rPr>
          <t>Net Rev Calc</t>
        </r>
      </text>
    </comment>
    <comment ref="A78" authorId="0">
      <text>
        <r>
          <rPr>
            <sz val="8"/>
            <rFont val="Tahoma"/>
            <family val="0"/>
          </rPr>
          <t>Net Rev Calc</t>
        </r>
      </text>
    </comment>
    <comment ref="A79" authorId="0">
      <text>
        <r>
          <rPr>
            <sz val="8"/>
            <rFont val="Tahoma"/>
            <family val="0"/>
          </rPr>
          <t>Net Rev Calc</t>
        </r>
      </text>
    </comment>
    <comment ref="A80" authorId="0">
      <text>
        <r>
          <rPr>
            <sz val="8"/>
            <rFont val="Tahoma"/>
            <family val="0"/>
          </rPr>
          <t>Net Rev Calc</t>
        </r>
      </text>
    </comment>
    <comment ref="A81" authorId="0">
      <text>
        <r>
          <rPr>
            <sz val="8"/>
            <rFont val="Tahoma"/>
            <family val="0"/>
          </rPr>
          <t>Net Rev Calc</t>
        </r>
      </text>
    </comment>
    <comment ref="A82" authorId="0">
      <text>
        <r>
          <rPr>
            <sz val="8"/>
            <rFont val="Tahoma"/>
            <family val="0"/>
          </rPr>
          <t>Net Rev Calc</t>
        </r>
      </text>
    </comment>
    <comment ref="A83" authorId="0">
      <text>
        <r>
          <rPr>
            <sz val="8"/>
            <rFont val="Tahoma"/>
            <family val="0"/>
          </rPr>
          <t>Net Rev Calc</t>
        </r>
      </text>
    </comment>
    <comment ref="A84" authorId="0">
      <text>
        <r>
          <rPr>
            <sz val="8"/>
            <rFont val="Tahoma"/>
            <family val="0"/>
          </rPr>
          <t>Net Rev Calc</t>
        </r>
      </text>
    </comment>
    <comment ref="A85" authorId="0">
      <text>
        <r>
          <rPr>
            <sz val="8"/>
            <rFont val="Tahoma"/>
            <family val="0"/>
          </rPr>
          <t>Net Rev Calc</t>
        </r>
      </text>
    </comment>
    <comment ref="A86" authorId="0">
      <text>
        <r>
          <rPr>
            <sz val="8"/>
            <rFont val="Tahoma"/>
            <family val="0"/>
          </rPr>
          <t>Net Rev Calc</t>
        </r>
      </text>
    </comment>
    <comment ref="A87" authorId="0">
      <text>
        <r>
          <rPr>
            <sz val="8"/>
            <rFont val="Tahoma"/>
            <family val="0"/>
          </rPr>
          <t>Net Rev Calc</t>
        </r>
      </text>
    </comment>
    <comment ref="A88" authorId="0">
      <text>
        <r>
          <rPr>
            <sz val="8"/>
            <rFont val="Tahoma"/>
            <family val="0"/>
          </rPr>
          <t>Net Rev Calc</t>
        </r>
      </text>
    </comment>
    <comment ref="A89" authorId="0">
      <text>
        <r>
          <rPr>
            <sz val="8"/>
            <rFont val="Tahoma"/>
            <family val="0"/>
          </rPr>
          <t>Net Rev Calc</t>
        </r>
      </text>
    </comment>
    <comment ref="A90" authorId="0">
      <text>
        <r>
          <rPr>
            <sz val="8"/>
            <rFont val="Tahoma"/>
            <family val="0"/>
          </rPr>
          <t>Net Rev Calc</t>
        </r>
      </text>
    </comment>
    <comment ref="A91" authorId="0">
      <text>
        <r>
          <rPr>
            <sz val="8"/>
            <rFont val="Tahoma"/>
            <family val="0"/>
          </rPr>
          <t>Net Rev Calc</t>
        </r>
      </text>
    </comment>
    <comment ref="A92" authorId="0">
      <text>
        <r>
          <rPr>
            <sz val="8"/>
            <rFont val="Tahoma"/>
            <family val="0"/>
          </rPr>
          <t>Net Rev Calc</t>
        </r>
      </text>
    </comment>
    <comment ref="A93" authorId="0">
      <text>
        <r>
          <rPr>
            <sz val="8"/>
            <rFont val="Tahoma"/>
            <family val="0"/>
          </rPr>
          <t>Net Rev Calc</t>
        </r>
      </text>
    </comment>
    <comment ref="A94" authorId="0">
      <text>
        <r>
          <rPr>
            <sz val="8"/>
            <rFont val="Tahoma"/>
            <family val="0"/>
          </rPr>
          <t>Net Rev Calc</t>
        </r>
      </text>
    </comment>
    <comment ref="A95" authorId="0">
      <text>
        <r>
          <rPr>
            <sz val="8"/>
            <rFont val="Tahoma"/>
            <family val="0"/>
          </rPr>
          <t>Net Rev Calc</t>
        </r>
      </text>
    </comment>
    <comment ref="A96" authorId="0">
      <text>
        <r>
          <rPr>
            <sz val="8"/>
            <rFont val="Tahoma"/>
            <family val="0"/>
          </rPr>
          <t>Net Rev Calc</t>
        </r>
      </text>
    </comment>
    <comment ref="A97" authorId="0">
      <text>
        <r>
          <rPr>
            <sz val="8"/>
            <rFont val="Tahoma"/>
            <family val="0"/>
          </rPr>
          <t>Net Rev Calc</t>
        </r>
      </text>
    </comment>
    <comment ref="A98" authorId="0">
      <text>
        <r>
          <rPr>
            <sz val="8"/>
            <rFont val="Tahoma"/>
            <family val="0"/>
          </rPr>
          <t>Net Rev Calc</t>
        </r>
      </text>
    </comment>
    <comment ref="A99" authorId="0">
      <text>
        <r>
          <rPr>
            <sz val="8"/>
            <rFont val="Tahoma"/>
            <family val="0"/>
          </rPr>
          <t>Net Rev Calc</t>
        </r>
      </text>
    </comment>
    <comment ref="A100" authorId="0">
      <text>
        <r>
          <rPr>
            <sz val="8"/>
            <rFont val="Tahoma"/>
            <family val="0"/>
          </rPr>
          <t>Net Rev Calc</t>
        </r>
      </text>
    </comment>
    <comment ref="A101" authorId="0">
      <text>
        <r>
          <rPr>
            <sz val="8"/>
            <rFont val="Tahoma"/>
            <family val="0"/>
          </rPr>
          <t>Net Rev Calc</t>
        </r>
      </text>
    </comment>
    <comment ref="A102" authorId="0">
      <text>
        <r>
          <rPr>
            <sz val="8"/>
            <rFont val="Tahoma"/>
            <family val="0"/>
          </rPr>
          <t>Net Rev Calc</t>
        </r>
      </text>
    </comment>
    <comment ref="A103" authorId="0">
      <text>
        <r>
          <rPr>
            <sz val="8"/>
            <rFont val="Tahoma"/>
            <family val="0"/>
          </rPr>
          <t>Net Rev Calc</t>
        </r>
      </text>
    </comment>
    <comment ref="A104" authorId="0">
      <text>
        <r>
          <rPr>
            <sz val="8"/>
            <rFont val="Tahoma"/>
            <family val="0"/>
          </rPr>
          <t>Net Rev Calc</t>
        </r>
      </text>
    </comment>
    <comment ref="A105" authorId="0">
      <text>
        <r>
          <rPr>
            <sz val="8"/>
            <rFont val="Tahoma"/>
            <family val="0"/>
          </rPr>
          <t>Net Rev Calc</t>
        </r>
      </text>
    </comment>
    <comment ref="A106" authorId="0">
      <text>
        <r>
          <rPr>
            <sz val="8"/>
            <rFont val="Tahoma"/>
            <family val="0"/>
          </rPr>
          <t>Net Rev Calc</t>
        </r>
      </text>
    </comment>
    <comment ref="A107" authorId="0">
      <text>
        <r>
          <rPr>
            <sz val="8"/>
            <rFont val="Tahoma"/>
            <family val="0"/>
          </rPr>
          <t>Net Rev Calc</t>
        </r>
      </text>
    </comment>
    <comment ref="A108" authorId="0">
      <text>
        <r>
          <rPr>
            <sz val="8"/>
            <rFont val="Tahoma"/>
            <family val="0"/>
          </rPr>
          <t>Net Rev Calc</t>
        </r>
      </text>
    </comment>
    <comment ref="A109" authorId="0">
      <text>
        <r>
          <rPr>
            <sz val="8"/>
            <rFont val="Tahoma"/>
            <family val="0"/>
          </rPr>
          <t>Net Rev Calc</t>
        </r>
      </text>
    </comment>
    <comment ref="A110" authorId="0">
      <text>
        <r>
          <rPr>
            <sz val="8"/>
            <rFont val="Tahoma"/>
            <family val="0"/>
          </rPr>
          <t>Net Rev Calc</t>
        </r>
      </text>
    </comment>
    <comment ref="A111" authorId="0">
      <text>
        <r>
          <rPr>
            <sz val="8"/>
            <rFont val="Tahoma"/>
            <family val="0"/>
          </rPr>
          <t>Net Rev Calc</t>
        </r>
      </text>
    </comment>
    <comment ref="A112" authorId="0">
      <text>
        <r>
          <rPr>
            <sz val="8"/>
            <rFont val="Tahoma"/>
            <family val="0"/>
          </rPr>
          <t>Net Rev Calc</t>
        </r>
      </text>
    </comment>
    <comment ref="A113" authorId="0">
      <text>
        <r>
          <rPr>
            <sz val="8"/>
            <rFont val="Tahoma"/>
            <family val="0"/>
          </rPr>
          <t>Net Rev Calc</t>
        </r>
      </text>
    </comment>
    <comment ref="A114" authorId="0">
      <text>
        <r>
          <rPr>
            <sz val="8"/>
            <rFont val="Tahoma"/>
            <family val="0"/>
          </rPr>
          <t>Net Rev Calc</t>
        </r>
      </text>
    </comment>
    <comment ref="A115" authorId="0">
      <text>
        <r>
          <rPr>
            <sz val="8"/>
            <rFont val="Tahoma"/>
            <family val="0"/>
          </rPr>
          <t>Net Rev Calc</t>
        </r>
      </text>
    </comment>
    <comment ref="A116" authorId="0">
      <text>
        <r>
          <rPr>
            <sz val="8"/>
            <rFont val="Tahoma"/>
            <family val="0"/>
          </rPr>
          <t>Net Rev Calc</t>
        </r>
      </text>
    </comment>
    <comment ref="A117" authorId="0">
      <text>
        <r>
          <rPr>
            <sz val="8"/>
            <rFont val="Tahoma"/>
            <family val="0"/>
          </rPr>
          <t>Net Rev Calc</t>
        </r>
      </text>
    </comment>
    <comment ref="A118" authorId="0">
      <text>
        <r>
          <rPr>
            <sz val="8"/>
            <rFont val="Tahoma"/>
            <family val="0"/>
          </rPr>
          <t>Net Rev Calc</t>
        </r>
      </text>
    </comment>
    <comment ref="A119" authorId="0">
      <text>
        <r>
          <rPr>
            <sz val="8"/>
            <rFont val="Tahoma"/>
            <family val="0"/>
          </rPr>
          <t>Net Rev Calc</t>
        </r>
      </text>
    </comment>
    <comment ref="A120" authorId="0">
      <text>
        <r>
          <rPr>
            <sz val="8"/>
            <rFont val="Tahoma"/>
            <family val="0"/>
          </rPr>
          <t>Net Rev Calc</t>
        </r>
      </text>
    </comment>
    <comment ref="A121" authorId="0">
      <text>
        <r>
          <rPr>
            <sz val="8"/>
            <rFont val="Tahoma"/>
            <family val="0"/>
          </rPr>
          <t>Net Rev Calc</t>
        </r>
      </text>
    </comment>
    <comment ref="A122" authorId="0">
      <text>
        <r>
          <rPr>
            <sz val="8"/>
            <rFont val="Tahoma"/>
            <family val="0"/>
          </rPr>
          <t>Net Rev Calc</t>
        </r>
      </text>
    </comment>
    <comment ref="A123" authorId="0">
      <text>
        <r>
          <rPr>
            <sz val="8"/>
            <rFont val="Tahoma"/>
            <family val="0"/>
          </rPr>
          <t>Net Rev Calc</t>
        </r>
      </text>
    </comment>
    <comment ref="A124" authorId="0">
      <text>
        <r>
          <rPr>
            <sz val="8"/>
            <rFont val="Tahoma"/>
            <family val="0"/>
          </rPr>
          <t>Net Rev Calc</t>
        </r>
      </text>
    </comment>
    <comment ref="A129" authorId="0">
      <text>
        <r>
          <rPr>
            <sz val="8"/>
            <rFont val="Tahoma"/>
            <family val="0"/>
          </rPr>
          <t>Net Rev Calc</t>
        </r>
      </text>
    </comment>
    <comment ref="A130" authorId="0">
      <text>
        <r>
          <rPr>
            <sz val="8"/>
            <rFont val="Tahoma"/>
            <family val="0"/>
          </rPr>
          <t>Net Rev Calc</t>
        </r>
      </text>
    </comment>
    <comment ref="A131" authorId="0">
      <text>
        <r>
          <rPr>
            <sz val="8"/>
            <rFont val="Tahoma"/>
            <family val="0"/>
          </rPr>
          <t>Net Rev Calc</t>
        </r>
      </text>
    </comment>
    <comment ref="A132" authorId="0">
      <text>
        <r>
          <rPr>
            <sz val="8"/>
            <rFont val="Tahoma"/>
            <family val="0"/>
          </rPr>
          <t>Net Rev Calc</t>
        </r>
      </text>
    </comment>
    <comment ref="A133" authorId="0">
      <text>
        <r>
          <rPr>
            <sz val="8"/>
            <rFont val="Tahoma"/>
            <family val="0"/>
          </rPr>
          <t>Net Rev Calc</t>
        </r>
      </text>
    </comment>
    <comment ref="A134" authorId="0">
      <text>
        <r>
          <rPr>
            <sz val="8"/>
            <rFont val="Tahoma"/>
            <family val="0"/>
          </rPr>
          <t>Net Rev Calc</t>
        </r>
      </text>
    </comment>
    <comment ref="A135" authorId="0">
      <text>
        <r>
          <rPr>
            <sz val="8"/>
            <rFont val="Tahoma"/>
            <family val="0"/>
          </rPr>
          <t>Net Rev Calc</t>
        </r>
      </text>
    </comment>
    <comment ref="A136" authorId="0">
      <text>
        <r>
          <rPr>
            <sz val="8"/>
            <rFont val="Tahoma"/>
            <family val="0"/>
          </rPr>
          <t>Net Rev Calc</t>
        </r>
      </text>
    </comment>
    <comment ref="A137" authorId="0">
      <text>
        <r>
          <rPr>
            <sz val="8"/>
            <rFont val="Tahoma"/>
            <family val="0"/>
          </rPr>
          <t>Net Rev Calc</t>
        </r>
      </text>
    </comment>
    <comment ref="A138" authorId="0">
      <text>
        <r>
          <rPr>
            <sz val="8"/>
            <rFont val="Tahoma"/>
            <family val="0"/>
          </rPr>
          <t>Net Rev Calc</t>
        </r>
      </text>
    </comment>
    <comment ref="A139" authorId="0">
      <text>
        <r>
          <rPr>
            <sz val="8"/>
            <rFont val="Tahoma"/>
            <family val="0"/>
          </rPr>
          <t>Net Rev Calc</t>
        </r>
      </text>
    </comment>
    <comment ref="A140" authorId="0">
      <text>
        <r>
          <rPr>
            <sz val="8"/>
            <rFont val="Tahoma"/>
            <family val="0"/>
          </rPr>
          <t>Net Rev Calc</t>
        </r>
      </text>
    </comment>
    <comment ref="A141" authorId="0">
      <text>
        <r>
          <rPr>
            <sz val="8"/>
            <rFont val="Tahoma"/>
            <family val="0"/>
          </rPr>
          <t>Net Rev Calc</t>
        </r>
      </text>
    </comment>
    <comment ref="A142" authorId="0">
      <text>
        <r>
          <rPr>
            <sz val="8"/>
            <rFont val="Tahoma"/>
            <family val="0"/>
          </rPr>
          <t>Net Rev Calc</t>
        </r>
      </text>
    </comment>
    <comment ref="A143" authorId="0">
      <text>
        <r>
          <rPr>
            <sz val="8"/>
            <rFont val="Tahoma"/>
            <family val="0"/>
          </rPr>
          <t>Net Rev Calc</t>
        </r>
      </text>
    </comment>
    <comment ref="A144" authorId="0">
      <text>
        <r>
          <rPr>
            <sz val="8"/>
            <rFont val="Tahoma"/>
            <family val="0"/>
          </rPr>
          <t>Net Rev Calc</t>
        </r>
      </text>
    </comment>
    <comment ref="A145" authorId="0">
      <text>
        <r>
          <rPr>
            <sz val="8"/>
            <rFont val="Tahoma"/>
            <family val="0"/>
          </rPr>
          <t>Net Rev Calc</t>
        </r>
      </text>
    </comment>
    <comment ref="A146" authorId="0">
      <text>
        <r>
          <rPr>
            <sz val="8"/>
            <rFont val="Tahoma"/>
            <family val="0"/>
          </rPr>
          <t>Net Rev Calc</t>
        </r>
      </text>
    </comment>
    <comment ref="A147" authorId="0">
      <text>
        <r>
          <rPr>
            <sz val="8"/>
            <rFont val="Tahoma"/>
            <family val="0"/>
          </rPr>
          <t>Net Rev Calc</t>
        </r>
      </text>
    </comment>
    <comment ref="A148" authorId="0">
      <text>
        <r>
          <rPr>
            <sz val="8"/>
            <rFont val="Tahoma"/>
            <family val="0"/>
          </rPr>
          <t>Net Rev Calc</t>
        </r>
      </text>
    </comment>
    <comment ref="A149" authorId="0">
      <text>
        <r>
          <rPr>
            <sz val="8"/>
            <rFont val="Tahoma"/>
            <family val="0"/>
          </rPr>
          <t>Net Rev Calc</t>
        </r>
      </text>
    </comment>
    <comment ref="A150" authorId="0">
      <text>
        <r>
          <rPr>
            <sz val="8"/>
            <rFont val="Tahoma"/>
            <family val="0"/>
          </rPr>
          <t>Net Rev Calc</t>
        </r>
      </text>
    </comment>
    <comment ref="A153" authorId="0">
      <text>
        <r>
          <rPr>
            <sz val="8"/>
            <rFont val="Tahoma"/>
            <family val="0"/>
          </rPr>
          <t>Net Rev Calc</t>
        </r>
      </text>
    </comment>
    <comment ref="A154" authorId="0">
      <text>
        <r>
          <rPr>
            <sz val="8"/>
            <rFont val="Tahoma"/>
            <family val="0"/>
          </rPr>
          <t>Net Rev Calc</t>
        </r>
      </text>
    </comment>
    <comment ref="A151" authorId="0">
      <text>
        <r>
          <rPr>
            <sz val="8"/>
            <rFont val="Tahoma"/>
            <family val="0"/>
          </rPr>
          <t>Net Rev Calc</t>
        </r>
      </text>
    </comment>
    <comment ref="A10" authorId="0">
      <text>
        <r>
          <rPr>
            <sz val="8"/>
            <rFont val="Tahoma"/>
            <family val="0"/>
          </rPr>
          <t>Net Rev Calc</t>
        </r>
      </text>
    </comment>
    <comment ref="A11" authorId="0">
      <text>
        <r>
          <rPr>
            <sz val="8"/>
            <rFont val="Tahoma"/>
            <family val="0"/>
          </rPr>
          <t>Net Rev Calc</t>
        </r>
      </text>
    </comment>
    <comment ref="A12" authorId="0">
      <text>
        <r>
          <rPr>
            <sz val="8"/>
            <rFont val="Tahoma"/>
            <family val="0"/>
          </rPr>
          <t>Net Rev Calc</t>
        </r>
      </text>
    </comment>
    <comment ref="A13" authorId="0">
      <text>
        <r>
          <rPr>
            <sz val="8"/>
            <rFont val="Tahoma"/>
            <family val="0"/>
          </rPr>
          <t>Net Rev Calc</t>
        </r>
      </text>
    </comment>
    <comment ref="A14" authorId="0">
      <text>
        <r>
          <rPr>
            <sz val="8"/>
            <rFont val="Tahoma"/>
            <family val="0"/>
          </rPr>
          <t>Net Rev Calc</t>
        </r>
      </text>
    </comment>
    <comment ref="A24" authorId="0">
      <text>
        <r>
          <rPr>
            <sz val="8"/>
            <rFont val="Tahoma"/>
            <family val="0"/>
          </rPr>
          <t>Net Rev Calc</t>
        </r>
      </text>
    </comment>
    <comment ref="A25" authorId="0">
      <text>
        <r>
          <rPr>
            <sz val="8"/>
            <rFont val="Tahoma"/>
            <family val="0"/>
          </rPr>
          <t>Net Rev Calc</t>
        </r>
      </text>
    </comment>
    <comment ref="A26" authorId="0">
      <text>
        <r>
          <rPr>
            <sz val="8"/>
            <rFont val="Tahoma"/>
            <family val="0"/>
          </rPr>
          <t>Net Rev Calc</t>
        </r>
      </text>
    </comment>
    <comment ref="A27" authorId="0">
      <text>
        <r>
          <rPr>
            <sz val="8"/>
            <rFont val="Tahoma"/>
            <family val="0"/>
          </rPr>
          <t>Net Rev Calc</t>
        </r>
      </text>
    </comment>
    <comment ref="A28" authorId="0">
      <text>
        <r>
          <rPr>
            <sz val="8"/>
            <rFont val="Tahoma"/>
            <family val="0"/>
          </rPr>
          <t>Net Rev Calc</t>
        </r>
      </text>
    </comment>
    <comment ref="A29" authorId="0">
      <text>
        <r>
          <rPr>
            <sz val="8"/>
            <rFont val="Tahoma"/>
            <family val="0"/>
          </rPr>
          <t>Net Rev Calc</t>
        </r>
      </text>
    </comment>
    <comment ref="A30" authorId="0">
      <text>
        <r>
          <rPr>
            <sz val="8"/>
            <rFont val="Tahoma"/>
            <family val="0"/>
          </rPr>
          <t>Net Rev Calc</t>
        </r>
      </text>
    </comment>
    <comment ref="A31" authorId="0">
      <text>
        <r>
          <rPr>
            <sz val="8"/>
            <rFont val="Tahoma"/>
            <family val="0"/>
          </rPr>
          <t>Net Rev Calc</t>
        </r>
      </text>
    </comment>
    <comment ref="A125" authorId="0">
      <text>
        <r>
          <rPr>
            <sz val="8"/>
            <rFont val="Tahoma"/>
            <family val="0"/>
          </rPr>
          <t>Net Rev Calc</t>
        </r>
      </text>
    </comment>
    <comment ref="A126" authorId="0">
      <text>
        <r>
          <rPr>
            <sz val="8"/>
            <rFont val="Tahoma"/>
            <family val="0"/>
          </rPr>
          <t>Net Rev Calc</t>
        </r>
      </text>
    </comment>
    <comment ref="A127" authorId="0">
      <text>
        <r>
          <rPr>
            <sz val="8"/>
            <rFont val="Tahoma"/>
            <family val="0"/>
          </rPr>
          <t>Net Rev Calc</t>
        </r>
      </text>
    </comment>
    <comment ref="A128" authorId="0">
      <text>
        <r>
          <rPr>
            <sz val="8"/>
            <rFont val="Tahoma"/>
            <family val="0"/>
          </rPr>
          <t>Net Rev Calc</t>
        </r>
      </text>
    </comment>
    <comment ref="A152" authorId="0">
      <text>
        <r>
          <rPr>
            <sz val="8"/>
            <rFont val="Tahoma"/>
            <family val="0"/>
          </rPr>
          <t>Net Rev Calc</t>
        </r>
      </text>
    </comment>
    <comment ref="A1" authorId="1">
      <text>
        <r>
          <rPr>
            <sz val="8"/>
            <rFont val="Tahoma"/>
            <family val="0"/>
          </rPr>
          <t xml:space="preserve">Adaytum2
TYP=V
SVR=
LIB=Five Yr Plan
CBE=5 Yr Op Rev Calc
FGD=Y
BGD=Y
FGL=Y
BGL=N
SUP=N
BBF=N
NTS=Y
VAL=Y
RHD=N
LCK=N
RFH=N
BBK=Y
OVF=N
IAB=N
BAZ=N
EAZ=N
RGP=adaytum_page_1
RGR=adaytum_row_1
RGC=adaytum_col_1
RGD=adaytum_data_1
P01=5 yr Scenarios
P02=Periods
P03=5 Year Plan
R01=Net Rev Calc
C01=Div to Reg - CO 01 (WF)
VID=1A03971632D963C0
CHK=647302767
SLO=D
SLD=NNNNN
</t>
        </r>
      </text>
    </comment>
  </commentList>
</comments>
</file>

<file path=xl/comments7.xml><?xml version="1.0" encoding="utf-8"?>
<comments xmlns="http://schemas.openxmlformats.org/spreadsheetml/2006/main">
  <authors>
    <author>Sue Richards</author>
    <author>Paul Higgins</author>
  </authors>
  <commentList>
    <comment ref="A2" authorId="0">
      <text>
        <r>
          <rPr>
            <sz val="8"/>
            <rFont val="Tahoma"/>
            <family val="0"/>
          </rPr>
          <t>5 yr Scenarios</t>
        </r>
      </text>
    </comment>
    <comment ref="B2" authorId="0">
      <text>
        <r>
          <rPr>
            <sz val="8"/>
            <rFont val="Tahoma"/>
            <family val="0"/>
          </rPr>
          <t>Periods</t>
        </r>
      </text>
    </comment>
    <comment ref="C2" authorId="0">
      <text>
        <r>
          <rPr>
            <sz val="8"/>
            <rFont val="Tahoma"/>
            <family val="0"/>
          </rPr>
          <t>5 Year Plan</t>
        </r>
      </text>
    </comment>
    <comment ref="A5" authorId="0">
      <text>
        <r>
          <rPr>
            <sz val="8"/>
            <rFont val="Tahoma"/>
            <family val="0"/>
          </rPr>
          <t>Net Rev Calc</t>
        </r>
      </text>
    </comment>
    <comment ref="A6" authorId="0">
      <text>
        <r>
          <rPr>
            <sz val="8"/>
            <rFont val="Tahoma"/>
            <family val="0"/>
          </rPr>
          <t>Net Rev Calc</t>
        </r>
      </text>
    </comment>
    <comment ref="A7" authorId="0">
      <text>
        <r>
          <rPr>
            <sz val="8"/>
            <rFont val="Tahoma"/>
            <family val="0"/>
          </rPr>
          <t>Net Rev Calc</t>
        </r>
      </text>
    </comment>
    <comment ref="A8" authorId="0">
      <text>
        <r>
          <rPr>
            <sz val="8"/>
            <rFont val="Tahoma"/>
            <family val="0"/>
          </rPr>
          <t>Net Rev Calc</t>
        </r>
      </text>
    </comment>
    <comment ref="B4" authorId="0">
      <text>
        <r>
          <rPr>
            <sz val="8"/>
            <rFont val="Tahoma"/>
            <family val="0"/>
          </rPr>
          <t>Div to Reg - CO 01 (WF)</t>
        </r>
      </text>
    </comment>
    <comment ref="C4" authorId="0">
      <text>
        <r>
          <rPr>
            <sz val="8"/>
            <rFont val="Tahoma"/>
            <family val="0"/>
          </rPr>
          <t>Div to Reg - CO 01 (WF)</t>
        </r>
      </text>
    </comment>
    <comment ref="D4" authorId="0">
      <text>
        <r>
          <rPr>
            <sz val="8"/>
            <rFont val="Tahoma"/>
            <family val="0"/>
          </rPr>
          <t>Div to Reg - CO 01 (WF)</t>
        </r>
      </text>
    </comment>
    <comment ref="A9" authorId="0">
      <text>
        <r>
          <rPr>
            <sz val="8"/>
            <rFont val="Tahoma"/>
            <family val="0"/>
          </rPr>
          <t>Net Rev Calc</t>
        </r>
      </text>
    </comment>
    <comment ref="A52" authorId="0">
      <text>
        <r>
          <rPr>
            <sz val="8"/>
            <rFont val="Tahoma"/>
            <family val="0"/>
          </rPr>
          <t>Net Rev Calc</t>
        </r>
      </text>
    </comment>
    <comment ref="A53" authorId="0">
      <text>
        <r>
          <rPr>
            <sz val="8"/>
            <rFont val="Tahoma"/>
            <family val="0"/>
          </rPr>
          <t>Net Rev Calc</t>
        </r>
      </text>
    </comment>
    <comment ref="A54" authorId="0">
      <text>
        <r>
          <rPr>
            <sz val="8"/>
            <rFont val="Tahoma"/>
            <family val="0"/>
          </rPr>
          <t>Net Rev Calc</t>
        </r>
      </text>
    </comment>
    <comment ref="A55" authorId="0">
      <text>
        <r>
          <rPr>
            <sz val="8"/>
            <rFont val="Tahoma"/>
            <family val="0"/>
          </rPr>
          <t>Net Rev Calc</t>
        </r>
      </text>
    </comment>
    <comment ref="A56" authorId="0">
      <text>
        <r>
          <rPr>
            <sz val="8"/>
            <rFont val="Tahoma"/>
            <family val="0"/>
          </rPr>
          <t>Net Rev Calc</t>
        </r>
      </text>
    </comment>
    <comment ref="A57" authorId="0">
      <text>
        <r>
          <rPr>
            <sz val="8"/>
            <rFont val="Tahoma"/>
            <family val="0"/>
          </rPr>
          <t>Net Rev Calc</t>
        </r>
      </text>
    </comment>
    <comment ref="A58" authorId="0">
      <text>
        <r>
          <rPr>
            <sz val="8"/>
            <rFont val="Tahoma"/>
            <family val="0"/>
          </rPr>
          <t>Net Rev Calc</t>
        </r>
      </text>
    </comment>
    <comment ref="A59" authorId="0">
      <text>
        <r>
          <rPr>
            <sz val="8"/>
            <rFont val="Tahoma"/>
            <family val="0"/>
          </rPr>
          <t>Net Rev Calc</t>
        </r>
      </text>
    </comment>
    <comment ref="A60" authorId="0">
      <text>
        <r>
          <rPr>
            <sz val="8"/>
            <rFont val="Tahoma"/>
            <family val="0"/>
          </rPr>
          <t>Net Rev Calc</t>
        </r>
      </text>
    </comment>
    <comment ref="A70" authorId="0">
      <text>
        <r>
          <rPr>
            <sz val="8"/>
            <rFont val="Tahoma"/>
            <family val="0"/>
          </rPr>
          <t>Net Rev Calc</t>
        </r>
      </text>
    </comment>
    <comment ref="A71" authorId="0">
      <text>
        <r>
          <rPr>
            <sz val="8"/>
            <rFont val="Tahoma"/>
            <family val="0"/>
          </rPr>
          <t>Net Rev Calc</t>
        </r>
      </text>
    </comment>
    <comment ref="A72" authorId="0">
      <text>
        <r>
          <rPr>
            <sz val="8"/>
            <rFont val="Tahoma"/>
            <family val="0"/>
          </rPr>
          <t>Net Rev Calc</t>
        </r>
      </text>
    </comment>
    <comment ref="A73" authorId="0">
      <text>
        <r>
          <rPr>
            <sz val="8"/>
            <rFont val="Tahoma"/>
            <family val="0"/>
          </rPr>
          <t>Net Rev Calc</t>
        </r>
      </text>
    </comment>
    <comment ref="A74" authorId="0">
      <text>
        <r>
          <rPr>
            <sz val="8"/>
            <rFont val="Tahoma"/>
            <family val="0"/>
          </rPr>
          <t>Net Rev Calc</t>
        </r>
      </text>
    </comment>
    <comment ref="A75" authorId="0">
      <text>
        <r>
          <rPr>
            <sz val="8"/>
            <rFont val="Tahoma"/>
            <family val="0"/>
          </rPr>
          <t>Net Rev Calc</t>
        </r>
      </text>
    </comment>
    <comment ref="A76" authorId="0">
      <text>
        <r>
          <rPr>
            <sz val="8"/>
            <rFont val="Tahoma"/>
            <family val="0"/>
          </rPr>
          <t>Net Rev Calc</t>
        </r>
      </text>
    </comment>
    <comment ref="A77" authorId="0">
      <text>
        <r>
          <rPr>
            <sz val="8"/>
            <rFont val="Tahoma"/>
            <family val="0"/>
          </rPr>
          <t>Net Rev Calc</t>
        </r>
      </text>
    </comment>
    <comment ref="A78" authorId="0">
      <text>
        <r>
          <rPr>
            <sz val="8"/>
            <rFont val="Tahoma"/>
            <family val="0"/>
          </rPr>
          <t>Net Rev Calc</t>
        </r>
      </text>
    </comment>
    <comment ref="A79" authorId="0">
      <text>
        <r>
          <rPr>
            <sz val="8"/>
            <rFont val="Tahoma"/>
            <family val="0"/>
          </rPr>
          <t>Net Rev Calc</t>
        </r>
      </text>
    </comment>
    <comment ref="A80" authorId="0">
      <text>
        <r>
          <rPr>
            <sz val="8"/>
            <rFont val="Tahoma"/>
            <family val="0"/>
          </rPr>
          <t>Net Rev Calc</t>
        </r>
      </text>
    </comment>
    <comment ref="A81" authorId="0">
      <text>
        <r>
          <rPr>
            <sz val="8"/>
            <rFont val="Tahoma"/>
            <family val="0"/>
          </rPr>
          <t>Net Rev Calc</t>
        </r>
      </text>
    </comment>
    <comment ref="A82" authorId="0">
      <text>
        <r>
          <rPr>
            <sz val="8"/>
            <rFont val="Tahoma"/>
            <family val="0"/>
          </rPr>
          <t>Net Rev Calc</t>
        </r>
      </text>
    </comment>
    <comment ref="A83" authorId="0">
      <text>
        <r>
          <rPr>
            <sz val="8"/>
            <rFont val="Tahoma"/>
            <family val="0"/>
          </rPr>
          <t>Net Rev Calc</t>
        </r>
      </text>
    </comment>
    <comment ref="A84" authorId="0">
      <text>
        <r>
          <rPr>
            <sz val="8"/>
            <rFont val="Tahoma"/>
            <family val="0"/>
          </rPr>
          <t>Net Rev Calc</t>
        </r>
      </text>
    </comment>
    <comment ref="A85" authorId="0">
      <text>
        <r>
          <rPr>
            <sz val="8"/>
            <rFont val="Tahoma"/>
            <family val="0"/>
          </rPr>
          <t>Net Rev Calc</t>
        </r>
      </text>
    </comment>
    <comment ref="A86" authorId="0">
      <text>
        <r>
          <rPr>
            <sz val="8"/>
            <rFont val="Tahoma"/>
            <family val="0"/>
          </rPr>
          <t>Net Rev Calc</t>
        </r>
      </text>
    </comment>
    <comment ref="A87" authorId="0">
      <text>
        <r>
          <rPr>
            <sz val="8"/>
            <rFont val="Tahoma"/>
            <family val="0"/>
          </rPr>
          <t>Net Rev Calc</t>
        </r>
      </text>
    </comment>
    <comment ref="A88" authorId="0">
      <text>
        <r>
          <rPr>
            <sz val="8"/>
            <rFont val="Tahoma"/>
            <family val="0"/>
          </rPr>
          <t>Net Rev Calc</t>
        </r>
      </text>
    </comment>
    <comment ref="A89" authorId="0">
      <text>
        <r>
          <rPr>
            <sz val="8"/>
            <rFont val="Tahoma"/>
            <family val="0"/>
          </rPr>
          <t>Net Rev Calc</t>
        </r>
      </text>
    </comment>
    <comment ref="A90" authorId="0">
      <text>
        <r>
          <rPr>
            <sz val="8"/>
            <rFont val="Tahoma"/>
            <family val="0"/>
          </rPr>
          <t>Net Rev Calc</t>
        </r>
      </text>
    </comment>
    <comment ref="A91" authorId="0">
      <text>
        <r>
          <rPr>
            <sz val="8"/>
            <rFont val="Tahoma"/>
            <family val="0"/>
          </rPr>
          <t>Net Rev Calc</t>
        </r>
      </text>
    </comment>
    <comment ref="A92" authorId="0">
      <text>
        <r>
          <rPr>
            <sz val="8"/>
            <rFont val="Tahoma"/>
            <family val="0"/>
          </rPr>
          <t>Net Rev Calc</t>
        </r>
      </text>
    </comment>
    <comment ref="A93" authorId="0">
      <text>
        <r>
          <rPr>
            <sz val="8"/>
            <rFont val="Tahoma"/>
            <family val="0"/>
          </rPr>
          <t>Net Rev Calc</t>
        </r>
      </text>
    </comment>
    <comment ref="A94" authorId="0">
      <text>
        <r>
          <rPr>
            <sz val="8"/>
            <rFont val="Tahoma"/>
            <family val="0"/>
          </rPr>
          <t>Net Rev Calc</t>
        </r>
      </text>
    </comment>
    <comment ref="A95" authorId="0">
      <text>
        <r>
          <rPr>
            <sz val="8"/>
            <rFont val="Tahoma"/>
            <family val="0"/>
          </rPr>
          <t>Net Rev Calc</t>
        </r>
      </text>
    </comment>
    <comment ref="A96" authorId="0">
      <text>
        <r>
          <rPr>
            <sz val="8"/>
            <rFont val="Tahoma"/>
            <family val="0"/>
          </rPr>
          <t>Net Rev Calc</t>
        </r>
      </text>
    </comment>
    <comment ref="A97" authorId="0">
      <text>
        <r>
          <rPr>
            <sz val="8"/>
            <rFont val="Tahoma"/>
            <family val="0"/>
          </rPr>
          <t>Net Rev Calc</t>
        </r>
      </text>
    </comment>
    <comment ref="A98" authorId="0">
      <text>
        <r>
          <rPr>
            <sz val="8"/>
            <rFont val="Tahoma"/>
            <family val="0"/>
          </rPr>
          <t>Net Rev Calc</t>
        </r>
      </text>
    </comment>
    <comment ref="A99" authorId="0">
      <text>
        <r>
          <rPr>
            <sz val="8"/>
            <rFont val="Tahoma"/>
            <family val="0"/>
          </rPr>
          <t>Net Rev Calc</t>
        </r>
      </text>
    </comment>
    <comment ref="A100" authorId="0">
      <text>
        <r>
          <rPr>
            <sz val="8"/>
            <rFont val="Tahoma"/>
            <family val="0"/>
          </rPr>
          <t>Net Rev Calc</t>
        </r>
      </text>
    </comment>
    <comment ref="A101" authorId="0">
      <text>
        <r>
          <rPr>
            <sz val="8"/>
            <rFont val="Tahoma"/>
            <family val="0"/>
          </rPr>
          <t>Net Rev Calc</t>
        </r>
      </text>
    </comment>
    <comment ref="A102" authorId="0">
      <text>
        <r>
          <rPr>
            <sz val="8"/>
            <rFont val="Tahoma"/>
            <family val="0"/>
          </rPr>
          <t>Net Rev Calc</t>
        </r>
      </text>
    </comment>
    <comment ref="A103" authorId="0">
      <text>
        <r>
          <rPr>
            <sz val="8"/>
            <rFont val="Tahoma"/>
            <family val="0"/>
          </rPr>
          <t>Net Rev Calc</t>
        </r>
      </text>
    </comment>
    <comment ref="A104" authorId="0">
      <text>
        <r>
          <rPr>
            <sz val="8"/>
            <rFont val="Tahoma"/>
            <family val="0"/>
          </rPr>
          <t>Net Rev Calc</t>
        </r>
      </text>
    </comment>
    <comment ref="A105" authorId="0">
      <text>
        <r>
          <rPr>
            <sz val="8"/>
            <rFont val="Tahoma"/>
            <family val="0"/>
          </rPr>
          <t>Net Rev Calc</t>
        </r>
      </text>
    </comment>
    <comment ref="A106" authorId="0">
      <text>
        <r>
          <rPr>
            <sz val="8"/>
            <rFont val="Tahoma"/>
            <family val="0"/>
          </rPr>
          <t>Net Rev Calc</t>
        </r>
      </text>
    </comment>
    <comment ref="A107" authorId="0">
      <text>
        <r>
          <rPr>
            <sz val="8"/>
            <rFont val="Tahoma"/>
            <family val="0"/>
          </rPr>
          <t>Net Rev Calc</t>
        </r>
      </text>
    </comment>
    <comment ref="A108" authorId="0">
      <text>
        <r>
          <rPr>
            <sz val="8"/>
            <rFont val="Tahoma"/>
            <family val="0"/>
          </rPr>
          <t>Net Rev Calc</t>
        </r>
      </text>
    </comment>
    <comment ref="A109" authorId="0">
      <text>
        <r>
          <rPr>
            <sz val="8"/>
            <rFont val="Tahoma"/>
            <family val="0"/>
          </rPr>
          <t>Net Rev Calc</t>
        </r>
      </text>
    </comment>
    <comment ref="A110" authorId="0">
      <text>
        <r>
          <rPr>
            <sz val="8"/>
            <rFont val="Tahoma"/>
            <family val="0"/>
          </rPr>
          <t>Net Rev Calc</t>
        </r>
      </text>
    </comment>
    <comment ref="A111" authorId="0">
      <text>
        <r>
          <rPr>
            <sz val="8"/>
            <rFont val="Tahoma"/>
            <family val="0"/>
          </rPr>
          <t>Net Rev Calc</t>
        </r>
      </text>
    </comment>
    <comment ref="A112" authorId="0">
      <text>
        <r>
          <rPr>
            <sz val="8"/>
            <rFont val="Tahoma"/>
            <family val="0"/>
          </rPr>
          <t>Net Rev Calc</t>
        </r>
      </text>
    </comment>
    <comment ref="A113" authorId="0">
      <text>
        <r>
          <rPr>
            <sz val="8"/>
            <rFont val="Tahoma"/>
            <family val="0"/>
          </rPr>
          <t>Net Rev Calc</t>
        </r>
      </text>
    </comment>
    <comment ref="A114" authorId="0">
      <text>
        <r>
          <rPr>
            <sz val="8"/>
            <rFont val="Tahoma"/>
            <family val="0"/>
          </rPr>
          <t>Net Rev Calc</t>
        </r>
      </text>
    </comment>
    <comment ref="A115" authorId="0">
      <text>
        <r>
          <rPr>
            <sz val="8"/>
            <rFont val="Tahoma"/>
            <family val="0"/>
          </rPr>
          <t>Net Rev Calc</t>
        </r>
      </text>
    </comment>
    <comment ref="A116" authorId="0">
      <text>
        <r>
          <rPr>
            <sz val="8"/>
            <rFont val="Tahoma"/>
            <family val="0"/>
          </rPr>
          <t>Net Rev Calc</t>
        </r>
      </text>
    </comment>
    <comment ref="A117" authorId="0">
      <text>
        <r>
          <rPr>
            <sz val="8"/>
            <rFont val="Tahoma"/>
            <family val="0"/>
          </rPr>
          <t>Net Rev Calc</t>
        </r>
      </text>
    </comment>
    <comment ref="A118" authorId="0">
      <text>
        <r>
          <rPr>
            <sz val="8"/>
            <rFont val="Tahoma"/>
            <family val="0"/>
          </rPr>
          <t>Net Rev Calc</t>
        </r>
      </text>
    </comment>
    <comment ref="A119" authorId="0">
      <text>
        <r>
          <rPr>
            <sz val="8"/>
            <rFont val="Tahoma"/>
            <family val="0"/>
          </rPr>
          <t>Net Rev Calc</t>
        </r>
      </text>
    </comment>
    <comment ref="A120" authorId="0">
      <text>
        <r>
          <rPr>
            <sz val="8"/>
            <rFont val="Tahoma"/>
            <family val="0"/>
          </rPr>
          <t>Net Rev Calc</t>
        </r>
      </text>
    </comment>
    <comment ref="A121" authorId="0">
      <text>
        <r>
          <rPr>
            <sz val="8"/>
            <rFont val="Tahoma"/>
            <family val="0"/>
          </rPr>
          <t>Net Rev Calc</t>
        </r>
      </text>
    </comment>
    <comment ref="A122" authorId="0">
      <text>
        <r>
          <rPr>
            <sz val="8"/>
            <rFont val="Tahoma"/>
            <family val="0"/>
          </rPr>
          <t>Net Rev Calc</t>
        </r>
      </text>
    </comment>
    <comment ref="A123" authorId="0">
      <text>
        <r>
          <rPr>
            <sz val="8"/>
            <rFont val="Tahoma"/>
            <family val="0"/>
          </rPr>
          <t>Net Rev Calc</t>
        </r>
      </text>
    </comment>
    <comment ref="A124" authorId="0">
      <text>
        <r>
          <rPr>
            <sz val="8"/>
            <rFont val="Tahoma"/>
            <family val="0"/>
          </rPr>
          <t>Net Rev Calc</t>
        </r>
      </text>
    </comment>
    <comment ref="A125" authorId="0">
      <text>
        <r>
          <rPr>
            <sz val="8"/>
            <rFont val="Tahoma"/>
            <family val="0"/>
          </rPr>
          <t>Net Rev Calc</t>
        </r>
      </text>
    </comment>
    <comment ref="A126" authorId="0">
      <text>
        <r>
          <rPr>
            <sz val="8"/>
            <rFont val="Tahoma"/>
            <family val="0"/>
          </rPr>
          <t>Net Rev Calc</t>
        </r>
      </text>
    </comment>
    <comment ref="A127" authorId="0">
      <text>
        <r>
          <rPr>
            <sz val="8"/>
            <rFont val="Tahoma"/>
            <family val="0"/>
          </rPr>
          <t>Net Rev Calc</t>
        </r>
      </text>
    </comment>
    <comment ref="A128" authorId="0">
      <text>
        <r>
          <rPr>
            <sz val="8"/>
            <rFont val="Tahoma"/>
            <family val="0"/>
          </rPr>
          <t>Net Rev Calc</t>
        </r>
      </text>
    </comment>
    <comment ref="A129" authorId="0">
      <text>
        <r>
          <rPr>
            <sz val="8"/>
            <rFont val="Tahoma"/>
            <family val="0"/>
          </rPr>
          <t>Net Rev Calc</t>
        </r>
      </text>
    </comment>
    <comment ref="A130" authorId="0">
      <text>
        <r>
          <rPr>
            <sz val="8"/>
            <rFont val="Tahoma"/>
            <family val="0"/>
          </rPr>
          <t>Net Rev Calc</t>
        </r>
      </text>
    </comment>
    <comment ref="A131" authorId="0">
      <text>
        <r>
          <rPr>
            <sz val="8"/>
            <rFont val="Tahoma"/>
            <family val="0"/>
          </rPr>
          <t>Net Rev Calc</t>
        </r>
      </text>
    </comment>
    <comment ref="A132" authorId="0">
      <text>
        <r>
          <rPr>
            <sz val="8"/>
            <rFont val="Tahoma"/>
            <family val="0"/>
          </rPr>
          <t>Net Rev Calc</t>
        </r>
      </text>
    </comment>
    <comment ref="A133" authorId="0">
      <text>
        <r>
          <rPr>
            <sz val="8"/>
            <rFont val="Tahoma"/>
            <family val="0"/>
          </rPr>
          <t>Net Rev Calc</t>
        </r>
      </text>
    </comment>
    <comment ref="A134" authorId="0">
      <text>
        <r>
          <rPr>
            <sz val="8"/>
            <rFont val="Tahoma"/>
            <family val="0"/>
          </rPr>
          <t>Net Rev Calc</t>
        </r>
      </text>
    </comment>
    <comment ref="A135" authorId="0">
      <text>
        <r>
          <rPr>
            <sz val="8"/>
            <rFont val="Tahoma"/>
            <family val="0"/>
          </rPr>
          <t>Net Rev Calc</t>
        </r>
      </text>
    </comment>
    <comment ref="A136" authorId="0">
      <text>
        <r>
          <rPr>
            <sz val="8"/>
            <rFont val="Tahoma"/>
            <family val="0"/>
          </rPr>
          <t>Net Rev Calc</t>
        </r>
      </text>
    </comment>
    <comment ref="A137" authorId="0">
      <text>
        <r>
          <rPr>
            <sz val="8"/>
            <rFont val="Tahoma"/>
            <family val="0"/>
          </rPr>
          <t>Net Rev Calc</t>
        </r>
      </text>
    </comment>
    <comment ref="A138" authorId="0">
      <text>
        <r>
          <rPr>
            <sz val="8"/>
            <rFont val="Tahoma"/>
            <family val="0"/>
          </rPr>
          <t>Net Rev Calc</t>
        </r>
      </text>
    </comment>
    <comment ref="A139" authorId="0">
      <text>
        <r>
          <rPr>
            <sz val="8"/>
            <rFont val="Tahoma"/>
            <family val="0"/>
          </rPr>
          <t>Net Rev Calc</t>
        </r>
      </text>
    </comment>
    <comment ref="A140" authorId="0">
      <text>
        <r>
          <rPr>
            <sz val="8"/>
            <rFont val="Tahoma"/>
            <family val="0"/>
          </rPr>
          <t>Net Rev Calc</t>
        </r>
      </text>
    </comment>
    <comment ref="A141" authorId="0">
      <text>
        <r>
          <rPr>
            <sz val="8"/>
            <rFont val="Tahoma"/>
            <family val="0"/>
          </rPr>
          <t>Net Rev Calc</t>
        </r>
      </text>
    </comment>
    <comment ref="A142" authorId="0">
      <text>
        <r>
          <rPr>
            <sz val="8"/>
            <rFont val="Tahoma"/>
            <family val="0"/>
          </rPr>
          <t>Net Rev Calc</t>
        </r>
      </text>
    </comment>
    <comment ref="A143" authorId="0">
      <text>
        <r>
          <rPr>
            <sz val="8"/>
            <rFont val="Tahoma"/>
            <family val="0"/>
          </rPr>
          <t>Net Rev Calc</t>
        </r>
      </text>
    </comment>
    <comment ref="A144" authorId="0">
      <text>
        <r>
          <rPr>
            <sz val="8"/>
            <rFont val="Tahoma"/>
            <family val="0"/>
          </rPr>
          <t>Net Rev Calc</t>
        </r>
      </text>
    </comment>
    <comment ref="A145" authorId="0">
      <text>
        <r>
          <rPr>
            <sz val="8"/>
            <rFont val="Tahoma"/>
            <family val="0"/>
          </rPr>
          <t>Net Rev Calc</t>
        </r>
      </text>
    </comment>
    <comment ref="A146" authorId="0">
      <text>
        <r>
          <rPr>
            <sz val="8"/>
            <rFont val="Tahoma"/>
            <family val="0"/>
          </rPr>
          <t>Net Rev Calc</t>
        </r>
      </text>
    </comment>
    <comment ref="A147" authorId="0">
      <text>
        <r>
          <rPr>
            <sz val="8"/>
            <rFont val="Tahoma"/>
            <family val="0"/>
          </rPr>
          <t>Net Rev Calc</t>
        </r>
      </text>
    </comment>
    <comment ref="A148" authorId="0">
      <text>
        <r>
          <rPr>
            <sz val="8"/>
            <rFont val="Tahoma"/>
            <family val="0"/>
          </rPr>
          <t>Net Rev Calc</t>
        </r>
      </text>
    </comment>
    <comment ref="A149" authorId="0">
      <text>
        <r>
          <rPr>
            <sz val="8"/>
            <rFont val="Tahoma"/>
            <family val="0"/>
          </rPr>
          <t>Net Rev Calc</t>
        </r>
      </text>
    </comment>
    <comment ref="A150" authorId="0">
      <text>
        <r>
          <rPr>
            <sz val="8"/>
            <rFont val="Tahoma"/>
            <family val="0"/>
          </rPr>
          <t>Net Rev Calc</t>
        </r>
      </text>
    </comment>
    <comment ref="A151" authorId="0">
      <text>
        <r>
          <rPr>
            <sz val="8"/>
            <rFont val="Tahoma"/>
            <family val="0"/>
          </rPr>
          <t>Net Rev Calc</t>
        </r>
      </text>
    </comment>
    <comment ref="A152" authorId="0">
      <text>
        <r>
          <rPr>
            <sz val="8"/>
            <rFont val="Tahoma"/>
            <family val="0"/>
          </rPr>
          <t>Net Rev Calc</t>
        </r>
      </text>
    </comment>
    <comment ref="A153" authorId="0">
      <text>
        <r>
          <rPr>
            <sz val="8"/>
            <rFont val="Tahoma"/>
            <family val="0"/>
          </rPr>
          <t>Net Rev Calc</t>
        </r>
      </text>
    </comment>
    <comment ref="A154" authorId="0">
      <text>
        <r>
          <rPr>
            <sz val="8"/>
            <rFont val="Tahoma"/>
            <family val="0"/>
          </rPr>
          <t>Net Rev Calc</t>
        </r>
      </text>
    </comment>
    <comment ref="A155" authorId="0">
      <text>
        <r>
          <rPr>
            <sz val="8"/>
            <rFont val="Tahoma"/>
            <family val="0"/>
          </rPr>
          <t>Net Rev Calc</t>
        </r>
      </text>
    </comment>
    <comment ref="A156" authorId="0">
      <text>
        <r>
          <rPr>
            <sz val="8"/>
            <rFont val="Tahoma"/>
            <family val="0"/>
          </rPr>
          <t>Net Rev Calc</t>
        </r>
      </text>
    </comment>
    <comment ref="A157" authorId="0">
      <text>
        <r>
          <rPr>
            <sz val="8"/>
            <rFont val="Tahoma"/>
            <family val="0"/>
          </rPr>
          <t>Net Rev Calc</t>
        </r>
      </text>
    </comment>
    <comment ref="A158" authorId="0">
      <text>
        <r>
          <rPr>
            <sz val="8"/>
            <rFont val="Tahoma"/>
            <family val="0"/>
          </rPr>
          <t>Net Rev Calc</t>
        </r>
      </text>
    </comment>
    <comment ref="A159" authorId="0">
      <text>
        <r>
          <rPr>
            <sz val="8"/>
            <rFont val="Tahoma"/>
            <family val="0"/>
          </rPr>
          <t>Net Rev Calc</t>
        </r>
      </text>
    </comment>
    <comment ref="A160" authorId="0">
      <text>
        <r>
          <rPr>
            <sz val="8"/>
            <rFont val="Tahoma"/>
            <family val="0"/>
          </rPr>
          <t>Net Rev Calc</t>
        </r>
      </text>
    </comment>
    <comment ref="A161" authorId="0">
      <text>
        <r>
          <rPr>
            <sz val="8"/>
            <rFont val="Tahoma"/>
            <family val="0"/>
          </rPr>
          <t>Net Rev Calc</t>
        </r>
      </text>
    </comment>
    <comment ref="A162" authorId="0">
      <text>
        <r>
          <rPr>
            <sz val="8"/>
            <rFont val="Tahoma"/>
            <family val="0"/>
          </rPr>
          <t>Net Rev Calc</t>
        </r>
      </text>
    </comment>
    <comment ref="A167" authorId="0">
      <text>
        <r>
          <rPr>
            <sz val="8"/>
            <rFont val="Tahoma"/>
            <family val="0"/>
          </rPr>
          <t>Net Rev Calc</t>
        </r>
      </text>
    </comment>
    <comment ref="A168" authorId="0">
      <text>
        <r>
          <rPr>
            <sz val="8"/>
            <rFont val="Tahoma"/>
            <family val="0"/>
          </rPr>
          <t>Net Rev Calc</t>
        </r>
      </text>
    </comment>
    <comment ref="A169" authorId="0">
      <text>
        <r>
          <rPr>
            <sz val="8"/>
            <rFont val="Tahoma"/>
            <family val="0"/>
          </rPr>
          <t>Net Rev Calc</t>
        </r>
      </text>
    </comment>
    <comment ref="A170" authorId="0">
      <text>
        <r>
          <rPr>
            <sz val="8"/>
            <rFont val="Tahoma"/>
            <family val="0"/>
          </rPr>
          <t>Net Rev Calc</t>
        </r>
      </text>
    </comment>
    <comment ref="A171" authorId="0">
      <text>
        <r>
          <rPr>
            <sz val="8"/>
            <rFont val="Tahoma"/>
            <family val="0"/>
          </rPr>
          <t>Net Rev Calc</t>
        </r>
      </text>
    </comment>
    <comment ref="A172" authorId="0">
      <text>
        <r>
          <rPr>
            <sz val="8"/>
            <rFont val="Tahoma"/>
            <family val="0"/>
          </rPr>
          <t>Net Rev Calc</t>
        </r>
      </text>
    </comment>
    <comment ref="A173" authorId="0">
      <text>
        <r>
          <rPr>
            <sz val="8"/>
            <rFont val="Tahoma"/>
            <family val="0"/>
          </rPr>
          <t>Net Rev Calc</t>
        </r>
      </text>
    </comment>
    <comment ref="A174" authorId="0">
      <text>
        <r>
          <rPr>
            <sz val="8"/>
            <rFont val="Tahoma"/>
            <family val="0"/>
          </rPr>
          <t>Net Rev Calc</t>
        </r>
      </text>
    </comment>
    <comment ref="A175" authorId="0">
      <text>
        <r>
          <rPr>
            <sz val="8"/>
            <rFont val="Tahoma"/>
            <family val="0"/>
          </rPr>
          <t>Net Rev Calc</t>
        </r>
      </text>
    </comment>
    <comment ref="A176" authorId="0">
      <text>
        <r>
          <rPr>
            <sz val="8"/>
            <rFont val="Tahoma"/>
            <family val="0"/>
          </rPr>
          <t>Net Rev Calc</t>
        </r>
      </text>
    </comment>
    <comment ref="A177" authorId="0">
      <text>
        <r>
          <rPr>
            <sz val="8"/>
            <rFont val="Tahoma"/>
            <family val="0"/>
          </rPr>
          <t>Net Rev Calc</t>
        </r>
      </text>
    </comment>
    <comment ref="A178" authorId="0">
      <text>
        <r>
          <rPr>
            <sz val="8"/>
            <rFont val="Tahoma"/>
            <family val="0"/>
          </rPr>
          <t>Net Rev Calc</t>
        </r>
      </text>
    </comment>
    <comment ref="A179" authorId="0">
      <text>
        <r>
          <rPr>
            <sz val="8"/>
            <rFont val="Tahoma"/>
            <family val="0"/>
          </rPr>
          <t>Net Rev Calc</t>
        </r>
      </text>
    </comment>
    <comment ref="A180" authorId="0">
      <text>
        <r>
          <rPr>
            <sz val="8"/>
            <rFont val="Tahoma"/>
            <family val="0"/>
          </rPr>
          <t>Net Rev Calc</t>
        </r>
      </text>
    </comment>
    <comment ref="A181" authorId="0">
      <text>
        <r>
          <rPr>
            <sz val="8"/>
            <rFont val="Tahoma"/>
            <family val="0"/>
          </rPr>
          <t>Net Rev Calc</t>
        </r>
      </text>
    </comment>
    <comment ref="A182" authorId="0">
      <text>
        <r>
          <rPr>
            <sz val="8"/>
            <rFont val="Tahoma"/>
            <family val="0"/>
          </rPr>
          <t>Net Rev Calc</t>
        </r>
      </text>
    </comment>
    <comment ref="A183" authorId="0">
      <text>
        <r>
          <rPr>
            <sz val="8"/>
            <rFont val="Tahoma"/>
            <family val="0"/>
          </rPr>
          <t>Net Rev Calc</t>
        </r>
      </text>
    </comment>
    <comment ref="A184" authorId="0">
      <text>
        <r>
          <rPr>
            <sz val="8"/>
            <rFont val="Tahoma"/>
            <family val="0"/>
          </rPr>
          <t>Net Rev Calc</t>
        </r>
      </text>
    </comment>
    <comment ref="A185" authorId="0">
      <text>
        <r>
          <rPr>
            <sz val="8"/>
            <rFont val="Tahoma"/>
            <family val="0"/>
          </rPr>
          <t>Net Rev Calc</t>
        </r>
      </text>
    </comment>
    <comment ref="A186" authorId="0">
      <text>
        <r>
          <rPr>
            <sz val="8"/>
            <rFont val="Tahoma"/>
            <family val="0"/>
          </rPr>
          <t>Net Rev Calc</t>
        </r>
      </text>
    </comment>
    <comment ref="A187" authorId="0">
      <text>
        <r>
          <rPr>
            <sz val="8"/>
            <rFont val="Tahoma"/>
            <family val="0"/>
          </rPr>
          <t>Net Rev Calc</t>
        </r>
      </text>
    </comment>
    <comment ref="A188" authorId="0">
      <text>
        <r>
          <rPr>
            <sz val="8"/>
            <rFont val="Tahoma"/>
            <family val="0"/>
          </rPr>
          <t>Net Rev Calc</t>
        </r>
      </text>
    </comment>
    <comment ref="A190" authorId="0">
      <text>
        <r>
          <rPr>
            <sz val="8"/>
            <rFont val="Tahoma"/>
            <family val="0"/>
          </rPr>
          <t>Net Rev Calc</t>
        </r>
      </text>
    </comment>
    <comment ref="A191" authorId="0">
      <text>
        <r>
          <rPr>
            <sz val="8"/>
            <rFont val="Tahoma"/>
            <family val="0"/>
          </rPr>
          <t>Net Rev Calc</t>
        </r>
      </text>
    </comment>
    <comment ref="A189" authorId="0">
      <text>
        <r>
          <rPr>
            <sz val="8"/>
            <rFont val="Tahoma"/>
            <family val="0"/>
          </rPr>
          <t>Net Rev Calc</t>
        </r>
      </text>
    </comment>
    <comment ref="A47" authorId="0">
      <text>
        <r>
          <rPr>
            <sz val="8"/>
            <rFont val="Tahoma"/>
            <family val="0"/>
          </rPr>
          <t>Net Rev Calc</t>
        </r>
      </text>
    </comment>
    <comment ref="A48" authorId="0">
      <text>
        <r>
          <rPr>
            <sz val="8"/>
            <rFont val="Tahoma"/>
            <family val="0"/>
          </rPr>
          <t>Net Rev Calc</t>
        </r>
      </text>
    </comment>
    <comment ref="A49" authorId="0">
      <text>
        <r>
          <rPr>
            <sz val="8"/>
            <rFont val="Tahoma"/>
            <family val="0"/>
          </rPr>
          <t>Net Rev Calc</t>
        </r>
      </text>
    </comment>
    <comment ref="A50" authorId="0">
      <text>
        <r>
          <rPr>
            <sz val="8"/>
            <rFont val="Tahoma"/>
            <family val="0"/>
          </rPr>
          <t>Net Rev Calc</t>
        </r>
      </text>
    </comment>
    <comment ref="A51" authorId="0">
      <text>
        <r>
          <rPr>
            <sz val="8"/>
            <rFont val="Tahoma"/>
            <family val="0"/>
          </rPr>
          <t>Net Rev Calc</t>
        </r>
      </text>
    </comment>
    <comment ref="A61" authorId="0">
      <text>
        <r>
          <rPr>
            <sz val="8"/>
            <rFont val="Tahoma"/>
            <family val="0"/>
          </rPr>
          <t>Net Rev Calc</t>
        </r>
      </text>
    </comment>
    <comment ref="A62" authorId="0">
      <text>
        <r>
          <rPr>
            <sz val="8"/>
            <rFont val="Tahoma"/>
            <family val="0"/>
          </rPr>
          <t>Net Rev Calc</t>
        </r>
      </text>
    </comment>
    <comment ref="A63" authorId="0">
      <text>
        <r>
          <rPr>
            <sz val="8"/>
            <rFont val="Tahoma"/>
            <family val="0"/>
          </rPr>
          <t>Net Rev Calc</t>
        </r>
      </text>
    </comment>
    <comment ref="A64" authorId="0">
      <text>
        <r>
          <rPr>
            <sz val="8"/>
            <rFont val="Tahoma"/>
            <family val="0"/>
          </rPr>
          <t>Net Rev Calc</t>
        </r>
      </text>
    </comment>
    <comment ref="A65" authorId="0">
      <text>
        <r>
          <rPr>
            <sz val="8"/>
            <rFont val="Tahoma"/>
            <family val="0"/>
          </rPr>
          <t>Net Rev Calc</t>
        </r>
      </text>
    </comment>
    <comment ref="A66" authorId="0">
      <text>
        <r>
          <rPr>
            <sz val="8"/>
            <rFont val="Tahoma"/>
            <family val="0"/>
          </rPr>
          <t>Net Rev Calc</t>
        </r>
      </text>
    </comment>
    <comment ref="A67" authorId="0">
      <text>
        <r>
          <rPr>
            <sz val="8"/>
            <rFont val="Tahoma"/>
            <family val="0"/>
          </rPr>
          <t>Net Rev Calc</t>
        </r>
      </text>
    </comment>
    <comment ref="A68" authorId="0">
      <text>
        <r>
          <rPr>
            <sz val="8"/>
            <rFont val="Tahoma"/>
            <family val="0"/>
          </rPr>
          <t>Net Rev Calc</t>
        </r>
      </text>
    </comment>
    <comment ref="A69" authorId="0">
      <text>
        <r>
          <rPr>
            <sz val="8"/>
            <rFont val="Tahoma"/>
            <family val="0"/>
          </rPr>
          <t>Net Rev Calc</t>
        </r>
      </text>
    </comment>
    <comment ref="A10" authorId="0">
      <text>
        <r>
          <rPr>
            <sz val="8"/>
            <rFont val="Tahoma"/>
            <family val="0"/>
          </rPr>
          <t>Net Rev Calc</t>
        </r>
      </text>
    </comment>
    <comment ref="A11" authorId="0">
      <text>
        <r>
          <rPr>
            <sz val="8"/>
            <rFont val="Tahoma"/>
            <family val="0"/>
          </rPr>
          <t>Net Rev Calc</t>
        </r>
      </text>
    </comment>
    <comment ref="A12" authorId="0">
      <text>
        <r>
          <rPr>
            <sz val="8"/>
            <rFont val="Tahoma"/>
            <family val="0"/>
          </rPr>
          <t>Net Rev Calc</t>
        </r>
      </text>
    </comment>
    <comment ref="A13" authorId="0">
      <text>
        <r>
          <rPr>
            <sz val="8"/>
            <rFont val="Tahoma"/>
            <family val="0"/>
          </rPr>
          <t>Net Rev Calc</t>
        </r>
      </text>
    </comment>
    <comment ref="A14" authorId="0">
      <text>
        <r>
          <rPr>
            <sz val="8"/>
            <rFont val="Tahoma"/>
            <family val="0"/>
          </rPr>
          <t>Net Rev Calc</t>
        </r>
      </text>
    </comment>
    <comment ref="A20" authorId="0">
      <text>
        <r>
          <rPr>
            <sz val="8"/>
            <rFont val="Tahoma"/>
            <family val="0"/>
          </rPr>
          <t>Net Rev Calc</t>
        </r>
      </text>
    </comment>
    <comment ref="A21" authorId="0">
      <text>
        <r>
          <rPr>
            <sz val="8"/>
            <rFont val="Tahoma"/>
            <family val="0"/>
          </rPr>
          <t>Net Rev Calc</t>
        </r>
      </text>
    </comment>
    <comment ref="A22" authorId="0">
      <text>
        <r>
          <rPr>
            <sz val="8"/>
            <rFont val="Tahoma"/>
            <family val="0"/>
          </rPr>
          <t>Net Rev Calc</t>
        </r>
      </text>
    </comment>
    <comment ref="A23" authorId="0">
      <text>
        <r>
          <rPr>
            <sz val="8"/>
            <rFont val="Tahoma"/>
            <family val="0"/>
          </rPr>
          <t>Net Rev Calc</t>
        </r>
      </text>
    </comment>
    <comment ref="A24" authorId="0">
      <text>
        <r>
          <rPr>
            <sz val="8"/>
            <rFont val="Tahoma"/>
            <family val="0"/>
          </rPr>
          <t>Net Rev Calc</t>
        </r>
      </text>
    </comment>
    <comment ref="A29" authorId="0">
      <text>
        <r>
          <rPr>
            <sz val="8"/>
            <rFont val="Tahoma"/>
            <family val="0"/>
          </rPr>
          <t>Net Rev Calc</t>
        </r>
      </text>
    </comment>
    <comment ref="A30" authorId="0">
      <text>
        <r>
          <rPr>
            <sz val="8"/>
            <rFont val="Tahoma"/>
            <family val="0"/>
          </rPr>
          <t>Net Rev Calc</t>
        </r>
      </text>
    </comment>
    <comment ref="A31" authorId="0">
      <text>
        <r>
          <rPr>
            <sz val="8"/>
            <rFont val="Tahoma"/>
            <family val="0"/>
          </rPr>
          <t>Net Rev Calc</t>
        </r>
      </text>
    </comment>
    <comment ref="A32" authorId="0">
      <text>
        <r>
          <rPr>
            <sz val="8"/>
            <rFont val="Tahoma"/>
            <family val="0"/>
          </rPr>
          <t>Net Rev Calc</t>
        </r>
      </text>
    </comment>
    <comment ref="A33" authorId="0">
      <text>
        <r>
          <rPr>
            <sz val="8"/>
            <rFont val="Tahoma"/>
            <family val="0"/>
          </rPr>
          <t>Net Rev Calc</t>
        </r>
      </text>
    </comment>
    <comment ref="A163" authorId="0">
      <text>
        <r>
          <rPr>
            <sz val="8"/>
            <rFont val="Tahoma"/>
            <family val="0"/>
          </rPr>
          <t>Net Rev Calc</t>
        </r>
      </text>
    </comment>
    <comment ref="A164" authorId="0">
      <text>
        <r>
          <rPr>
            <sz val="8"/>
            <rFont val="Tahoma"/>
            <family val="0"/>
          </rPr>
          <t>Net Rev Calc</t>
        </r>
      </text>
    </comment>
    <comment ref="A165" authorId="0">
      <text>
        <r>
          <rPr>
            <sz val="8"/>
            <rFont val="Tahoma"/>
            <family val="0"/>
          </rPr>
          <t>Net Rev Calc</t>
        </r>
      </text>
    </comment>
    <comment ref="A166" authorId="0">
      <text>
        <r>
          <rPr>
            <sz val="8"/>
            <rFont val="Tahoma"/>
            <family val="0"/>
          </rPr>
          <t>Net Rev Calc</t>
        </r>
      </text>
    </comment>
    <comment ref="A15" authorId="0">
      <text>
        <r>
          <rPr>
            <sz val="8"/>
            <rFont val="Tahoma"/>
            <family val="0"/>
          </rPr>
          <t>Net Rev Calc</t>
        </r>
      </text>
    </comment>
    <comment ref="A16" authorId="0">
      <text>
        <r>
          <rPr>
            <sz val="8"/>
            <rFont val="Tahoma"/>
            <family val="0"/>
          </rPr>
          <t>Net Rev Calc</t>
        </r>
      </text>
    </comment>
    <comment ref="A17" authorId="0">
      <text>
        <r>
          <rPr>
            <sz val="8"/>
            <rFont val="Tahoma"/>
            <family val="0"/>
          </rPr>
          <t>Net Rev Calc</t>
        </r>
      </text>
    </comment>
    <comment ref="A18" authorId="0">
      <text>
        <r>
          <rPr>
            <sz val="8"/>
            <rFont val="Tahoma"/>
            <family val="0"/>
          </rPr>
          <t>Net Rev Calc</t>
        </r>
      </text>
    </comment>
    <comment ref="A19" authorId="0">
      <text>
        <r>
          <rPr>
            <sz val="8"/>
            <rFont val="Tahoma"/>
            <family val="0"/>
          </rPr>
          <t>Net Rev Calc</t>
        </r>
      </text>
    </comment>
    <comment ref="A38" authorId="0">
      <text>
        <r>
          <rPr>
            <sz val="8"/>
            <rFont val="Tahoma"/>
            <family val="0"/>
          </rPr>
          <t>Net Rev Calc</t>
        </r>
      </text>
    </comment>
    <comment ref="A39" authorId="0">
      <text>
        <r>
          <rPr>
            <sz val="8"/>
            <rFont val="Tahoma"/>
            <family val="0"/>
          </rPr>
          <t>Net Rev Calc</t>
        </r>
      </text>
    </comment>
    <comment ref="A40" authorId="0">
      <text>
        <r>
          <rPr>
            <sz val="8"/>
            <rFont val="Tahoma"/>
            <family val="0"/>
          </rPr>
          <t>Net Rev Calc</t>
        </r>
      </text>
    </comment>
    <comment ref="A41" authorId="0">
      <text>
        <r>
          <rPr>
            <sz val="8"/>
            <rFont val="Tahoma"/>
            <family val="0"/>
          </rPr>
          <t>Net Rev Calc</t>
        </r>
      </text>
    </comment>
    <comment ref="A42" authorId="0">
      <text>
        <r>
          <rPr>
            <sz val="8"/>
            <rFont val="Tahoma"/>
            <family val="0"/>
          </rPr>
          <t>Net Rev Calc</t>
        </r>
      </text>
    </comment>
    <comment ref="A25" authorId="0">
      <text>
        <r>
          <rPr>
            <sz val="8"/>
            <rFont val="Tahoma"/>
            <family val="0"/>
          </rPr>
          <t>Net Rev Calc</t>
        </r>
      </text>
    </comment>
    <comment ref="A26" authorId="0">
      <text>
        <r>
          <rPr>
            <sz val="8"/>
            <rFont val="Tahoma"/>
            <family val="0"/>
          </rPr>
          <t>Net Rev Calc</t>
        </r>
      </text>
    </comment>
    <comment ref="A27" authorId="0">
      <text>
        <r>
          <rPr>
            <sz val="8"/>
            <rFont val="Tahoma"/>
            <family val="0"/>
          </rPr>
          <t>Net Rev Calc</t>
        </r>
      </text>
    </comment>
    <comment ref="A28" authorId="0">
      <text>
        <r>
          <rPr>
            <sz val="8"/>
            <rFont val="Tahoma"/>
            <family val="0"/>
          </rPr>
          <t>Net Rev Calc</t>
        </r>
      </text>
    </comment>
    <comment ref="A34" authorId="0">
      <text>
        <r>
          <rPr>
            <sz val="8"/>
            <rFont val="Tahoma"/>
            <family val="0"/>
          </rPr>
          <t>Net Rev Calc</t>
        </r>
      </text>
    </comment>
    <comment ref="A35" authorId="0">
      <text>
        <r>
          <rPr>
            <sz val="8"/>
            <rFont val="Tahoma"/>
            <family val="0"/>
          </rPr>
          <t>Net Rev Calc</t>
        </r>
      </text>
    </comment>
    <comment ref="A36" authorId="0">
      <text>
        <r>
          <rPr>
            <sz val="8"/>
            <rFont val="Tahoma"/>
            <family val="0"/>
          </rPr>
          <t>Net Rev Calc</t>
        </r>
      </text>
    </comment>
    <comment ref="A37" authorId="0">
      <text>
        <r>
          <rPr>
            <sz val="8"/>
            <rFont val="Tahoma"/>
            <family val="0"/>
          </rPr>
          <t>Net Rev Calc</t>
        </r>
      </text>
    </comment>
    <comment ref="A43" authorId="0">
      <text>
        <r>
          <rPr>
            <sz val="8"/>
            <rFont val="Tahoma"/>
            <family val="0"/>
          </rPr>
          <t>Net Rev Calc</t>
        </r>
      </text>
    </comment>
    <comment ref="A44" authorId="0">
      <text>
        <r>
          <rPr>
            <sz val="8"/>
            <rFont val="Tahoma"/>
            <family val="0"/>
          </rPr>
          <t>Net Rev Calc</t>
        </r>
      </text>
    </comment>
    <comment ref="A45" authorId="0">
      <text>
        <r>
          <rPr>
            <sz val="8"/>
            <rFont val="Tahoma"/>
            <family val="0"/>
          </rPr>
          <t>Net Rev Calc</t>
        </r>
      </text>
    </comment>
    <comment ref="A46" authorId="0">
      <text>
        <r>
          <rPr>
            <sz val="8"/>
            <rFont val="Tahoma"/>
            <family val="0"/>
          </rPr>
          <t>Net Rev Calc</t>
        </r>
      </text>
    </comment>
    <comment ref="A1" authorId="1">
      <text>
        <r>
          <rPr>
            <sz val="8"/>
            <rFont val="Tahoma"/>
            <family val="0"/>
          </rPr>
          <t xml:space="preserve">Adaytum2
TYP=V
SVR=
LIB=Five Yr Plan
CBE=5 Yr Op Rev Calc
FGD=Y
BGD=Y
FGL=Y
BGL=N
SUP=N
BBF=N
NTS=Y
VAL=Y
RHD=N
LCK=N
RFH=N
BBK=Y
OVF=N
IAB=N
BAZ=N
EAZ=N
RGP=adaytum_page_1
RGR=adaytum_row_1
RGC=adaytum_col_1
RGD=adaytum_data_1
P01=5 yr Scenarios
P02=Periods
P03=5 Year Plan
R01=Net Rev Calc
C01=Div to Reg - CO 01 (WF)
VID=309B5D7329DB63C0
CHK=1867776229
SLO=D
SLD=NNNNN
</t>
        </r>
      </text>
    </comment>
  </commentList>
</comments>
</file>

<file path=xl/comments8.xml><?xml version="1.0" encoding="utf-8"?>
<comments xmlns="http://schemas.openxmlformats.org/spreadsheetml/2006/main">
  <authors>
    <author>Sue Richards</author>
    <author>Paul Higgins</author>
  </authors>
  <commentList>
    <comment ref="A2" authorId="0">
      <text>
        <r>
          <rPr>
            <sz val="8"/>
            <rFont val="Tahoma"/>
            <family val="0"/>
          </rPr>
          <t>Avg Min per Order</t>
        </r>
      </text>
    </comment>
    <comment ref="B2" authorId="0">
      <text>
        <r>
          <rPr>
            <sz val="8"/>
            <rFont val="Tahoma"/>
            <family val="0"/>
          </rPr>
          <t>Periods</t>
        </r>
      </text>
    </comment>
    <comment ref="C2" authorId="0">
      <text>
        <r>
          <rPr>
            <sz val="8"/>
            <rFont val="Tahoma"/>
            <family val="0"/>
          </rPr>
          <t>Div</t>
        </r>
      </text>
    </comment>
    <comment ref="D2" authorId="0">
      <text>
        <r>
          <rPr>
            <sz val="8"/>
            <rFont val="Tahoma"/>
            <family val="0"/>
          </rPr>
          <t>SO Ferc</t>
        </r>
      </text>
    </comment>
    <comment ref="A6" authorId="0">
      <text>
        <r>
          <rPr>
            <sz val="8"/>
            <rFont val="Tahoma"/>
            <family val="0"/>
          </rPr>
          <t>Tran Code w Desc</t>
        </r>
      </text>
    </comment>
    <comment ref="A11" authorId="0">
      <text>
        <r>
          <rPr>
            <sz val="8"/>
            <rFont val="Tahoma"/>
            <family val="0"/>
          </rPr>
          <t>Tran Code w Desc</t>
        </r>
      </text>
    </comment>
    <comment ref="A12" authorId="0">
      <text>
        <r>
          <rPr>
            <sz val="8"/>
            <rFont val="Tahoma"/>
            <family val="0"/>
          </rPr>
          <t>Tran Code w Desc</t>
        </r>
      </text>
    </comment>
    <comment ref="A13" authorId="0">
      <text>
        <r>
          <rPr>
            <sz val="8"/>
            <rFont val="Tahoma"/>
            <family val="0"/>
          </rPr>
          <t>Tran Code w Desc</t>
        </r>
      </text>
    </comment>
    <comment ref="A14" authorId="0">
      <text>
        <r>
          <rPr>
            <sz val="8"/>
            <rFont val="Tahoma"/>
            <family val="0"/>
          </rPr>
          <t>Tran Code w Desc</t>
        </r>
      </text>
    </comment>
    <comment ref="A15" authorId="0">
      <text>
        <r>
          <rPr>
            <sz val="8"/>
            <rFont val="Tahoma"/>
            <family val="0"/>
          </rPr>
          <t>Tran Code w Desc</t>
        </r>
      </text>
    </comment>
    <comment ref="A16" authorId="0">
      <text>
        <r>
          <rPr>
            <sz val="8"/>
            <rFont val="Tahoma"/>
            <family val="0"/>
          </rPr>
          <t>Tran Code w Desc</t>
        </r>
      </text>
    </comment>
    <comment ref="B4" authorId="0">
      <text>
        <r>
          <rPr>
            <sz val="8"/>
            <rFont val="Tahoma"/>
            <family val="0"/>
          </rPr>
          <t>Years</t>
        </r>
      </text>
    </comment>
    <comment ref="C4" authorId="0">
      <text>
        <r>
          <rPr>
            <sz val="8"/>
            <rFont val="Tahoma"/>
            <family val="0"/>
          </rPr>
          <t>Years</t>
        </r>
      </text>
    </comment>
    <comment ref="A9" authorId="0">
      <text>
        <r>
          <rPr>
            <sz val="8"/>
            <rFont val="Tahoma"/>
            <family val="0"/>
          </rPr>
          <t>Tran Code w Desc</t>
        </r>
      </text>
    </comment>
    <comment ref="A10" authorId="0">
      <text>
        <r>
          <rPr>
            <sz val="8"/>
            <rFont val="Tahoma"/>
            <family val="0"/>
          </rPr>
          <t>Tran Code w Desc</t>
        </r>
      </text>
    </comment>
    <comment ref="A17" authorId="0">
      <text>
        <r>
          <rPr>
            <sz val="8"/>
            <rFont val="Tahoma"/>
            <family val="0"/>
          </rPr>
          <t>Tran Code w Desc</t>
        </r>
      </text>
    </comment>
    <comment ref="A21" authorId="0">
      <text>
        <r>
          <rPr>
            <sz val="8"/>
            <rFont val="Tahoma"/>
            <family val="0"/>
          </rPr>
          <t>Tran Code w Desc</t>
        </r>
      </text>
    </comment>
    <comment ref="A22" authorId="0">
      <text>
        <r>
          <rPr>
            <sz val="8"/>
            <rFont val="Tahoma"/>
            <family val="0"/>
          </rPr>
          <t>Tran Code w Desc</t>
        </r>
      </text>
    </comment>
    <comment ref="A23" authorId="0">
      <text>
        <r>
          <rPr>
            <sz val="8"/>
            <rFont val="Tahoma"/>
            <family val="0"/>
          </rPr>
          <t>Tran Code w Desc</t>
        </r>
      </text>
    </comment>
    <comment ref="A5" authorId="0">
      <text>
        <r>
          <rPr>
            <sz val="8"/>
            <rFont val="Tahoma"/>
            <family val="0"/>
          </rPr>
          <t>Tran Code w Desc</t>
        </r>
      </text>
    </comment>
    <comment ref="A7" authorId="0">
      <text>
        <r>
          <rPr>
            <sz val="8"/>
            <rFont val="Tahoma"/>
            <family val="0"/>
          </rPr>
          <t>Tran Code w Desc</t>
        </r>
      </text>
    </comment>
    <comment ref="A8" authorId="0">
      <text>
        <r>
          <rPr>
            <sz val="8"/>
            <rFont val="Tahoma"/>
            <family val="0"/>
          </rPr>
          <t>Tran Code w Desc</t>
        </r>
      </text>
    </comment>
    <comment ref="A18" authorId="0">
      <text>
        <r>
          <rPr>
            <sz val="8"/>
            <rFont val="Tahoma"/>
            <family val="0"/>
          </rPr>
          <t>Tran Code w Desc</t>
        </r>
      </text>
    </comment>
    <comment ref="A19" authorId="0">
      <text>
        <r>
          <rPr>
            <sz val="8"/>
            <rFont val="Tahoma"/>
            <family val="0"/>
          </rPr>
          <t>Tran Code w Desc</t>
        </r>
      </text>
    </comment>
    <comment ref="A20" authorId="0">
      <text>
        <r>
          <rPr>
            <sz val="8"/>
            <rFont val="Tahoma"/>
            <family val="0"/>
          </rPr>
          <t>Tran Code w Desc</t>
        </r>
      </text>
    </comment>
    <comment ref="A1" authorId="1">
      <text>
        <r>
          <rPr>
            <sz val="8"/>
            <rFont val="Tahoma"/>
            <family val="0"/>
          </rPr>
          <t xml:space="preserve">Adaytum2
TYP=V
SVR=
LIB=ROPIS
CBE=Serv Order Hist
FGD=Y
BGD=Y
FGL=Y
BGL=N
SUP=N
BBF=N
NTS=Y
VAL=Y
RHD=N
LCK=N
RFH=N
BBK=Y
OVF=N
IAB=N
BAZ=N
EAZ=N
P01=Avg Min per Order
P02=Periods
P03=Div
P04=SO Ferc
R01=Tran Code w Desc
C01=Years
SLO=D
SLD=NNNNNN
RGP=adaytum_page_1
RGR=adaytum_row_1
RGC=adaytum_col_1
RGD=adaytum_data_1
VID=397DC1C636D463C0
CHK=-849964067
</t>
        </r>
      </text>
    </comment>
  </commentList>
</comments>
</file>

<file path=xl/comments9.xml><?xml version="1.0" encoding="utf-8"?>
<comments xmlns="http://schemas.openxmlformats.org/spreadsheetml/2006/main">
  <authors>
    <author>Sue Richards</author>
    <author>Paul Higgins</author>
  </authors>
  <commentList>
    <comment ref="A2" authorId="0">
      <text>
        <r>
          <rPr>
            <sz val="8"/>
            <rFont val="Tahoma"/>
            <family val="0"/>
          </rPr>
          <t>5 yr Scenarios</t>
        </r>
      </text>
    </comment>
    <comment ref="B2" authorId="0">
      <text>
        <r>
          <rPr>
            <sz val="8"/>
            <rFont val="Tahoma"/>
            <family val="0"/>
          </rPr>
          <t>Periods</t>
        </r>
      </text>
    </comment>
    <comment ref="A5" authorId="0">
      <text>
        <r>
          <rPr>
            <sz val="8"/>
            <rFont val="Tahoma"/>
            <family val="0"/>
          </rPr>
          <t>Net Rev Calc</t>
        </r>
      </text>
    </comment>
    <comment ref="A9" authorId="0">
      <text>
        <r>
          <rPr>
            <sz val="8"/>
            <rFont val="Tahoma"/>
            <family val="0"/>
          </rPr>
          <t>Net Rev Calc</t>
        </r>
      </text>
    </comment>
    <comment ref="A13" authorId="0">
      <text>
        <r>
          <rPr>
            <sz val="8"/>
            <rFont val="Tahoma"/>
            <family val="0"/>
          </rPr>
          <t>Net Rev Calc</t>
        </r>
      </text>
    </comment>
    <comment ref="A17" authorId="0">
      <text>
        <r>
          <rPr>
            <sz val="8"/>
            <rFont val="Tahoma"/>
            <family val="0"/>
          </rPr>
          <t>Net Rev Calc</t>
        </r>
      </text>
    </comment>
    <comment ref="B5" authorId="0">
      <text>
        <r>
          <rPr>
            <sz val="8"/>
            <rFont val="Tahoma"/>
            <family val="0"/>
          </rPr>
          <t>Div to Reg - CO 01 (WF)</t>
        </r>
      </text>
    </comment>
    <comment ref="B9" authorId="0">
      <text>
        <r>
          <rPr>
            <sz val="8"/>
            <rFont val="Tahoma"/>
            <family val="0"/>
          </rPr>
          <t>Div to Reg - CO 01 (WF)</t>
        </r>
      </text>
    </comment>
    <comment ref="B13" authorId="0">
      <text>
        <r>
          <rPr>
            <sz val="8"/>
            <rFont val="Tahoma"/>
            <family val="0"/>
          </rPr>
          <t>Div to Reg - CO 01 (WF)</t>
        </r>
      </text>
    </comment>
    <comment ref="B17" authorId="0">
      <text>
        <r>
          <rPr>
            <sz val="8"/>
            <rFont val="Tahoma"/>
            <family val="0"/>
          </rPr>
          <t>Div to Reg - CO 01 (WF)</t>
        </r>
      </text>
    </comment>
    <comment ref="B22" authorId="0">
      <text>
        <r>
          <rPr>
            <sz val="8"/>
            <rFont val="Tahoma"/>
            <family val="0"/>
          </rPr>
          <t>Div to Reg - CO 01 (WF)</t>
        </r>
      </text>
    </comment>
    <comment ref="B26" authorId="0">
      <text>
        <r>
          <rPr>
            <sz val="8"/>
            <rFont val="Tahoma"/>
            <family val="0"/>
          </rPr>
          <t>Div to Reg - CO 01 (WF)</t>
        </r>
      </text>
    </comment>
    <comment ref="B30" authorId="0">
      <text>
        <r>
          <rPr>
            <sz val="8"/>
            <rFont val="Tahoma"/>
            <family val="0"/>
          </rPr>
          <t>Div to Reg - CO 01 (WF)</t>
        </r>
      </text>
    </comment>
    <comment ref="B34" authorId="0">
      <text>
        <r>
          <rPr>
            <sz val="8"/>
            <rFont val="Tahoma"/>
            <family val="0"/>
          </rPr>
          <t>Div to Reg - CO 01 (WF)</t>
        </r>
      </text>
    </comment>
    <comment ref="B40" authorId="0">
      <text>
        <r>
          <rPr>
            <sz val="8"/>
            <rFont val="Tahoma"/>
            <family val="0"/>
          </rPr>
          <t>Div to Reg - CO 01 (WF)</t>
        </r>
      </text>
    </comment>
    <comment ref="B44" authorId="0">
      <text>
        <r>
          <rPr>
            <sz val="8"/>
            <rFont val="Tahoma"/>
            <family val="0"/>
          </rPr>
          <t>Div to Reg - CO 01 (WF)</t>
        </r>
      </text>
    </comment>
    <comment ref="B48" authorId="0">
      <text>
        <r>
          <rPr>
            <sz val="8"/>
            <rFont val="Tahoma"/>
            <family val="0"/>
          </rPr>
          <t>Div to Reg - CO 01 (WF)</t>
        </r>
      </text>
    </comment>
    <comment ref="B52" authorId="0">
      <text>
        <r>
          <rPr>
            <sz val="8"/>
            <rFont val="Tahoma"/>
            <family val="0"/>
          </rPr>
          <t>Div to Reg - CO 01 (WF)</t>
        </r>
      </text>
    </comment>
    <comment ref="C4" authorId="0">
      <text>
        <r>
          <rPr>
            <sz val="8"/>
            <rFont val="Tahoma"/>
            <family val="0"/>
          </rPr>
          <t>5 Year Plan</t>
        </r>
      </text>
    </comment>
    <comment ref="D4" authorId="0">
      <text>
        <r>
          <rPr>
            <sz val="8"/>
            <rFont val="Tahoma"/>
            <family val="0"/>
          </rPr>
          <t>5 Year Plan</t>
        </r>
      </text>
    </comment>
    <comment ref="B6" authorId="0">
      <text>
        <r>
          <rPr>
            <sz val="8"/>
            <rFont val="Tahoma"/>
            <family val="0"/>
          </rPr>
          <t>Div to Reg - CO 01 (WF)</t>
        </r>
      </text>
    </comment>
    <comment ref="B8" authorId="0">
      <text>
        <r>
          <rPr>
            <sz val="8"/>
            <rFont val="Tahoma"/>
            <family val="0"/>
          </rPr>
          <t>Div to Reg - CO 01 (WF)</t>
        </r>
      </text>
    </comment>
    <comment ref="B10" authorId="0">
      <text>
        <r>
          <rPr>
            <sz val="8"/>
            <rFont val="Tahoma"/>
            <family val="0"/>
          </rPr>
          <t>Div to Reg - CO 01 (WF)</t>
        </r>
      </text>
    </comment>
    <comment ref="B12" authorId="0">
      <text>
        <r>
          <rPr>
            <sz val="8"/>
            <rFont val="Tahoma"/>
            <family val="0"/>
          </rPr>
          <t>Div to Reg - CO 01 (WF)</t>
        </r>
      </text>
    </comment>
    <comment ref="B14" authorId="0">
      <text>
        <r>
          <rPr>
            <sz val="8"/>
            <rFont val="Tahoma"/>
            <family val="0"/>
          </rPr>
          <t>Div to Reg - CO 01 (WF)</t>
        </r>
      </text>
    </comment>
    <comment ref="B16" authorId="0">
      <text>
        <r>
          <rPr>
            <sz val="8"/>
            <rFont val="Tahoma"/>
            <family val="0"/>
          </rPr>
          <t>Div to Reg - CO 01 (WF)</t>
        </r>
      </text>
    </comment>
    <comment ref="B18" authorId="0">
      <text>
        <r>
          <rPr>
            <sz val="8"/>
            <rFont val="Tahoma"/>
            <family val="0"/>
          </rPr>
          <t>Div to Reg - CO 01 (WF)</t>
        </r>
      </text>
    </comment>
    <comment ref="B20" authorId="0">
      <text>
        <r>
          <rPr>
            <sz val="8"/>
            <rFont val="Tahoma"/>
            <family val="0"/>
          </rPr>
          <t>Div to Reg - CO 01 (WF)</t>
        </r>
      </text>
    </comment>
    <comment ref="A21" authorId="0">
      <text>
        <r>
          <rPr>
            <sz val="8"/>
            <rFont val="Tahoma"/>
            <family val="0"/>
          </rPr>
          <t>Net Rev Calc</t>
        </r>
      </text>
    </comment>
    <comment ref="B21" authorId="0">
      <text>
        <r>
          <rPr>
            <sz val="8"/>
            <rFont val="Tahoma"/>
            <family val="0"/>
          </rPr>
          <t>Div to Reg - CO 01 (WF)</t>
        </r>
      </text>
    </comment>
    <comment ref="B24" authorId="0">
      <text>
        <r>
          <rPr>
            <sz val="8"/>
            <rFont val="Tahoma"/>
            <family val="0"/>
          </rPr>
          <t>Div to Reg - CO 01 (WF)</t>
        </r>
      </text>
    </comment>
    <comment ref="A25" authorId="0">
      <text>
        <r>
          <rPr>
            <sz val="8"/>
            <rFont val="Tahoma"/>
            <family val="0"/>
          </rPr>
          <t>Net Rev Calc</t>
        </r>
      </text>
    </comment>
    <comment ref="B25" authorId="0">
      <text>
        <r>
          <rPr>
            <sz val="8"/>
            <rFont val="Tahoma"/>
            <family val="0"/>
          </rPr>
          <t>Div to Reg - CO 01 (WF)</t>
        </r>
      </text>
    </comment>
    <comment ref="B28" authorId="0">
      <text>
        <r>
          <rPr>
            <sz val="8"/>
            <rFont val="Tahoma"/>
            <family val="0"/>
          </rPr>
          <t>Div to Reg - CO 01 (WF)</t>
        </r>
      </text>
    </comment>
    <comment ref="A29" authorId="0">
      <text>
        <r>
          <rPr>
            <sz val="8"/>
            <rFont val="Tahoma"/>
            <family val="0"/>
          </rPr>
          <t>Net Rev Calc</t>
        </r>
      </text>
    </comment>
    <comment ref="B29" authorId="0">
      <text>
        <r>
          <rPr>
            <sz val="8"/>
            <rFont val="Tahoma"/>
            <family val="0"/>
          </rPr>
          <t>Div to Reg - CO 01 (WF)</t>
        </r>
      </text>
    </comment>
    <comment ref="B32" authorId="0">
      <text>
        <r>
          <rPr>
            <sz val="8"/>
            <rFont val="Tahoma"/>
            <family val="0"/>
          </rPr>
          <t>Div to Reg - CO 01 (WF)</t>
        </r>
      </text>
    </comment>
    <comment ref="A33" authorId="0">
      <text>
        <r>
          <rPr>
            <sz val="8"/>
            <rFont val="Tahoma"/>
            <family val="0"/>
          </rPr>
          <t>Net Rev Calc</t>
        </r>
      </text>
    </comment>
    <comment ref="B33" authorId="0">
      <text>
        <r>
          <rPr>
            <sz val="8"/>
            <rFont val="Tahoma"/>
            <family val="0"/>
          </rPr>
          <t>Div to Reg - CO 01 (WF)</t>
        </r>
      </text>
    </comment>
    <comment ref="B36" authorId="0">
      <text>
        <r>
          <rPr>
            <sz val="8"/>
            <rFont val="Tahoma"/>
            <family val="0"/>
          </rPr>
          <t>Div to Reg - CO 01 (WF)</t>
        </r>
      </text>
    </comment>
    <comment ref="A37" authorId="0">
      <text>
        <r>
          <rPr>
            <sz val="8"/>
            <rFont val="Tahoma"/>
            <family val="0"/>
          </rPr>
          <t>Net Rev Calc</t>
        </r>
      </text>
    </comment>
    <comment ref="B37" authorId="0">
      <text>
        <r>
          <rPr>
            <sz val="8"/>
            <rFont val="Tahoma"/>
            <family val="0"/>
          </rPr>
          <t>Div to Reg - CO 01 (WF)</t>
        </r>
      </text>
    </comment>
    <comment ref="B38" authorId="0">
      <text>
        <r>
          <rPr>
            <sz val="8"/>
            <rFont val="Tahoma"/>
            <family val="0"/>
          </rPr>
          <t>Div to Reg - CO 01 (WF)</t>
        </r>
      </text>
    </comment>
    <comment ref="A41" authorId="0">
      <text>
        <r>
          <rPr>
            <sz val="8"/>
            <rFont val="Tahoma"/>
            <family val="0"/>
          </rPr>
          <t>Net Rev Calc</t>
        </r>
      </text>
    </comment>
    <comment ref="B41" authorId="0">
      <text>
        <r>
          <rPr>
            <sz val="8"/>
            <rFont val="Tahoma"/>
            <family val="0"/>
          </rPr>
          <t>Div to Reg - CO 01 (WF)</t>
        </r>
      </text>
    </comment>
    <comment ref="B42" authorId="0">
      <text>
        <r>
          <rPr>
            <sz val="8"/>
            <rFont val="Tahoma"/>
            <family val="0"/>
          </rPr>
          <t>Div to Reg - CO 01 (WF)</t>
        </r>
      </text>
    </comment>
    <comment ref="A45" authorId="0">
      <text>
        <r>
          <rPr>
            <sz val="8"/>
            <rFont val="Tahoma"/>
            <family val="0"/>
          </rPr>
          <t>Net Rev Calc</t>
        </r>
      </text>
    </comment>
    <comment ref="B45" authorId="0">
      <text>
        <r>
          <rPr>
            <sz val="8"/>
            <rFont val="Tahoma"/>
            <family val="0"/>
          </rPr>
          <t>Div to Reg - CO 01 (WF)</t>
        </r>
      </text>
    </comment>
    <comment ref="B46" authorId="0">
      <text>
        <r>
          <rPr>
            <sz val="8"/>
            <rFont val="Tahoma"/>
            <family val="0"/>
          </rPr>
          <t>Div to Reg - CO 01 (WF)</t>
        </r>
      </text>
    </comment>
    <comment ref="A49" authorId="0">
      <text>
        <r>
          <rPr>
            <sz val="8"/>
            <rFont val="Tahoma"/>
            <family val="0"/>
          </rPr>
          <t>Net Rev Calc</t>
        </r>
      </text>
    </comment>
    <comment ref="B49" authorId="0">
      <text>
        <r>
          <rPr>
            <sz val="8"/>
            <rFont val="Tahoma"/>
            <family val="0"/>
          </rPr>
          <t>Div to Reg - CO 01 (WF)</t>
        </r>
      </text>
    </comment>
    <comment ref="B50" authorId="0">
      <text>
        <r>
          <rPr>
            <sz val="8"/>
            <rFont val="Tahoma"/>
            <family val="0"/>
          </rPr>
          <t>Div to Reg - CO 01 (WF)</t>
        </r>
      </text>
    </comment>
    <comment ref="B7" authorId="0">
      <text>
        <r>
          <rPr>
            <sz val="8"/>
            <rFont val="Tahoma"/>
            <family val="0"/>
          </rPr>
          <t>Div to Reg - CO 01 (WF)</t>
        </r>
      </text>
    </comment>
    <comment ref="B11" authorId="0">
      <text>
        <r>
          <rPr>
            <sz val="8"/>
            <rFont val="Tahoma"/>
            <family val="0"/>
          </rPr>
          <t>Div to Reg - CO 01 (WF)</t>
        </r>
      </text>
    </comment>
    <comment ref="B15" authorId="0">
      <text>
        <r>
          <rPr>
            <sz val="8"/>
            <rFont val="Tahoma"/>
            <family val="0"/>
          </rPr>
          <t>Div to Reg - CO 01 (WF)</t>
        </r>
      </text>
    </comment>
    <comment ref="B19" authorId="0">
      <text>
        <r>
          <rPr>
            <sz val="8"/>
            <rFont val="Tahoma"/>
            <family val="0"/>
          </rPr>
          <t>Div to Reg - CO 01 (WF)</t>
        </r>
      </text>
    </comment>
    <comment ref="B23" authorId="0">
      <text>
        <r>
          <rPr>
            <sz val="8"/>
            <rFont val="Tahoma"/>
            <family val="0"/>
          </rPr>
          <t>Div to Reg - CO 01 (WF)</t>
        </r>
      </text>
    </comment>
    <comment ref="B27" authorId="0">
      <text>
        <r>
          <rPr>
            <sz val="8"/>
            <rFont val="Tahoma"/>
            <family val="0"/>
          </rPr>
          <t>Div to Reg - CO 01 (WF)</t>
        </r>
      </text>
    </comment>
    <comment ref="B31" authorId="0">
      <text>
        <r>
          <rPr>
            <sz val="8"/>
            <rFont val="Tahoma"/>
            <family val="0"/>
          </rPr>
          <t>Div to Reg - CO 01 (WF)</t>
        </r>
      </text>
    </comment>
    <comment ref="B35" authorId="0">
      <text>
        <r>
          <rPr>
            <sz val="8"/>
            <rFont val="Tahoma"/>
            <family val="0"/>
          </rPr>
          <t>Div to Reg - CO 01 (WF)</t>
        </r>
      </text>
    </comment>
    <comment ref="B39" authorId="0">
      <text>
        <r>
          <rPr>
            <sz val="8"/>
            <rFont val="Tahoma"/>
            <family val="0"/>
          </rPr>
          <t>Div to Reg - CO 01 (WF)</t>
        </r>
      </text>
    </comment>
    <comment ref="B43" authorId="0">
      <text>
        <r>
          <rPr>
            <sz val="8"/>
            <rFont val="Tahoma"/>
            <family val="0"/>
          </rPr>
          <t>Div to Reg - CO 01 (WF)</t>
        </r>
      </text>
    </comment>
    <comment ref="B47" authorId="0">
      <text>
        <r>
          <rPr>
            <sz val="8"/>
            <rFont val="Tahoma"/>
            <family val="0"/>
          </rPr>
          <t>Div to Reg - CO 01 (WF)</t>
        </r>
      </text>
    </comment>
    <comment ref="B51" authorId="0">
      <text>
        <r>
          <rPr>
            <sz val="8"/>
            <rFont val="Tahoma"/>
            <family val="0"/>
          </rPr>
          <t>Div to Reg - CO 01 (WF)</t>
        </r>
      </text>
    </comment>
    <comment ref="F4" authorId="0">
      <text>
        <r>
          <rPr>
            <sz val="8"/>
            <rFont val="Tahoma"/>
            <family val="0"/>
          </rPr>
          <t>5 Year Plan</t>
        </r>
      </text>
    </comment>
    <comment ref="E4" authorId="0">
      <text>
        <r>
          <rPr>
            <sz val="8"/>
            <rFont val="Tahoma"/>
            <family val="0"/>
          </rPr>
          <t>5 Year Plan</t>
        </r>
      </text>
    </comment>
    <comment ref="A65" authorId="0">
      <text>
        <r>
          <rPr>
            <sz val="8"/>
            <rFont val="Tahoma"/>
            <family val="0"/>
          </rPr>
          <t>5 yr Scenarios</t>
        </r>
      </text>
    </comment>
    <comment ref="B65" authorId="0">
      <text>
        <r>
          <rPr>
            <sz val="8"/>
            <rFont val="Tahoma"/>
            <family val="0"/>
          </rPr>
          <t>Periods</t>
        </r>
      </text>
    </comment>
    <comment ref="C65" authorId="0">
      <text>
        <r>
          <rPr>
            <sz val="8"/>
            <rFont val="Tahoma"/>
            <family val="0"/>
          </rPr>
          <t>Div to Reg - CO 01 (WF)</t>
        </r>
      </text>
    </comment>
    <comment ref="A68" authorId="0">
      <text>
        <r>
          <rPr>
            <sz val="8"/>
            <rFont val="Tahoma"/>
            <family val="0"/>
          </rPr>
          <t>Net Rev Calc</t>
        </r>
      </text>
    </comment>
    <comment ref="A69" authorId="0">
      <text>
        <r>
          <rPr>
            <sz val="8"/>
            <rFont val="Tahoma"/>
            <family val="0"/>
          </rPr>
          <t>Net Rev Calc</t>
        </r>
      </text>
    </comment>
    <comment ref="A70" authorId="0">
      <text>
        <r>
          <rPr>
            <sz val="8"/>
            <rFont val="Tahoma"/>
            <family val="0"/>
          </rPr>
          <t>Net Rev Calc</t>
        </r>
      </text>
    </comment>
    <comment ref="A71" authorId="0">
      <text>
        <r>
          <rPr>
            <sz val="8"/>
            <rFont val="Tahoma"/>
            <family val="0"/>
          </rPr>
          <t>Net Rev Calc</t>
        </r>
      </text>
    </comment>
    <comment ref="B67" authorId="0">
      <text>
        <r>
          <rPr>
            <sz val="8"/>
            <rFont val="Tahoma"/>
            <family val="0"/>
          </rPr>
          <t>5 Year Plan</t>
        </r>
      </text>
    </comment>
    <comment ref="C67" authorId="0">
      <text>
        <r>
          <rPr>
            <sz val="8"/>
            <rFont val="Tahoma"/>
            <family val="0"/>
          </rPr>
          <t>5 Year Plan</t>
        </r>
      </text>
    </comment>
    <comment ref="A64" authorId="1">
      <text>
        <r>
          <rPr>
            <sz val="8"/>
            <rFont val="Tahoma"/>
            <family val="0"/>
          </rPr>
          <t xml:space="preserve">Adaytum2
TYP=V
SVR=
LIB=Five Yr Plan
CBE=5 Yr Op Rev Calc
FGD=Y
BGD=Y
FGL=Y
BGL=N
SUP=N
BBF=N
NTS=Y
VAL=Y
RHD=N
LCK=N
RFH=N
BBK=Y
OVF=N
IAB=N
BAZ=N
EAZ=N
P01=5 yr Scenarios
P02=Periods
P03=Div to Reg - CO 01 (WF)
R01=Net Rev Calc
C01=5 Year Plan
SLO=D
SLD=NNNNN
RGP=adaytum_page_2
RGR=adaytum_row_2
RGC=adaytum_col_2
RGD=adaytum_data_2
VID=0497D63F50D863C0
CHK=124536032
</t>
        </r>
      </text>
    </comment>
    <comment ref="A1" authorId="1">
      <text>
        <r>
          <rPr>
            <sz val="8"/>
            <rFont val="Tahoma"/>
            <family val="0"/>
          </rPr>
          <t xml:space="preserve">Adaytum2
TYP=V
SVR=
LIB=Five Yr Plan
CBE=5 Yr Op Rev Calc
FGD=Y
BGD=Y
FGL=Y
BGL=N
SUP=N
BBF=N
NTS=Y
VAL=Y
RHD=N
LCK=N
RFH=N
BBK=Y
OVF=N
IAB=N
BAZ=N
EAZ=N
P01=5 yr Scenarios
P02=Periods
R01=Net Rev Calc
R02=Div to Reg - CO 01 (WF)
C01=5 Year Plan
SLO=D
SLD=NNNNN
RGP=adaytum_page_1
RGR=adaytum_row_1
RGC=adaytum_col_1
RGD=adaytum_data_1
VID=8412F56E3BDA63C0
CHK=48866009
</t>
        </r>
      </text>
    </comment>
  </commentList>
</comments>
</file>

<file path=xl/sharedStrings.xml><?xml version="1.0" encoding="utf-8"?>
<sst xmlns="http://schemas.openxmlformats.org/spreadsheetml/2006/main" count="1047" uniqueCount="518">
  <si>
    <t>FLORIDA PUBLIC SERVICE COMMISSION</t>
  </si>
  <si>
    <t>TYPE OF DATA SHOWN:</t>
  </si>
  <si>
    <t xml:space="preserve"> LINE</t>
  </si>
  <si>
    <t>NO.</t>
  </si>
  <si>
    <t>TOTAL</t>
  </si>
  <si>
    <t>NO. OF BILLS</t>
  </si>
  <si>
    <t>THERM SALES</t>
  </si>
  <si>
    <t>UNBILLED THERM SALES</t>
  </si>
  <si>
    <t>TOTAL THERM SALES</t>
  </si>
  <si>
    <t>CUSTOMER CHARGE REVENUE</t>
  </si>
  <si>
    <t>BASE NON-FUEL REVENUE</t>
  </si>
  <si>
    <t>UNBILLED BASE NON-FUEL REVENUE</t>
  </si>
  <si>
    <t>TOTAL BASE NON-FUEL REVENUE</t>
  </si>
  <si>
    <t>FUEL REVENUE</t>
  </si>
  <si>
    <t>UNBILLED FUEL REVENUE</t>
  </si>
  <si>
    <t>TOTAL FUEL REVENUE</t>
  </si>
  <si>
    <t>OTHER REVENUE (1)</t>
  </si>
  <si>
    <t>TOTAL REVENUE</t>
  </si>
  <si>
    <t xml:space="preserve">     TOTAL</t>
  </si>
  <si>
    <t>RECAP SCHEDULES:  E-2</t>
  </si>
  <si>
    <t>REVENUE</t>
  </si>
  <si>
    <t>OTHER REVENUE</t>
  </si>
  <si>
    <t>DIFF. IN NO. OF BILLS</t>
  </si>
  <si>
    <t>DIFF. IN THERM SALES</t>
  </si>
  <si>
    <t>DIFF. IN CUSTOMER CHARGE REVENUE</t>
  </si>
  <si>
    <t>DIFF. IN BASE NON-FUEL REVENUE</t>
  </si>
  <si>
    <t>DIFF. IN OTHER REVENUE</t>
  </si>
  <si>
    <t>DIFF. IN TOTAL REVENUE</t>
  </si>
  <si>
    <t xml:space="preserve"> INCREASE</t>
  </si>
  <si>
    <t>INCREASE</t>
  </si>
  <si>
    <t xml:space="preserve">NUMBER </t>
  </si>
  <si>
    <t>CHARGE</t>
  </si>
  <si>
    <t>CHANGE OF ACCOUNT</t>
  </si>
  <si>
    <t>(1) OTHER REVENUE (regulated only):</t>
  </si>
  <si>
    <t>CONNECTION CHARGE-RESIDENTIAL</t>
  </si>
  <si>
    <t>CONNECTION CHARGE-COMMERCIAL</t>
  </si>
  <si>
    <t>RECONNECTION CHARGE-RESIDENTIAL</t>
  </si>
  <si>
    <t>RECONNECTION CHARGE-COMMERCIAL</t>
  </si>
  <si>
    <t>COLLECTION IN LIEU OF DISCONNECT</t>
  </si>
  <si>
    <t>RETURN CHECK CHARGE</t>
  </si>
  <si>
    <t>COMPANY:   PEOPLES GAS SYSTEM</t>
  </si>
  <si>
    <t>Total</t>
  </si>
  <si>
    <t>Total Miscellaneous Revenue</t>
  </si>
  <si>
    <t>COST OF SERVICE</t>
  </si>
  <si>
    <t>EXPLANATION: THERM SALES AND REVENUES BY RATE SCHEDULE</t>
  </si>
  <si>
    <t>UNDER PRESENT RATES.</t>
  </si>
  <si>
    <t>48701 Forfeited Discounts</t>
  </si>
  <si>
    <t>48805 Returned Check Charge</t>
  </si>
  <si>
    <t>49301 Rental Income</t>
  </si>
  <si>
    <t>Total Operating Income</t>
  </si>
  <si>
    <t>Misc. Service Revenue (488's)</t>
  </si>
  <si>
    <t>TOTAL REVENUE (PG)</t>
  </si>
  <si>
    <t xml:space="preserve"> UNDER PRESENT RATES, ADJUSTED FOR GROWTH IN BILLS</t>
  </si>
  <si>
    <t>AND THERMS, WITHOUT ANY RATE INCREASE.</t>
  </si>
  <si>
    <t>UNDER PROPOSED RATES</t>
  </si>
  <si>
    <t>CSLS   BILLS</t>
  </si>
  <si>
    <t>CSLS   THERMS</t>
  </si>
  <si>
    <t>CSLS   CUST. CHARGE</t>
  </si>
  <si>
    <t>CSLS   ENERGY CHARGE</t>
  </si>
  <si>
    <t>NGVS   BILLS</t>
  </si>
  <si>
    <t>NGVS   THERMS</t>
  </si>
  <si>
    <t>NGVS   CUST. CHARGE</t>
  </si>
  <si>
    <t>NGVS   ENERGY CHARGE</t>
  </si>
  <si>
    <t>WHSE   BILLS</t>
  </si>
  <si>
    <t>WHSE   THERMS</t>
  </si>
  <si>
    <t>WHSE   CUST. CHARGE</t>
  </si>
  <si>
    <t>WHSE   ENERGY CHARGE</t>
  </si>
  <si>
    <t>Bills</t>
  </si>
  <si>
    <t>Therms</t>
  </si>
  <si>
    <t>Customer Charge</t>
  </si>
  <si>
    <t>Energy Charge</t>
  </si>
  <si>
    <t>GS 3   CUST. CHARGE</t>
  </si>
  <si>
    <t>CSLS   PGA</t>
  </si>
  <si>
    <t>NGVS   PGA</t>
  </si>
  <si>
    <t>WHSE   PGA</t>
  </si>
  <si>
    <t>PGA</t>
  </si>
  <si>
    <t>IT ADMINISTRATION CHARGE</t>
  </si>
  <si>
    <t>POOL MANAGER CHARGES</t>
  </si>
  <si>
    <t>FORFEITED DISCOUNTS</t>
  </si>
  <si>
    <t>OTHER REVENUE (RENT)</t>
  </si>
  <si>
    <t>5% or $25</t>
  </si>
  <si>
    <t>Varies</t>
  </si>
  <si>
    <t>TEMPORARY DISCONNECT CHARGE</t>
  </si>
  <si>
    <t>FAILED TRIP CHARGE</t>
  </si>
  <si>
    <t>PAYMENT BY CREDIT CARD CHARGE</t>
  </si>
  <si>
    <t>$142+$0.91 per acct</t>
  </si>
  <si>
    <t>Special</t>
  </si>
  <si>
    <t>Contracts</t>
  </si>
  <si>
    <t>Residential</t>
  </si>
  <si>
    <t>Comm.</t>
  </si>
  <si>
    <t>Street</t>
  </si>
  <si>
    <t>Lighting</t>
  </si>
  <si>
    <t>Service</t>
  </si>
  <si>
    <t>General</t>
  </si>
  <si>
    <t>Service 1</t>
  </si>
  <si>
    <t>Service 2</t>
  </si>
  <si>
    <t>Service 3</t>
  </si>
  <si>
    <t>Service 4</t>
  </si>
  <si>
    <t>Service 5</t>
  </si>
  <si>
    <t>Interr.</t>
  </si>
  <si>
    <t>Large Vol.</t>
  </si>
  <si>
    <t>Gas Sales</t>
  </si>
  <si>
    <t>Wholesale</t>
  </si>
  <si>
    <t>Small</t>
  </si>
  <si>
    <t>Inter.</t>
  </si>
  <si>
    <t>5 Yr Op Rev Calc</t>
  </si>
  <si>
    <t>Total Company 01</t>
  </si>
  <si>
    <t>RS 1   BILLS</t>
  </si>
  <si>
    <t>RS 1   THERMS</t>
  </si>
  <si>
    <t>RS 1   CUST. CHARGE</t>
  </si>
  <si>
    <t>RS 1   ENERGY CHARGE</t>
  </si>
  <si>
    <t>RS 1   PGA</t>
  </si>
  <si>
    <t>CND    BILLS</t>
  </si>
  <si>
    <t>CND    THERMS</t>
  </si>
  <si>
    <t>CND    CUST. CHARGE</t>
  </si>
  <si>
    <t>CND    ENERGY CHARGE</t>
  </si>
  <si>
    <t>CND    PGA</t>
  </si>
  <si>
    <t>CNDT  BILLS</t>
  </si>
  <si>
    <t>CNDT  THERMS</t>
  </si>
  <si>
    <t>CNDT  CUST. CHARGE</t>
  </si>
  <si>
    <t>CNDT  ENERGY CHARGE</t>
  </si>
  <si>
    <t>SGS    BILLS</t>
  </si>
  <si>
    <t>SGS    THERMS</t>
  </si>
  <si>
    <t>SGS    CUST. CHARGE</t>
  </si>
  <si>
    <t>SGS    ENERGY CHARGE</t>
  </si>
  <si>
    <t>SGS    PGA</t>
  </si>
  <si>
    <t>SGTS  BILLS</t>
  </si>
  <si>
    <t>SGTS  THERMS</t>
  </si>
  <si>
    <t>SGTS  CUST. CHARGE</t>
  </si>
  <si>
    <t>SGTS  ENERGY CHARGE</t>
  </si>
  <si>
    <t>GS 1    BILLS</t>
  </si>
  <si>
    <t>GS 1    THERMS</t>
  </si>
  <si>
    <t>GS 1    CUST. CHARGE</t>
  </si>
  <si>
    <t>GS 1    ENERGY CHARGE</t>
  </si>
  <si>
    <t>GS 1    PGA</t>
  </si>
  <si>
    <t>GTS 1  BILLS</t>
  </si>
  <si>
    <t>GTS 1 THERMS</t>
  </si>
  <si>
    <t>GTS 1  CUST. CHARGE</t>
  </si>
  <si>
    <t>GTS 1  ENERGY CHARGE</t>
  </si>
  <si>
    <t>GS 2    BILLS</t>
  </si>
  <si>
    <t>GS 2    THERMS</t>
  </si>
  <si>
    <t>GS 2   CUST. CHARGE</t>
  </si>
  <si>
    <t>GS 2    ENERGY CHARGE</t>
  </si>
  <si>
    <t>GS 2    PGA</t>
  </si>
  <si>
    <t>GTS 2  BILLS</t>
  </si>
  <si>
    <t>GTS 2  THERMS</t>
  </si>
  <si>
    <t>GTS 2  CUST. CHARGE</t>
  </si>
  <si>
    <t>GTS 2  ENERGY CHARGE</t>
  </si>
  <si>
    <t>GS 3    BILLS</t>
  </si>
  <si>
    <t>GS 3    THERMS</t>
  </si>
  <si>
    <t>GS 3    ENERGY CHARGE</t>
  </si>
  <si>
    <t>GS 3    PGA</t>
  </si>
  <si>
    <t>GTS 3  BILLS</t>
  </si>
  <si>
    <t>GTS 3  THERMS</t>
  </si>
  <si>
    <t>GTS 3  ENERGY CHARGE</t>
  </si>
  <si>
    <t>GS 4    BILLS</t>
  </si>
  <si>
    <t>GS 4    THERMS</t>
  </si>
  <si>
    <t>GS 4    CUST. CHARGE</t>
  </si>
  <si>
    <t>GS 4    ENERGY CHARGE</t>
  </si>
  <si>
    <t>GS 4    PGA</t>
  </si>
  <si>
    <t>GTS 4  BILLS</t>
  </si>
  <si>
    <t>GTS 4  THERMS</t>
  </si>
  <si>
    <t>GTS 4  CUST. CHARGE</t>
  </si>
  <si>
    <t>GTS 4  ENERGY CHARGE</t>
  </si>
  <si>
    <t>GS 5    BILLS</t>
  </si>
  <si>
    <t>GS 5    THERMS</t>
  </si>
  <si>
    <t>GS 5    CUST. CHARGE</t>
  </si>
  <si>
    <t>GS 5    ENERGY CHARGE</t>
  </si>
  <si>
    <t>GS 5    PGA</t>
  </si>
  <si>
    <t>GTS 5  BILLS</t>
  </si>
  <si>
    <t>GTS 5  THERMS</t>
  </si>
  <si>
    <t>GTS 5  CUST. CHARGE</t>
  </si>
  <si>
    <t>GTS 5  ENERGY CHARGE</t>
  </si>
  <si>
    <t>CTSLS   BILLS</t>
  </si>
  <si>
    <t>CTSLS  THERMS</t>
  </si>
  <si>
    <t>CTSLS  CUST. CHARGE</t>
  </si>
  <si>
    <t>CTSLS  ENERGY CHARGE</t>
  </si>
  <si>
    <t>NTGV   BILLS</t>
  </si>
  <si>
    <t>NTGV   THERMS</t>
  </si>
  <si>
    <t>NTGV   CUST. CHARGE</t>
  </si>
  <si>
    <t>NTGV   ENERGY CHARGE</t>
  </si>
  <si>
    <t>WHST  BILLS</t>
  </si>
  <si>
    <t>WHST  THERMS</t>
  </si>
  <si>
    <t>WHST  CUST. CHARGE</t>
  </si>
  <si>
    <t>WHST  ENERGY CHARGE</t>
  </si>
  <si>
    <t>SITS     BILLS</t>
  </si>
  <si>
    <t>SITS    THERMS</t>
  </si>
  <si>
    <t>SITS     CUST. CHARGE</t>
  </si>
  <si>
    <t>SITS     ENERGY CHARGE</t>
  </si>
  <si>
    <t>ITS     BILLS</t>
  </si>
  <si>
    <t>ITS     THERMS</t>
  </si>
  <si>
    <t>ITS     CUST. CHARGE</t>
  </si>
  <si>
    <t>ITS     ENERGY CHARGE</t>
  </si>
  <si>
    <t>ITSLV   BILLS</t>
  </si>
  <si>
    <t>ITSLV   THERMS</t>
  </si>
  <si>
    <t>ITSLV   CUST. CHARGE</t>
  </si>
  <si>
    <t>ITSLV   ENERGY CHARGE</t>
  </si>
  <si>
    <t>OSS   BILLS</t>
  </si>
  <si>
    <t>OSS   THERMS</t>
  </si>
  <si>
    <t>OSS   CUST. CHARGE</t>
  </si>
  <si>
    <t>OSS   ENERGY CHARGE</t>
  </si>
  <si>
    <t>OSS   PGA</t>
  </si>
  <si>
    <t>48801 Misc. Serv. Revenue</t>
  </si>
  <si>
    <t>48802 Misc. Serv. Rev - Connect GS</t>
  </si>
  <si>
    <t>48803 Misc. Serv. Rev - Chg Acct</t>
  </si>
  <si>
    <t>48804 Misc. Serv. Rev - Trip Chrg</t>
  </si>
  <si>
    <t>48806 Failed Trip Chrg</t>
  </si>
  <si>
    <t>48807 Temporary Disconnect</t>
  </si>
  <si>
    <t>48808 Credit Card Fee</t>
  </si>
  <si>
    <t>48809 Damaged Facilities Billing</t>
  </si>
  <si>
    <t>48811 I.T.S. Revenue</t>
  </si>
  <si>
    <t>49519 Pool Admin Chrg</t>
  </si>
  <si>
    <t>Franchise Fees</t>
  </si>
  <si>
    <t>Gross Receipts</t>
  </si>
  <si>
    <t>Energy Conservation</t>
  </si>
  <si>
    <t>Total Regions</t>
  </si>
  <si>
    <t>Corporate</t>
  </si>
  <si>
    <t>total Mis</t>
  </si>
  <si>
    <t>Op Rev</t>
  </si>
  <si>
    <t xml:space="preserve"> 10</t>
  </si>
  <si>
    <t xml:space="preserve"> 14</t>
  </si>
  <si>
    <t xml:space="preserve"> 06</t>
  </si>
  <si>
    <t>Plan 2008</t>
  </si>
  <si>
    <t>Actual 2006</t>
  </si>
  <si>
    <t>GTS 3  CUST. CHARGE</t>
  </si>
  <si>
    <t>Sebring</t>
  </si>
  <si>
    <t>Arizona Chem</t>
  </si>
  <si>
    <t>JEA</t>
  </si>
  <si>
    <t xml:space="preserve"> 08</t>
  </si>
  <si>
    <t>Hardee, Seminole</t>
  </si>
  <si>
    <t>Auburdale</t>
  </si>
  <si>
    <t>En Chg</t>
  </si>
  <si>
    <t>C Chg</t>
  </si>
  <si>
    <t>Auburndale, Lakeland Elec, Vandolah</t>
  </si>
  <si>
    <t>49517 Hardee Maintenance</t>
  </si>
  <si>
    <t>Hardee Maintenance</t>
  </si>
  <si>
    <t>R1 - Base January 2008</t>
  </si>
  <si>
    <t>Actual 2007</t>
  </si>
  <si>
    <t>Plan 2009</t>
  </si>
  <si>
    <t>Standby</t>
  </si>
  <si>
    <t>Generators</t>
  </si>
  <si>
    <t>Commercial</t>
  </si>
  <si>
    <t>RSG   BILLS</t>
  </si>
  <si>
    <t>RSG   THERMS</t>
  </si>
  <si>
    <t>RSG   CUST. CHARGE</t>
  </si>
  <si>
    <t>RSG   ENERGY CHARGE</t>
  </si>
  <si>
    <t>RSG   PGA</t>
  </si>
  <si>
    <t>CSG   BILLS</t>
  </si>
  <si>
    <t>CSG   THERMS</t>
  </si>
  <si>
    <t>CSG   CUST. CHARGE</t>
  </si>
  <si>
    <t>CSG   ENERGY CHARGE</t>
  </si>
  <si>
    <t>CSG   PGA</t>
  </si>
  <si>
    <t>CTG   BILLS</t>
  </si>
  <si>
    <t>CTG   THERMS</t>
  </si>
  <si>
    <t>CTG   CUST. CHARGE</t>
  </si>
  <si>
    <t>CTG   ENERGY CHARGE</t>
  </si>
  <si>
    <t>NetRev 2007</t>
  </si>
  <si>
    <t>Actual</t>
  </si>
  <si>
    <t>Amount</t>
  </si>
  <si>
    <t>Residential Generators</t>
  </si>
  <si>
    <t>Condominiums</t>
  </si>
  <si>
    <t>Commercial St. Lighting</t>
  </si>
  <si>
    <t>Commercial Generators</t>
  </si>
  <si>
    <t>Small Commercial</t>
  </si>
  <si>
    <t>Gen Serv 1</t>
  </si>
  <si>
    <t>Gen Serv 2</t>
  </si>
  <si>
    <t>Gen Serv 3</t>
  </si>
  <si>
    <t>Gen Serv 4</t>
  </si>
  <si>
    <t>Gen Serv 5</t>
  </si>
  <si>
    <t>Nat Gas Vehicles</t>
  </si>
  <si>
    <t>Sm. Interruptible</t>
  </si>
  <si>
    <t>Interruptible</t>
  </si>
  <si>
    <t>Interruptible LV</t>
  </si>
  <si>
    <t>Lakeland Electric</t>
  </si>
  <si>
    <t>Seminole Electric</t>
  </si>
  <si>
    <t>FMPA Flat Amount</t>
  </si>
  <si>
    <t>Interruptible LV JEA</t>
  </si>
  <si>
    <t>Interruptible LV JEA&gt;120m</t>
  </si>
  <si>
    <t>JEA Flat Amount</t>
  </si>
  <si>
    <t>Off System Sales</t>
  </si>
  <si>
    <t>Revenue from Therm Sales</t>
  </si>
  <si>
    <t>Residential CS</t>
  </si>
  <si>
    <t>Res Gen CS</t>
  </si>
  <si>
    <t>Condominium CS</t>
  </si>
  <si>
    <t>Com Gen CS</t>
  </si>
  <si>
    <t>Small Commercial CS</t>
  </si>
  <si>
    <t>Gen Serv 1 CS</t>
  </si>
  <si>
    <t>Gen Serv 2 CS</t>
  </si>
  <si>
    <t>Gen Serv 3 CS</t>
  </si>
  <si>
    <t>Gen Serv 4 CS</t>
  </si>
  <si>
    <t>Gen Serv 5 CS</t>
  </si>
  <si>
    <t>Nat Gas Vehicles CS</t>
  </si>
  <si>
    <t>Wholesale CS</t>
  </si>
  <si>
    <t>Sm. Interruptible CS</t>
  </si>
  <si>
    <t>Interruptible CS</t>
  </si>
  <si>
    <t>Interruptible LV CS</t>
  </si>
  <si>
    <t>Total Customer Charges</t>
  </si>
  <si>
    <t>Late Fees (48701)</t>
  </si>
  <si>
    <t>Connect Charges (48801-48808)</t>
  </si>
  <si>
    <t>ITS Administration Fee (48811)</t>
  </si>
  <si>
    <t>Gross Rec. &amp; Fran. Fee Rev (48814,48830)</t>
  </si>
  <si>
    <t>Sales Tax Commission (49501)</t>
  </si>
  <si>
    <t>Energy Conservation (49503/04/13/14)</t>
  </si>
  <si>
    <t>Rev Tax on PGA (Calc)</t>
  </si>
  <si>
    <t>Customer Refund (495-10)</t>
  </si>
  <si>
    <t>Pool Mgr Adm Chrg/Hardee/FGU (49509/17/18/19)</t>
  </si>
  <si>
    <t>Leased Utility Equip (49301/02)</t>
  </si>
  <si>
    <t>Misc Unbilled charges</t>
  </si>
  <si>
    <t>Other</t>
  </si>
  <si>
    <t>Customer Acct. Correction</t>
  </si>
  <si>
    <t>49526 Rate Relief</t>
  </si>
  <si>
    <t>Total Net Revenue</t>
  </si>
  <si>
    <t>Adj. Cost of Gas</t>
  </si>
  <si>
    <t>Revenue Tax Factor</t>
  </si>
  <si>
    <t>Gross Revenue (480-499)</t>
  </si>
  <si>
    <t>Total Revenue before "Other"</t>
  </si>
  <si>
    <t>Imp. Cost of Gas</t>
  </si>
  <si>
    <t>Less PGA on OSS Sales</t>
  </si>
  <si>
    <t>Net Rev w/o Taxes &amp; EC</t>
  </si>
  <si>
    <t>Region Total</t>
  </si>
  <si>
    <t xml:space="preserve"> 90</t>
  </si>
  <si>
    <t>Off System</t>
  </si>
  <si>
    <t>Sales</t>
  </si>
  <si>
    <t>Res Therms</t>
  </si>
  <si>
    <t>Comm Firm therms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</si>
  <si>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</si>
  <si>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</si>
  <si>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</si>
  <si>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</si>
  <si>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</si>
  <si>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</si>
  <si>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</si>
  <si>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</si>
  <si>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</si>
  <si>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</si>
  <si>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</si>
  <si>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</si>
  <si>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RS</t>
  </si>
  <si>
    <t>Div Import Therms</t>
  </si>
  <si>
    <t>48001</t>
  </si>
  <si>
    <t>48021</t>
  </si>
  <si>
    <t>48031</t>
  </si>
  <si>
    <t>48035</t>
  </si>
  <si>
    <t>48101</t>
  </si>
  <si>
    <t>48102</t>
  </si>
  <si>
    <t>48103</t>
  </si>
  <si>
    <t>48104</t>
  </si>
  <si>
    <t>48105</t>
  </si>
  <si>
    <t>48112</t>
  </si>
  <si>
    <t>48113</t>
  </si>
  <si>
    <t>48115</t>
  </si>
  <si>
    <t>48121</t>
  </si>
  <si>
    <t>48122</t>
  </si>
  <si>
    <t>48123</t>
  </si>
  <si>
    <t>48125</t>
  </si>
  <si>
    <t>48135</t>
  </si>
  <si>
    <t>48301</t>
  </si>
  <si>
    <t>48391</t>
  </si>
  <si>
    <t>Unbilled Therms</t>
  </si>
  <si>
    <t>Res</t>
  </si>
  <si>
    <t>SGS</t>
  </si>
  <si>
    <t>GS1</t>
  </si>
  <si>
    <t>GS2</t>
  </si>
  <si>
    <t>GS3</t>
  </si>
  <si>
    <t>NGV</t>
  </si>
  <si>
    <t>CSL</t>
  </si>
  <si>
    <t>Com</t>
  </si>
  <si>
    <t>48106</t>
  </si>
  <si>
    <t>48107</t>
  </si>
  <si>
    <t>48108</t>
  </si>
  <si>
    <t>48110</t>
  </si>
  <si>
    <t>48111</t>
  </si>
  <si>
    <t>GS4</t>
  </si>
  <si>
    <t>GS5</t>
  </si>
  <si>
    <t>WHS</t>
  </si>
  <si>
    <t>RSG</t>
  </si>
  <si>
    <t>CSG</t>
  </si>
  <si>
    <t>HISTORIC BASE YEAR DATA:  12/31/2007</t>
  </si>
  <si>
    <t>PROJECTED TEST YEAR:      12/31/2009</t>
  </si>
  <si>
    <t xml:space="preserve">WITNESS:  </t>
  </si>
  <si>
    <t>PAGE 1 OF 3</t>
  </si>
  <si>
    <t>PAGE 2 OF 3</t>
  </si>
  <si>
    <t>S. RICHARDS</t>
  </si>
  <si>
    <t>Plan 2009 OLD RATES</t>
  </si>
  <si>
    <t xml:space="preserve">This needs to be </t>
  </si>
  <si>
    <t>updated.</t>
  </si>
  <si>
    <t>New links required.</t>
  </si>
  <si>
    <t>S.C.    BILLS</t>
  </si>
  <si>
    <t>S.C.    THERMS</t>
  </si>
  <si>
    <t>S.C.    CUST. CHARGE</t>
  </si>
  <si>
    <t>S.C.    ENERGY CHARGE</t>
  </si>
  <si>
    <t>New</t>
  </si>
  <si>
    <t xml:space="preserve">Residential </t>
  </si>
  <si>
    <t>495xx Other Gas Revenue - PGA, FTA, BuySell</t>
  </si>
  <si>
    <t>493xx Rental Income</t>
  </si>
  <si>
    <t>RS 2   BILLS</t>
  </si>
  <si>
    <t>RS 2   THERMS</t>
  </si>
  <si>
    <t>RS 2   CUST. CHARGE</t>
  </si>
  <si>
    <t>RS 2   ENERGY CHARGE</t>
  </si>
  <si>
    <t>RS 2   PGA</t>
  </si>
  <si>
    <t>Serv Order Hist</t>
  </si>
  <si>
    <t># of Orders</t>
  </si>
  <si>
    <t>10  Restore - Generator Install</t>
  </si>
  <si>
    <t>33  Soft  On</t>
  </si>
  <si>
    <t>34  Turn On - Existing Comm</t>
  </si>
  <si>
    <t>35  Turn On - Existing RESA</t>
  </si>
  <si>
    <t>36  Turn On - New RESA</t>
  </si>
  <si>
    <t>37  Lite Up and Turn On Appl</t>
  </si>
  <si>
    <t>38  Lite-Up Appl Only</t>
  </si>
  <si>
    <t>2007</t>
  </si>
  <si>
    <t>2008</t>
  </si>
  <si>
    <t>26  Temp T/Off - Chrg</t>
  </si>
  <si>
    <t>31  Meter Read-In/Read-Out</t>
  </si>
  <si>
    <t>39  Turn On - New Comm</t>
  </si>
  <si>
    <t>68  Minor Repair &amp; Adjustment</t>
  </si>
  <si>
    <t>69  Appliance Connect</t>
  </si>
  <si>
    <t>72  Collect In Field</t>
  </si>
  <si>
    <t>6    Restore Service - Non Pay</t>
  </si>
  <si>
    <t>12  Restore Service - Temp Off</t>
  </si>
  <si>
    <t>20  Door Hanger - Collection</t>
  </si>
  <si>
    <t>40  Meter Set On - Existing</t>
  </si>
  <si>
    <t>41  Meter Set On - RESA</t>
  </si>
  <si>
    <t>42  Meter Set On - New Comm</t>
  </si>
  <si>
    <t>Project 2009</t>
  </si>
  <si>
    <t>THIS SECTION IS ONLY USED FOR SEBRING NOW.</t>
  </si>
  <si>
    <t xml:space="preserve">Other Revenue / </t>
  </si>
  <si>
    <t>Revenue Related Taxes</t>
  </si>
  <si>
    <t>DOCKET NO.:   080318-GU</t>
  </si>
  <si>
    <t>RES GS 1  BILLS</t>
  </si>
  <si>
    <t>RES GS 1  THERMS</t>
  </si>
  <si>
    <t>RES GS 1  CUST. CHARGE</t>
  </si>
  <si>
    <t>RES GS 1  ENERGY CHARGE</t>
  </si>
  <si>
    <t>RES GS 1  PGA</t>
  </si>
  <si>
    <t>RES GS 2  BILLS</t>
  </si>
  <si>
    <t>RES GS 2  THERMS</t>
  </si>
  <si>
    <t>RES GS 2  CUST. CHARGE</t>
  </si>
  <si>
    <t>RES GS 2  ENERGY CHARGE</t>
  </si>
  <si>
    <t>RES GS 2  PGA</t>
  </si>
  <si>
    <t>RS 3   BILLS</t>
  </si>
  <si>
    <t>RS 3   THERMS</t>
  </si>
  <si>
    <t>RS 3   CUST. CHARGE</t>
  </si>
  <si>
    <t>RS 3   ENERGY CHARGE</t>
  </si>
  <si>
    <t>RS 3   PGA</t>
  </si>
  <si>
    <t>RES GS 3 BILLS</t>
  </si>
  <si>
    <t>RES GS 3 THERMS</t>
  </si>
  <si>
    <t>RES GS 3 CUST. CHARGE</t>
  </si>
  <si>
    <t>RES GS 3 ENERGY CHARGE</t>
  </si>
  <si>
    <t>RES GS 3 PGA</t>
  </si>
  <si>
    <t>1</t>
  </si>
  <si>
    <t>2</t>
  </si>
  <si>
    <t>3</t>
  </si>
  <si>
    <t>Difference is OSS; it is hand keyed on the schedule</t>
  </si>
  <si>
    <t>Check</t>
  </si>
  <si>
    <t>PAGE 3 OF 3</t>
  </si>
  <si>
    <t>R2 - Make Whole May 2008</t>
  </si>
  <si>
    <t>RECONCILING ITEMS:</t>
  </si>
  <si>
    <t>TOTAL REVENUE (PER SCHEDULE C-3)</t>
  </si>
  <si>
    <t>TAXES OTHER (FF &amp; GR)</t>
  </si>
  <si>
    <t>C1</t>
  </si>
  <si>
    <t>ENERGY CONSERVATION</t>
  </si>
  <si>
    <t>C2</t>
  </si>
  <si>
    <t>Other (Fuel Related)</t>
  </si>
  <si>
    <t>RES GTS 1  BILLS</t>
  </si>
  <si>
    <t>RES GTS 1  THERMS</t>
  </si>
  <si>
    <t>RES GTS 1  CUST. CHARGE</t>
  </si>
  <si>
    <t>RES GTS 1  ENERGY CHARGE</t>
  </si>
  <si>
    <t>RES GTS 2  BILLS</t>
  </si>
  <si>
    <t>RES GTS 2 THERMS</t>
  </si>
  <si>
    <t>RES GTS 2  CUST. CHARGE</t>
  </si>
  <si>
    <t>RES GTS 2  ENERGY CHARGE</t>
  </si>
  <si>
    <t>RES GTS 3  BILLS</t>
  </si>
  <si>
    <t>RES GTS 3  THERMS</t>
  </si>
  <si>
    <t>RES GTS 3  CUST. CHARGE</t>
  </si>
  <si>
    <t>RES GTS 3  ENERGY CHARGE</t>
  </si>
  <si>
    <t>49518 PM Switch $30 Terminate Fee</t>
  </si>
  <si>
    <t>therms</t>
  </si>
  <si>
    <t>Cust Chrg</t>
  </si>
  <si>
    <t>Energy Chrg</t>
  </si>
  <si>
    <t>misc Rev</t>
  </si>
  <si>
    <t>Tie to H1</t>
  </si>
  <si>
    <t>DO NOT REFRESH</t>
  </si>
  <si>
    <t>Check - total revenue increase</t>
  </si>
  <si>
    <t>Higher (lower) than G-5</t>
  </si>
  <si>
    <t>G-5 linked</t>
  </si>
  <si>
    <t>HBY 12/31/07</t>
  </si>
  <si>
    <t>SUPPORTING SCHEDULES:  C-3</t>
  </si>
  <si>
    <t>SUPPORTING SCHEDULES:  G-2, pg. 8</t>
  </si>
  <si>
    <t>PTY 12/31/09, w/o Rate Increase</t>
  </si>
  <si>
    <t>PTY 12/31/09, Proposed Rates</t>
  </si>
  <si>
    <t xml:space="preserve">DOLLAR AMOUNT (40+41-8) </t>
  </si>
  <si>
    <t>DOLLAR AMOUNT (40+41-29)</t>
  </si>
  <si>
    <t>% NON-FUEL ((40+41)/8)</t>
  </si>
  <si>
    <t>% TOTAL  (44/13)</t>
  </si>
  <si>
    <t>SERVICE CHARGES</t>
  </si>
  <si>
    <t>SUPPORTING SCHEDULES:  G-6, H-1</t>
  </si>
  <si>
    <r>
      <t>Note</t>
    </r>
    <r>
      <rPr>
        <sz val="10"/>
        <rFont val="Arial"/>
        <family val="2"/>
      </rPr>
      <t>: Schedule reflects reclassifications among rate classes as summarized on G-6, pages 4-7.</t>
    </r>
  </si>
  <si>
    <r>
      <t>Note</t>
    </r>
    <r>
      <rPr>
        <sz val="10"/>
        <rFont val="Arial"/>
        <family val="2"/>
      </rPr>
      <t xml:space="preserve">: Schedule does </t>
    </r>
    <r>
      <rPr>
        <u val="single"/>
        <sz val="10"/>
        <rFont val="Arial"/>
        <family val="2"/>
      </rPr>
      <t>not</t>
    </r>
    <r>
      <rPr>
        <sz val="10"/>
        <rFont val="Arial"/>
        <family val="2"/>
      </rPr>
      <t xml:space="preserve"> reflect reclassifications among rate classes as proposed on E-1, page 3.</t>
    </r>
  </si>
  <si>
    <t>RS therms by new classes per H-1</t>
  </si>
  <si>
    <t>Total RS</t>
  </si>
  <si>
    <t>RS therms per Aday worksheet</t>
  </si>
  <si>
    <t>Difference - Aday &gt; (&lt;) H-1</t>
  </si>
  <si>
    <t>Rounded RS to tenths; all others rounded to nearest therm</t>
  </si>
  <si>
    <t>2009 AT EXISTING CHARGES</t>
  </si>
  <si>
    <t>2009 AT PROPOSED CHARGES</t>
  </si>
  <si>
    <t>UNLOCATED DIFFERENCE</t>
  </si>
  <si>
    <t>Per H-1</t>
  </si>
  <si>
    <t>Diff</t>
  </si>
  <si>
    <t>Per Therm Revenue</t>
  </si>
  <si>
    <t>RS revenue by new classes per H-1</t>
  </si>
  <si>
    <t>RS revenue per Aday worksheet</t>
  </si>
  <si>
    <t>RS PGA rev. by new classes per H-1</t>
  </si>
  <si>
    <t>RS PGA rev. per Aday worksheet</t>
  </si>
  <si>
    <t>PGA (pro rata calc.)</t>
  </si>
  <si>
    <r>
      <t>Average usage by cust class (</t>
    </r>
    <r>
      <rPr>
        <b/>
        <sz val="10"/>
        <rFont val="Arial"/>
        <family val="2"/>
      </rPr>
      <t>used in E-5</t>
    </r>
    <r>
      <rPr>
        <sz val="10"/>
        <rFont val="Arial"/>
        <family val="2"/>
      </rPr>
      <t>)</t>
    </r>
  </si>
  <si>
    <t xml:space="preserve">           RECAP SCHEDULES:  E-2, H-2, H-3</t>
  </si>
  <si>
    <t>Vehicle</t>
  </si>
  <si>
    <t>Check these links to H1</t>
  </si>
  <si>
    <t>SCHEDULE E-1 (Revised)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</si>
</sst>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#,##0.0_);\(#,##0.0\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_)"/>
    <numFmt numFmtId="169" formatCode="0_)"/>
    <numFmt numFmtId="170" formatCode="&quot;$&quot;#,##0.000_);\(&quot;$&quot;#,##0.000\)"/>
    <numFmt numFmtId="171" formatCode="&quot;$&quot;#,##0.0_);\(&quot;$&quot;#,##0.0\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_);\(0\)"/>
    <numFmt numFmtId="176" formatCode="#,##0.000000000_);\(#,##0.000000000\)"/>
    <numFmt numFmtId="177" formatCode="#,##0.00000000_);\(#,##0.00000000\)"/>
    <numFmt numFmtId="178" formatCode="&quot;$&quot;#,##0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_(* #,##0.000000000_);_(* \(#,##0.000000000\);_(* &quot;-&quot;??_);_(@_)"/>
    <numFmt numFmtId="186" formatCode="_(* #,##0.0000000000_);_(* \(#,##0.0000000000\);_(* &quot;-&quot;??_);_(@_)"/>
    <numFmt numFmtId="187" formatCode="_(* #,##0.00000000000_);_(* \(#,##0.00000000000\);_(* &quot;-&quot;??_);_(@_)"/>
    <numFmt numFmtId="188" formatCode="_(* #,##0.000000000000_);_(* \(#,##0.000000000000\);_(* &quot;-&quot;??_);_(@_)"/>
    <numFmt numFmtId="189" formatCode="_(* #,##0.0000000000000_);_(* \(#,##0.0000000000000\);_(* &quot;-&quot;??_);_(@_)"/>
    <numFmt numFmtId="190" formatCode="_(* #,##0.00000000000000_);_(* \(#,##0.00000000000000\);_(* &quot;-&quot;??_);_(@_)"/>
    <numFmt numFmtId="191" formatCode="_(* #,##0.000000000000000_);_(* \(#,##0.000000000000000\);_(* &quot;-&quot;??_);_(@_)"/>
    <numFmt numFmtId="192" formatCode="_(* #,##0.0000000000000000_);_(* \(#,##0.0000000000000000\);_(* &quot;-&quot;??_);_(@_)"/>
    <numFmt numFmtId="193" formatCode="_(* #,##0.00000_);_(* \(#,##0.00000\);_(* &quot;-&quot;?????_);_(@_)"/>
    <numFmt numFmtId="194" formatCode="#,##0.000_);\(#,##0.000\)"/>
    <numFmt numFmtId="195" formatCode="#,##0.0000_);\(#,##0.0000\)"/>
    <numFmt numFmtId="196" formatCode="0.000_)"/>
    <numFmt numFmtId="197" formatCode="0.0000_)"/>
    <numFmt numFmtId="198" formatCode="0.00000_)"/>
  </numFmts>
  <fonts count="60">
    <font>
      <sz val="10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10"/>
      <name val="Courier"/>
      <family val="3"/>
    </font>
    <font>
      <u val="single"/>
      <sz val="10"/>
      <name val="Arial"/>
      <family val="2"/>
    </font>
    <font>
      <sz val="11"/>
      <name val="Arial"/>
      <family val="2"/>
    </font>
    <font>
      <sz val="11"/>
      <name val="Courier"/>
      <family val="0"/>
    </font>
    <font>
      <sz val="8"/>
      <name val="Arial"/>
      <family val="2"/>
    </font>
    <font>
      <sz val="8"/>
      <name val="Tahoma"/>
      <family val="0"/>
    </font>
    <font>
      <sz val="10"/>
      <color indexed="12"/>
      <name val="Courier"/>
      <family val="0"/>
    </font>
    <font>
      <sz val="10"/>
      <color indexed="8"/>
      <name val="Courier"/>
      <family val="0"/>
    </font>
    <font>
      <sz val="11"/>
      <color indexed="12"/>
      <name val="Arial"/>
      <family val="2"/>
    </font>
    <font>
      <sz val="8"/>
      <name val="Courier"/>
      <family val="0"/>
    </font>
    <font>
      <sz val="10"/>
      <color indexed="10"/>
      <name val="Courier"/>
      <family val="0"/>
    </font>
    <font>
      <b/>
      <sz val="8"/>
      <name val="Tahoma"/>
      <family val="0"/>
    </font>
    <font>
      <b/>
      <sz val="10"/>
      <color indexed="12"/>
      <name val="Courier"/>
      <family val="3"/>
    </font>
    <font>
      <sz val="11"/>
      <color indexed="10"/>
      <name val="Arial"/>
      <family val="2"/>
    </font>
    <font>
      <b/>
      <u val="single"/>
      <sz val="10"/>
      <color indexed="10"/>
      <name val="Courier"/>
      <family val="3"/>
    </font>
    <font>
      <sz val="10"/>
      <color indexed="10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1">
    <xf numFmtId="164" fontId="0" fillId="0" borderId="0" xfId="0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10" xfId="0" applyFont="1" applyBorder="1" applyAlignment="1" applyProtection="1">
      <alignment horizontal="fill"/>
      <protection/>
    </xf>
    <xf numFmtId="164" fontId="1" fillId="0" borderId="0" xfId="0" applyFont="1" applyAlignment="1" applyProtection="1" quotePrefix="1">
      <alignment horizontal="left"/>
      <protection/>
    </xf>
    <xf numFmtId="164" fontId="1" fillId="0" borderId="0" xfId="0" applyFont="1" applyAlignment="1" applyProtection="1">
      <alignment horizontal="center"/>
      <protection/>
    </xf>
    <xf numFmtId="164" fontId="1" fillId="0" borderId="10" xfId="0" applyFont="1" applyBorder="1" applyAlignment="1" applyProtection="1">
      <alignment horizontal="center"/>
      <protection/>
    </xf>
    <xf numFmtId="164" fontId="1" fillId="0" borderId="10" xfId="0" applyFont="1" applyBorder="1" applyAlignment="1">
      <alignment/>
    </xf>
    <xf numFmtId="37" fontId="1" fillId="0" borderId="0" xfId="0" applyNumberFormat="1" applyFont="1" applyAlignment="1" applyProtection="1">
      <alignment/>
      <protection/>
    </xf>
    <xf numFmtId="164" fontId="1" fillId="0" borderId="0" xfId="0" applyFont="1" applyAlignment="1" applyProtection="1">
      <alignment horizontal="right"/>
      <protection/>
    </xf>
    <xf numFmtId="164" fontId="1" fillId="0" borderId="0" xfId="0" applyFont="1" applyBorder="1" applyAlignment="1">
      <alignment/>
    </xf>
    <xf numFmtId="167" fontId="1" fillId="0" borderId="0" xfId="44" applyNumberFormat="1" applyFont="1" applyAlignment="1">
      <alignment/>
    </xf>
    <xf numFmtId="164" fontId="1" fillId="0" borderId="0" xfId="0" applyFont="1" applyBorder="1" applyAlignment="1" applyProtection="1">
      <alignment horizontal="fill"/>
      <protection/>
    </xf>
    <xf numFmtId="173" fontId="1" fillId="0" borderId="0" xfId="42" applyNumberFormat="1" applyFont="1" applyAlignment="1">
      <alignment/>
    </xf>
    <xf numFmtId="169" fontId="1" fillId="0" borderId="0" xfId="0" applyNumberFormat="1" applyFont="1" applyAlignment="1" applyProtection="1">
      <alignment horizontal="center"/>
      <protection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4" fontId="1" fillId="0" borderId="10" xfId="0" applyFont="1" applyBorder="1" applyAlignment="1" applyProtection="1" quotePrefix="1">
      <alignment horizontal="left"/>
      <protection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9" fontId="2" fillId="0" borderId="0" xfId="0" applyNumberFormat="1" applyFont="1" applyAlignment="1" applyProtection="1" quotePrefix="1">
      <alignment horizontal="left"/>
      <protection locked="0"/>
    </xf>
    <xf numFmtId="169" fontId="2" fillId="0" borderId="0" xfId="0" applyNumberFormat="1" applyFont="1" applyBorder="1" applyAlignment="1" applyProtection="1" quotePrefix="1">
      <alignment horizontal="left"/>
      <protection/>
    </xf>
    <xf numFmtId="164" fontId="1" fillId="0" borderId="0" xfId="0" applyFont="1" applyAlignment="1" applyProtection="1" quotePrefix="1">
      <alignment horizontal="center"/>
      <protection/>
    </xf>
    <xf numFmtId="164" fontId="1" fillId="0" borderId="0" xfId="0" applyFont="1" applyAlignment="1" applyProtection="1" quotePrefix="1">
      <alignment horizontal="right"/>
      <protection/>
    </xf>
    <xf numFmtId="173" fontId="0" fillId="0" borderId="0" xfId="42" applyNumberFormat="1" applyFont="1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4" fillId="0" borderId="10" xfId="0" applyFont="1" applyBorder="1" applyAlignment="1">
      <alignment/>
    </xf>
    <xf numFmtId="164" fontId="1" fillId="0" borderId="11" xfId="0" applyFont="1" applyBorder="1" applyAlignment="1" applyProtection="1">
      <alignment horizontal="center"/>
      <protection/>
    </xf>
    <xf numFmtId="164" fontId="1" fillId="0" borderId="11" xfId="0" applyFont="1" applyBorder="1" applyAlignment="1">
      <alignment/>
    </xf>
    <xf numFmtId="164" fontId="0" fillId="0" borderId="11" xfId="0" applyBorder="1" applyAlignment="1">
      <alignment/>
    </xf>
    <xf numFmtId="164" fontId="4" fillId="0" borderId="0" xfId="0" applyFont="1" applyBorder="1" applyAlignment="1">
      <alignment/>
    </xf>
    <xf numFmtId="169" fontId="2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10" xfId="0" applyFont="1" applyBorder="1" applyAlignment="1" applyProtection="1">
      <alignment horizontal="fill"/>
      <protection/>
    </xf>
    <xf numFmtId="5" fontId="5" fillId="0" borderId="0" xfId="0" applyNumberFormat="1" applyFont="1" applyAlignment="1" applyProtection="1">
      <alignment/>
      <protection/>
    </xf>
    <xf numFmtId="173" fontId="5" fillId="0" borderId="0" xfId="42" applyNumberFormat="1" applyFont="1" applyAlignment="1">
      <alignment/>
    </xf>
    <xf numFmtId="5" fontId="5" fillId="0" borderId="12" xfId="0" applyNumberFormat="1" applyFont="1" applyBorder="1" applyAlignment="1" applyProtection="1">
      <alignment/>
      <protection/>
    </xf>
    <xf numFmtId="164" fontId="5" fillId="0" borderId="0" xfId="0" applyFont="1" applyAlignment="1" applyProtection="1">
      <alignment horizontal="fill"/>
      <protection/>
    </xf>
    <xf numFmtId="164" fontId="5" fillId="0" borderId="0" xfId="0" applyFont="1" applyAlignment="1" applyProtection="1">
      <alignment/>
      <protection/>
    </xf>
    <xf numFmtId="164" fontId="5" fillId="0" borderId="0" xfId="0" applyFont="1" applyBorder="1" applyAlignment="1">
      <alignment horizontal="right"/>
    </xf>
    <xf numFmtId="5" fontId="5" fillId="0" borderId="0" xfId="0" applyNumberFormat="1" applyFont="1" applyBorder="1" applyAlignment="1" applyProtection="1">
      <alignment/>
      <protection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 applyProtection="1">
      <alignment horizontal="center"/>
      <protection/>
    </xf>
    <xf numFmtId="164" fontId="5" fillId="0" borderId="10" xfId="0" applyFont="1" applyBorder="1" applyAlignment="1" applyProtection="1">
      <alignment horizontal="center"/>
      <protection/>
    </xf>
    <xf numFmtId="164" fontId="5" fillId="0" borderId="0" xfId="0" applyFont="1" applyAlignment="1">
      <alignment horizontal="center"/>
    </xf>
    <xf numFmtId="164" fontId="5" fillId="0" borderId="0" xfId="0" applyFont="1" applyBorder="1" applyAlignment="1" applyProtection="1">
      <alignment horizontal="fill"/>
      <protection/>
    </xf>
    <xf numFmtId="167" fontId="5" fillId="0" borderId="0" xfId="44" applyNumberFormat="1" applyFont="1" applyAlignment="1">
      <alignment/>
    </xf>
    <xf numFmtId="164" fontId="5" fillId="0" borderId="10" xfId="0" applyFont="1" applyBorder="1" applyAlignment="1" applyProtection="1">
      <alignment horizontal="left"/>
      <protection/>
    </xf>
    <xf numFmtId="164" fontId="5" fillId="0" borderId="11" xfId="0" applyFont="1" applyBorder="1" applyAlignment="1" applyProtection="1">
      <alignment horizontal="fill"/>
      <protection/>
    </xf>
    <xf numFmtId="164" fontId="5" fillId="0" borderId="11" xfId="0" applyFont="1" applyBorder="1" applyAlignment="1">
      <alignment/>
    </xf>
    <xf numFmtId="37" fontId="5" fillId="0" borderId="10" xfId="0" applyNumberFormat="1" applyFont="1" applyBorder="1" applyAlignment="1" applyProtection="1">
      <alignment horizontal="fill"/>
      <protection/>
    </xf>
    <xf numFmtId="167" fontId="5" fillId="0" borderId="0" xfId="44" applyNumberFormat="1" applyFont="1" applyAlignment="1" applyProtection="1">
      <alignment/>
      <protection/>
    </xf>
    <xf numFmtId="167" fontId="5" fillId="0" borderId="10" xfId="44" applyNumberFormat="1" applyFont="1" applyBorder="1" applyAlignment="1" applyProtection="1">
      <alignment horizontal="fill"/>
      <protection/>
    </xf>
    <xf numFmtId="167" fontId="5" fillId="0" borderId="0" xfId="44" applyNumberFormat="1" applyFont="1" applyAlignment="1" applyProtection="1">
      <alignment horizontal="fill"/>
      <protection/>
    </xf>
    <xf numFmtId="167" fontId="5" fillId="0" borderId="12" xfId="44" applyNumberFormat="1" applyFont="1" applyBorder="1" applyAlignment="1" applyProtection="1">
      <alignment/>
      <protection/>
    </xf>
    <xf numFmtId="10" fontId="5" fillId="0" borderId="0" xfId="57" applyNumberFormat="1" applyFont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7" fontId="5" fillId="0" borderId="0" xfId="0" applyNumberFormat="1" applyFont="1" applyAlignment="1" applyProtection="1">
      <alignment/>
      <protection/>
    </xf>
    <xf numFmtId="7" fontId="5" fillId="0" borderId="0" xfId="0" applyNumberFormat="1" applyFont="1" applyAlignment="1" applyProtection="1">
      <alignment horizontal="right"/>
      <protection/>
    </xf>
    <xf numFmtId="164" fontId="5" fillId="0" borderId="11" xfId="0" applyFont="1" applyBorder="1" applyAlignment="1">
      <alignment horizontal="center"/>
    </xf>
    <xf numFmtId="164" fontId="7" fillId="0" borderId="11" xfId="0" applyFont="1" applyBorder="1" applyAlignment="1">
      <alignment/>
    </xf>
    <xf numFmtId="167" fontId="5" fillId="0" borderId="12" xfId="44" applyNumberFormat="1" applyFont="1" applyBorder="1" applyAlignment="1">
      <alignment/>
    </xf>
    <xf numFmtId="173" fontId="5" fillId="0" borderId="12" xfId="42" applyNumberFormat="1" applyFont="1" applyBorder="1" applyAlignment="1">
      <alignment/>
    </xf>
    <xf numFmtId="169" fontId="5" fillId="0" borderId="12" xfId="0" applyNumberFormat="1" applyFont="1" applyBorder="1" applyAlignment="1">
      <alignment/>
    </xf>
    <xf numFmtId="178" fontId="5" fillId="0" borderId="0" xfId="0" applyNumberFormat="1" applyFont="1" applyAlignment="1">
      <alignment/>
    </xf>
    <xf numFmtId="178" fontId="5" fillId="0" borderId="0" xfId="0" applyNumberFormat="1" applyFont="1" applyAlignment="1" applyProtection="1">
      <alignment/>
      <protection/>
    </xf>
    <xf numFmtId="178" fontId="5" fillId="0" borderId="0" xfId="0" applyNumberFormat="1" applyFont="1" applyAlignment="1" applyProtection="1">
      <alignment horizontal="fill"/>
      <protection/>
    </xf>
    <xf numFmtId="178" fontId="5" fillId="0" borderId="12" xfId="0" applyNumberFormat="1" applyFont="1" applyBorder="1" applyAlignment="1" applyProtection="1">
      <alignment/>
      <protection/>
    </xf>
    <xf numFmtId="178" fontId="5" fillId="0" borderId="0" xfId="0" applyNumberFormat="1" applyFont="1" applyAlignment="1" applyProtection="1">
      <alignment horizontal="center"/>
      <protection/>
    </xf>
    <xf numFmtId="5" fontId="5" fillId="0" borderId="0" xfId="0" applyNumberFormat="1" applyFont="1" applyAlignment="1">
      <alignment/>
    </xf>
    <xf numFmtId="5" fontId="1" fillId="0" borderId="0" xfId="42" applyNumberFormat="1" applyFont="1" applyAlignment="1">
      <alignment/>
    </xf>
    <xf numFmtId="49" fontId="3" fillId="0" borderId="0" xfId="0" applyNumberFormat="1" applyFont="1" applyAlignment="1">
      <alignment horizontal="left"/>
    </xf>
    <xf numFmtId="164" fontId="9" fillId="0" borderId="0" xfId="0" applyFont="1" applyAlignment="1" quotePrefix="1">
      <alignment/>
    </xf>
    <xf numFmtId="164" fontId="10" fillId="0" borderId="0" xfId="0" applyFont="1" applyAlignment="1" quotePrefix="1">
      <alignment/>
    </xf>
    <xf numFmtId="173" fontId="10" fillId="0" borderId="0" xfId="42" applyNumberFormat="1" applyFont="1" applyFill="1" applyAlignment="1">
      <alignment/>
    </xf>
    <xf numFmtId="173" fontId="10" fillId="33" borderId="0" xfId="42" applyNumberFormat="1" applyFont="1" applyFill="1" applyAlignment="1">
      <alignment/>
    </xf>
    <xf numFmtId="37" fontId="11" fillId="0" borderId="0" xfId="0" applyNumberFormat="1" applyFont="1" applyAlignment="1" applyProtection="1">
      <alignment/>
      <protection/>
    </xf>
    <xf numFmtId="5" fontId="11" fillId="0" borderId="0" xfId="0" applyNumberFormat="1" applyFont="1" applyAlignment="1" applyProtection="1">
      <alignment/>
      <protection/>
    </xf>
    <xf numFmtId="164" fontId="9" fillId="0" borderId="0" xfId="0" applyFont="1" applyAlignment="1" quotePrefix="1">
      <alignment/>
    </xf>
    <xf numFmtId="164" fontId="10" fillId="0" borderId="0" xfId="0" applyFont="1" applyAlignment="1" quotePrefix="1">
      <alignment/>
    </xf>
    <xf numFmtId="164" fontId="10" fillId="0" borderId="0" xfId="0" applyFont="1" applyFill="1" applyAlignment="1">
      <alignment/>
    </xf>
    <xf numFmtId="172" fontId="10" fillId="0" borderId="0" xfId="42" applyNumberFormat="1" applyFont="1" applyFill="1" applyAlignment="1">
      <alignment/>
    </xf>
    <xf numFmtId="172" fontId="0" fillId="0" borderId="0" xfId="42" applyNumberFormat="1" applyFont="1" applyAlignment="1">
      <alignment/>
    </xf>
    <xf numFmtId="164" fontId="9" fillId="0" borderId="0" xfId="0" applyFont="1" applyAlignment="1">
      <alignment/>
    </xf>
    <xf numFmtId="167" fontId="0" fillId="33" borderId="0" xfId="44" applyNumberFormat="1" applyFont="1" applyFill="1" applyAlignment="1">
      <alignment/>
    </xf>
    <xf numFmtId="164" fontId="0" fillId="34" borderId="0" xfId="0" applyFill="1" applyAlignment="1">
      <alignment/>
    </xf>
    <xf numFmtId="173" fontId="10" fillId="34" borderId="0" xfId="42" applyNumberFormat="1" applyFont="1" applyFill="1" applyAlignment="1">
      <alignment/>
    </xf>
    <xf numFmtId="172" fontId="10" fillId="34" borderId="0" xfId="42" applyNumberFormat="1" applyFont="1" applyFill="1" applyAlignment="1">
      <alignment/>
    </xf>
    <xf numFmtId="172" fontId="0" fillId="34" borderId="0" xfId="42" applyNumberFormat="1" applyFont="1" applyFill="1" applyAlignment="1">
      <alignment/>
    </xf>
    <xf numFmtId="167" fontId="0" fillId="34" borderId="0" xfId="44" applyNumberFormat="1" applyFont="1" applyFill="1" applyAlignment="1">
      <alignment/>
    </xf>
    <xf numFmtId="164" fontId="0" fillId="0" borderId="0" xfId="0" applyFill="1" applyAlignment="1">
      <alignment/>
    </xf>
    <xf numFmtId="164" fontId="9" fillId="0" borderId="0" xfId="0" applyFont="1" applyFill="1" applyAlignment="1" quotePrefix="1">
      <alignment/>
    </xf>
    <xf numFmtId="164" fontId="0" fillId="0" borderId="0" xfId="0" applyFill="1" applyAlignment="1">
      <alignment horizontal="center"/>
    </xf>
    <xf numFmtId="172" fontId="0" fillId="0" borderId="0" xfId="42" applyNumberFormat="1" applyFont="1" applyFill="1" applyAlignment="1">
      <alignment/>
    </xf>
    <xf numFmtId="164" fontId="13" fillId="0" borderId="0" xfId="0" applyFont="1" applyAlignment="1">
      <alignment/>
    </xf>
    <xf numFmtId="173" fontId="5" fillId="0" borderId="0" xfId="42" applyNumberFormat="1" applyFont="1" applyBorder="1" applyAlignment="1">
      <alignment/>
    </xf>
    <xf numFmtId="164" fontId="10" fillId="33" borderId="0" xfId="0" applyFont="1" applyFill="1" applyAlignment="1">
      <alignment/>
    </xf>
    <xf numFmtId="164" fontId="0" fillId="0" borderId="0" xfId="0" applyAlignment="1" quotePrefix="1">
      <alignment/>
    </xf>
    <xf numFmtId="164" fontId="5" fillId="0" borderId="0" xfId="0" applyFont="1" applyBorder="1" applyAlignment="1">
      <alignment horizontal="center"/>
    </xf>
    <xf numFmtId="173" fontId="1" fillId="0" borderId="0" xfId="42" applyNumberFormat="1" applyFont="1" applyAlignment="1" applyProtection="1">
      <alignment/>
      <protection/>
    </xf>
    <xf numFmtId="164" fontId="9" fillId="0" borderId="0" xfId="0" applyFont="1" applyFill="1" applyAlignment="1">
      <alignment/>
    </xf>
    <xf numFmtId="181" fontId="10" fillId="0" borderId="0" xfId="42" applyNumberFormat="1" applyFont="1" applyFill="1" applyAlignment="1">
      <alignment/>
    </xf>
    <xf numFmtId="173" fontId="0" fillId="0" borderId="10" xfId="42" applyNumberFormat="1" applyFont="1" applyBorder="1" applyAlignment="1">
      <alignment/>
    </xf>
    <xf numFmtId="173" fontId="0" fillId="0" borderId="0" xfId="42" applyNumberFormat="1" applyFont="1" applyBorder="1" applyAlignment="1">
      <alignment/>
    </xf>
    <xf numFmtId="173" fontId="9" fillId="0" borderId="0" xfId="42" applyNumberFormat="1" applyFont="1" applyFill="1" applyAlignment="1">
      <alignment/>
    </xf>
    <xf numFmtId="164" fontId="13" fillId="34" borderId="0" xfId="0" applyFont="1" applyFill="1" applyAlignment="1" quotePrefix="1">
      <alignment/>
    </xf>
    <xf numFmtId="44" fontId="10" fillId="33" borderId="0" xfId="44" applyFont="1" applyFill="1" applyAlignment="1">
      <alignment/>
    </xf>
    <xf numFmtId="164" fontId="9" fillId="0" borderId="10" xfId="0" applyFont="1" applyBorder="1" applyAlignment="1" quotePrefix="1">
      <alignment horizontal="center"/>
    </xf>
    <xf numFmtId="49" fontId="5" fillId="0" borderId="1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left"/>
      <protection/>
    </xf>
    <xf numFmtId="164" fontId="15" fillId="0" borderId="0" xfId="0" applyFont="1" applyAlignment="1" quotePrefix="1">
      <alignment horizontal="center"/>
    </xf>
    <xf numFmtId="164" fontId="16" fillId="0" borderId="0" xfId="0" applyFont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center"/>
      <protection/>
    </xf>
    <xf numFmtId="164" fontId="17" fillId="0" borderId="0" xfId="0" applyFont="1" applyAlignment="1">
      <alignment/>
    </xf>
    <xf numFmtId="173" fontId="6" fillId="0" borderId="0" xfId="42" applyNumberFormat="1" applyFont="1" applyAlignment="1">
      <alignment/>
    </xf>
    <xf numFmtId="164" fontId="16" fillId="0" borderId="0" xfId="0" applyFont="1" applyAlignment="1">
      <alignment horizontal="center"/>
    </xf>
    <xf numFmtId="164" fontId="16" fillId="0" borderId="0" xfId="0" applyFont="1" applyAlignment="1" applyProtection="1">
      <alignment horizontal="centerContinuous"/>
      <protection/>
    </xf>
    <xf numFmtId="164" fontId="16" fillId="0" borderId="11" xfId="0" applyFont="1" applyBorder="1" applyAlignment="1">
      <alignment horizontal="center"/>
    </xf>
    <xf numFmtId="164" fontId="5" fillId="0" borderId="11" xfId="0" applyFont="1" applyBorder="1" applyAlignment="1" applyProtection="1">
      <alignment horizontal="center"/>
      <protection/>
    </xf>
    <xf numFmtId="164" fontId="16" fillId="0" borderId="11" xfId="0" applyFont="1" applyBorder="1" applyAlignment="1" applyProtection="1">
      <alignment horizontal="center"/>
      <protection/>
    </xf>
    <xf numFmtId="164" fontId="16" fillId="0" borderId="11" xfId="0" applyFont="1" applyBorder="1" applyAlignment="1" applyProtection="1">
      <alignment horizontal="centerContinuous"/>
      <protection/>
    </xf>
    <xf numFmtId="43" fontId="1" fillId="0" borderId="0" xfId="42" applyFont="1" applyAlignment="1">
      <alignment/>
    </xf>
    <xf numFmtId="173" fontId="1" fillId="0" borderId="0" xfId="42" applyNumberFormat="1" applyFont="1" applyAlignment="1">
      <alignment/>
    </xf>
    <xf numFmtId="173" fontId="5" fillId="0" borderId="0" xfId="42" applyNumberFormat="1" applyFont="1" applyBorder="1" applyAlignment="1" applyProtection="1">
      <alignment/>
      <protection/>
    </xf>
    <xf numFmtId="173" fontId="5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5" fontId="11" fillId="0" borderId="0" xfId="0" applyNumberFormat="1" applyFont="1" applyBorder="1" applyAlignment="1" applyProtection="1">
      <alignment/>
      <protection/>
    </xf>
    <xf numFmtId="167" fontId="5" fillId="0" borderId="0" xfId="44" applyNumberFormat="1" applyFont="1" applyBorder="1" applyAlignment="1">
      <alignment/>
    </xf>
    <xf numFmtId="164" fontId="5" fillId="0" borderId="0" xfId="0" applyFont="1" applyBorder="1" applyAlignment="1">
      <alignment/>
    </xf>
    <xf numFmtId="7" fontId="11" fillId="0" borderId="0" xfId="0" applyNumberFormat="1" applyFont="1" applyAlignment="1" applyProtection="1">
      <alignment/>
      <protection/>
    </xf>
    <xf numFmtId="173" fontId="5" fillId="0" borderId="10" xfId="42" applyNumberFormat="1" applyFont="1" applyBorder="1" applyAlignment="1" applyProtection="1">
      <alignment/>
      <protection/>
    </xf>
    <xf numFmtId="174" fontId="5" fillId="0" borderId="0" xfId="57" applyNumberFormat="1" applyFont="1" applyAlignment="1" applyProtection="1">
      <alignment/>
      <protection/>
    </xf>
    <xf numFmtId="174" fontId="0" fillId="0" borderId="0" xfId="57" applyNumberFormat="1" applyFont="1" applyAlignment="1">
      <alignment/>
    </xf>
    <xf numFmtId="164" fontId="5" fillId="0" borderId="0" xfId="0" applyFont="1" applyFill="1" applyAlignment="1">
      <alignment/>
    </xf>
    <xf numFmtId="172" fontId="1" fillId="0" borderId="0" xfId="42" applyNumberFormat="1" applyFont="1" applyAlignment="1">
      <alignment/>
    </xf>
    <xf numFmtId="37" fontId="5" fillId="0" borderId="0" xfId="0" applyNumberFormat="1" applyFont="1" applyFill="1" applyAlignment="1" applyProtection="1">
      <alignment/>
      <protection/>
    </xf>
    <xf numFmtId="173" fontId="5" fillId="0" borderId="0" xfId="42" applyNumberFormat="1" applyFont="1" applyBorder="1" applyAlignment="1" applyProtection="1">
      <alignment/>
      <protection/>
    </xf>
    <xf numFmtId="164" fontId="5" fillId="0" borderId="10" xfId="0" applyFont="1" applyBorder="1" applyAlignment="1">
      <alignment/>
    </xf>
    <xf numFmtId="173" fontId="1" fillId="33" borderId="0" xfId="42" applyNumberFormat="1" applyFont="1" applyFill="1" applyAlignment="1">
      <alignment/>
    </xf>
    <xf numFmtId="173" fontId="5" fillId="0" borderId="0" xfId="42" applyNumberFormat="1" applyFont="1" applyAlignment="1" applyProtection="1">
      <alignment/>
      <protection/>
    </xf>
    <xf numFmtId="173" fontId="11" fillId="0" borderId="0" xfId="42" applyNumberFormat="1" applyFont="1" applyAlignment="1" applyProtection="1">
      <alignment/>
      <protection/>
    </xf>
    <xf numFmtId="173" fontId="5" fillId="0" borderId="10" xfId="42" applyNumberFormat="1" applyFont="1" applyBorder="1" applyAlignment="1" applyProtection="1">
      <alignment horizontal="fill"/>
      <protection/>
    </xf>
    <xf numFmtId="173" fontId="5" fillId="0" borderId="12" xfId="42" applyNumberFormat="1" applyFont="1" applyBorder="1" applyAlignment="1" applyProtection="1">
      <alignment/>
      <protection/>
    </xf>
    <xf numFmtId="173" fontId="11" fillId="0" borderId="0" xfId="42" applyNumberFormat="1" applyFont="1" applyAlignment="1">
      <alignment/>
    </xf>
    <xf numFmtId="173" fontId="5" fillId="0" borderId="0" xfId="42" applyNumberFormat="1" applyFont="1" applyAlignment="1" applyProtection="1">
      <alignment horizontal="fill"/>
      <protection/>
    </xf>
    <xf numFmtId="164" fontId="10" fillId="0" borderId="0" xfId="0" applyFont="1" applyAlignment="1">
      <alignment/>
    </xf>
    <xf numFmtId="164" fontId="19" fillId="33" borderId="0" xfId="0" applyFont="1" applyFill="1" applyAlignment="1">
      <alignment/>
    </xf>
    <xf numFmtId="173" fontId="1" fillId="33" borderId="13" xfId="42" applyNumberFormat="1" applyFont="1" applyFill="1" applyBorder="1" applyAlignment="1">
      <alignment/>
    </xf>
    <xf numFmtId="164" fontId="21" fillId="0" borderId="0" xfId="0" applyFont="1" applyAlignment="1">
      <alignment/>
    </xf>
    <xf numFmtId="173" fontId="5" fillId="0" borderId="0" xfId="42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2" fillId="0" borderId="0" xfId="0" applyFont="1" applyBorder="1" applyAlignment="1">
      <alignment/>
    </xf>
    <xf numFmtId="164" fontId="5" fillId="0" borderId="10" xfId="0" applyFont="1" applyBorder="1" applyAlignment="1">
      <alignment horizontal="center"/>
    </xf>
    <xf numFmtId="37" fontId="5" fillId="0" borderId="0" xfId="0" applyNumberFormat="1" applyFont="1" applyAlignment="1">
      <alignment/>
    </xf>
    <xf numFmtId="164" fontId="0" fillId="0" borderId="14" xfId="0" applyBorder="1" applyAlignment="1">
      <alignment horizontal="center"/>
    </xf>
    <xf numFmtId="37" fontId="5" fillId="0" borderId="15" xfId="0" applyNumberFormat="1" applyFont="1" applyBorder="1" applyAlignment="1">
      <alignment/>
    </xf>
    <xf numFmtId="37" fontId="5" fillId="0" borderId="16" xfId="0" applyNumberFormat="1" applyFont="1" applyBorder="1" applyAlignment="1">
      <alignment/>
    </xf>
    <xf numFmtId="164" fontId="5" fillId="0" borderId="16" xfId="0" applyFont="1" applyBorder="1" applyAlignment="1">
      <alignment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 horizontal="centerContinuous"/>
    </xf>
    <xf numFmtId="164" fontId="5" fillId="0" borderId="0" xfId="0" applyFont="1" applyAlignment="1" applyProtection="1">
      <alignment horizontal="centerContinuous"/>
      <protection/>
    </xf>
    <xf numFmtId="164" fontId="23" fillId="0" borderId="0" xfId="0" applyFont="1" applyAlignment="1">
      <alignment/>
    </xf>
    <xf numFmtId="198" fontId="0" fillId="0" borderId="0" xfId="0" applyNumberFormat="1" applyAlignment="1">
      <alignment/>
    </xf>
    <xf numFmtId="164" fontId="5" fillId="0" borderId="0" xfId="0" applyFont="1" applyAlignment="1">
      <alignment horizontal="right"/>
    </xf>
    <xf numFmtId="169" fontId="5" fillId="0" borderId="0" xfId="0" applyNumberFormat="1" applyFont="1" applyAlignment="1">
      <alignment/>
    </xf>
    <xf numFmtId="164" fontId="1" fillId="35" borderId="17" xfId="0" applyFont="1" applyFill="1" applyBorder="1" applyAlignment="1">
      <alignment/>
    </xf>
    <xf numFmtId="164" fontId="5" fillId="35" borderId="11" xfId="0" applyFont="1" applyFill="1" applyBorder="1" applyAlignment="1">
      <alignment/>
    </xf>
    <xf numFmtId="164" fontId="6" fillId="35" borderId="11" xfId="0" applyFont="1" applyFill="1" applyBorder="1" applyAlignment="1">
      <alignment/>
    </xf>
    <xf numFmtId="164" fontId="6" fillId="35" borderId="18" xfId="0" applyFont="1" applyFill="1" applyBorder="1" applyAlignment="1">
      <alignment/>
    </xf>
    <xf numFmtId="164" fontId="1" fillId="35" borderId="19" xfId="0" applyFont="1" applyFill="1" applyBorder="1" applyAlignment="1">
      <alignment/>
    </xf>
    <xf numFmtId="165" fontId="5" fillId="35" borderId="0" xfId="0" applyNumberFormat="1" applyFont="1" applyFill="1" applyBorder="1" applyAlignment="1">
      <alignment/>
    </xf>
    <xf numFmtId="165" fontId="5" fillId="35" borderId="20" xfId="0" applyNumberFormat="1" applyFont="1" applyFill="1" applyBorder="1" applyAlignment="1">
      <alignment/>
    </xf>
    <xf numFmtId="164" fontId="5" fillId="35" borderId="0" xfId="0" applyFont="1" applyFill="1" applyBorder="1" applyAlignment="1">
      <alignment/>
    </xf>
    <xf numFmtId="164" fontId="6" fillId="35" borderId="0" xfId="0" applyFont="1" applyFill="1" applyBorder="1" applyAlignment="1">
      <alignment/>
    </xf>
    <xf numFmtId="164" fontId="6" fillId="35" borderId="20" xfId="0" applyFont="1" applyFill="1" applyBorder="1" applyAlignment="1">
      <alignment/>
    </xf>
    <xf numFmtId="164" fontId="1" fillId="35" borderId="21" xfId="0" applyFont="1" applyFill="1" applyBorder="1" applyAlignment="1">
      <alignment/>
    </xf>
    <xf numFmtId="164" fontId="5" fillId="35" borderId="10" xfId="0" applyFont="1" applyFill="1" applyBorder="1" applyAlignment="1">
      <alignment/>
    </xf>
    <xf numFmtId="164" fontId="6" fillId="35" borderId="10" xfId="0" applyFont="1" applyFill="1" applyBorder="1" applyAlignment="1">
      <alignment/>
    </xf>
    <xf numFmtId="164" fontId="6" fillId="35" borderId="22" xfId="0" applyFont="1" applyFill="1" applyBorder="1" applyAlignment="1">
      <alignment/>
    </xf>
    <xf numFmtId="164" fontId="20" fillId="0" borderId="0" xfId="0" applyFont="1" applyFill="1" applyAlignment="1">
      <alignment horizontal="centerContinuous"/>
    </xf>
    <xf numFmtId="164" fontId="18" fillId="0" borderId="23" xfId="0" applyFont="1" applyFill="1" applyBorder="1" applyAlignment="1">
      <alignment horizontal="center"/>
    </xf>
    <xf numFmtId="164" fontId="1" fillId="0" borderId="24" xfId="0" applyFont="1" applyFill="1" applyBorder="1" applyAlignment="1">
      <alignment/>
    </xf>
    <xf numFmtId="173" fontId="1" fillId="0" borderId="25" xfId="42" applyNumberFormat="1" applyFont="1" applyFill="1" applyBorder="1" applyAlignment="1">
      <alignment/>
    </xf>
    <xf numFmtId="164" fontId="1" fillId="0" borderId="26" xfId="0" applyFont="1" applyFill="1" applyBorder="1" applyAlignment="1">
      <alignment/>
    </xf>
    <xf numFmtId="164" fontId="1" fillId="0" borderId="25" xfId="0" applyFont="1" applyFill="1" applyBorder="1" applyAlignment="1">
      <alignment/>
    </xf>
    <xf numFmtId="164" fontId="1" fillId="0" borderId="27" xfId="0" applyFont="1" applyFill="1" applyBorder="1" applyAlignment="1">
      <alignment/>
    </xf>
    <xf numFmtId="164" fontId="1" fillId="0" borderId="28" xfId="0" applyFont="1" applyFill="1" applyBorder="1" applyAlignment="1">
      <alignment/>
    </xf>
    <xf numFmtId="37" fontId="5" fillId="0" borderId="0" xfId="0" applyNumberFormat="1" applyFont="1" applyFill="1" applyAlignment="1">
      <alignment/>
    </xf>
    <xf numFmtId="37" fontId="5" fillId="0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t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Rate%20Case%202008\PGS%20Templates\PGS%20C%20schedules\SCH-C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Rate%20Case%202008\PGS%20Templates\PGS%20C%20schedules\SCH-C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Rate%20Case%202008\PGS%20Templates\PGS%20G%20schedules\SCH-G2-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Rate%20Case%202008\PGS%20Templates\PGS%20H%20schedules\SCH-H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Rate%20Case%202008\PGS%20Templates\PGS%20G%20schedules\SCH-G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aytum"/>
      <sheetName val="DialogBase"/>
    </sheetNames>
    <definedNames>
      <definedName name="AdaytumDropDow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C3"/>
      <sheetName val="Aday Data"/>
    </sheetNames>
    <sheetDataSet>
      <sheetData sheetId="0">
        <row r="30">
          <cell r="P30">
            <v>593029854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C2"/>
      <sheetName val="5Yr Plan"/>
    </sheetNames>
    <sheetDataSet>
      <sheetData sheetId="0">
        <row r="18">
          <cell r="E18">
            <v>-390764997.4856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G2-1"/>
      <sheetName val="data"/>
    </sheetNames>
    <sheetDataSet>
      <sheetData sheetId="0">
        <row r="20">
          <cell r="R20">
            <v>169906125.65335083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CHH-1"/>
      <sheetName val="Base Yr"/>
    </sheetNames>
    <sheetDataSet>
      <sheetData sheetId="0">
        <row r="282">
          <cell r="C282">
            <v>8246215.372888427</v>
          </cell>
        </row>
        <row r="286">
          <cell r="C286">
            <v>4065536.656</v>
          </cell>
        </row>
        <row r="298">
          <cell r="C298">
            <v>70181934.92150001</v>
          </cell>
          <cell r="G298">
            <v>171840</v>
          </cell>
          <cell r="I298">
            <v>0</v>
          </cell>
          <cell r="K298">
            <v>332640</v>
          </cell>
          <cell r="M298">
            <v>3088727.1875</v>
          </cell>
          <cell r="O298">
            <v>5411557.599</v>
          </cell>
          <cell r="Q298">
            <v>3534341.7600000002</v>
          </cell>
          <cell r="S298">
            <v>1489598.4</v>
          </cell>
          <cell r="U298">
            <v>369000</v>
          </cell>
          <cell r="W298">
            <v>372600</v>
          </cell>
          <cell r="Y298">
            <v>93600</v>
          </cell>
          <cell r="AA298">
            <v>79800</v>
          </cell>
          <cell r="AC298">
            <v>17100</v>
          </cell>
          <cell r="AE298">
            <v>8100</v>
          </cell>
          <cell r="AG298">
            <v>19800</v>
          </cell>
        </row>
        <row r="304">
          <cell r="C304">
            <v>1081229663.7475867</v>
          </cell>
        </row>
        <row r="306">
          <cell r="E306">
            <v>0.3203383736640228</v>
          </cell>
        </row>
        <row r="310">
          <cell r="E310">
            <v>19850167.957661655</v>
          </cell>
        </row>
        <row r="312">
          <cell r="C312">
            <v>117965790.43808186</v>
          </cell>
          <cell r="G312">
            <v>0</v>
          </cell>
          <cell r="I312">
            <v>177740.88863893694</v>
          </cell>
          <cell r="K312">
            <v>0</v>
          </cell>
          <cell r="M312">
            <v>3015344.8354608957</v>
          </cell>
          <cell r="O312">
            <v>18357274.41553404</v>
          </cell>
          <cell r="Q312">
            <v>30161617.02196298</v>
          </cell>
          <cell r="S312">
            <v>15681272.67617506</v>
          </cell>
          <cell r="U312">
            <v>6796794.328631998</v>
          </cell>
          <cell r="W312">
            <v>7654398.733541998</v>
          </cell>
          <cell r="Y312">
            <v>3616158.23699</v>
          </cell>
          <cell r="AA312">
            <v>4483046.86342</v>
          </cell>
          <cell r="AC312">
            <v>1288979.7075539199</v>
          </cell>
          <cell r="AE312">
            <v>80735.39563253894</v>
          </cell>
          <cell r="AG312">
            <v>246400.17270483336</v>
          </cell>
          <cell r="AI312">
            <v>6555859.204173011</v>
          </cell>
        </row>
        <row r="404">
          <cell r="E404">
            <v>4448652.082592917</v>
          </cell>
        </row>
        <row r="405">
          <cell r="E405">
            <v>27140448.797301374</v>
          </cell>
        </row>
        <row r="406">
          <cell r="E406">
            <v>30376835.18073396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LG5"/>
    </sheetNames>
    <sheetDataSet>
      <sheetData sheetId="0">
        <row r="28">
          <cell r="S28">
            <v>26488091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29"/>
  <sheetViews>
    <sheetView zoomScale="75" zoomScaleNormal="75" zoomScalePageLayoutView="0" workbookViewId="0" topLeftCell="A141">
      <selection activeCell="A2" sqref="A2"/>
    </sheetView>
  </sheetViews>
  <sheetFormatPr defaultColWidth="15.625" defaultRowHeight="12.75"/>
  <cols>
    <col min="1" max="1" width="5.625" style="0" customWidth="1"/>
    <col min="2" max="2" width="33.125" style="0" customWidth="1"/>
    <col min="3" max="3" width="13.875" style="0" customWidth="1"/>
    <col min="4" max="4" width="13.00390625" style="0" customWidth="1"/>
    <col min="5" max="5" width="13.125" style="0" customWidth="1"/>
    <col min="6" max="6" width="11.75390625" style="0" bestFit="1" customWidth="1"/>
    <col min="7" max="7" width="11.875" style="0" bestFit="1" customWidth="1"/>
    <col min="8" max="8" width="12.00390625" style="0" bestFit="1" customWidth="1"/>
    <col min="9" max="9" width="12.625" style="0" customWidth="1"/>
    <col min="10" max="10" width="13.625" style="0" customWidth="1"/>
    <col min="11" max="11" width="13.125" style="0" customWidth="1"/>
    <col min="12" max="12" width="12.625" style="0" customWidth="1"/>
    <col min="13" max="13" width="12.75390625" style="0" customWidth="1"/>
    <col min="14" max="15" width="14.375" style="0" bestFit="1" customWidth="1"/>
    <col min="16" max="17" width="15.50390625" style="0" bestFit="1" customWidth="1"/>
    <col min="18" max="18" width="14.375" style="0" customWidth="1"/>
    <col min="19" max="19" width="12.375" style="0" customWidth="1"/>
    <col min="20" max="20" width="15.375" style="0" customWidth="1"/>
    <col min="21" max="21" width="13.75390625" style="0" customWidth="1"/>
    <col min="22" max="22" width="14.25390625" style="0" customWidth="1"/>
    <col min="23" max="23" width="14.50390625" style="0" customWidth="1"/>
    <col min="24" max="24" width="17.75390625" style="0" bestFit="1" customWidth="1"/>
    <col min="25" max="28" width="15.625" style="0" customWidth="1"/>
    <col min="29" max="29" width="10.625" style="0" customWidth="1"/>
    <col min="30" max="30" width="30.625" style="0" customWidth="1"/>
    <col min="31" max="37" width="18.625" style="0" customWidth="1"/>
    <col min="38" max="39" width="15.625" style="0" customWidth="1"/>
    <col min="40" max="42" width="18.625" style="0" customWidth="1"/>
    <col min="43" max="43" width="10.625" style="0" customWidth="1"/>
    <col min="44" max="44" width="18.625" style="0" customWidth="1"/>
  </cols>
  <sheetData>
    <row r="1" spans="1:29" ht="14.25">
      <c r="A1" s="1" t="s">
        <v>517</v>
      </c>
      <c r="B1" s="2"/>
      <c r="C1" s="2"/>
      <c r="D1" s="2"/>
      <c r="E1" s="2"/>
      <c r="F1" s="2"/>
      <c r="G1" s="2"/>
      <c r="H1" s="2"/>
      <c r="I1" s="2"/>
      <c r="J1" s="2"/>
      <c r="K1" s="2"/>
      <c r="L1" s="33"/>
      <c r="M1" s="44" t="s">
        <v>43</v>
      </c>
      <c r="N1" s="5"/>
      <c r="O1" s="2"/>
      <c r="P1" s="2"/>
      <c r="Q1" s="2"/>
      <c r="R1" s="2"/>
      <c r="S1" s="2"/>
      <c r="V1" s="1" t="s">
        <v>380</v>
      </c>
      <c r="W1" s="2"/>
      <c r="X1" s="2"/>
      <c r="Y1" s="2"/>
      <c r="Z1" s="2"/>
      <c r="AA1" s="2"/>
      <c r="AB1" s="2"/>
      <c r="AC1" s="2"/>
    </row>
    <row r="2" spans="1:29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5"/>
      <c r="M2" s="45"/>
      <c r="N2" s="6"/>
      <c r="O2" s="3"/>
      <c r="P2" s="3"/>
      <c r="Q2" s="3"/>
      <c r="R2" s="3"/>
      <c r="S2" s="3"/>
      <c r="T2" s="3"/>
      <c r="U2" s="3"/>
      <c r="V2" s="3"/>
      <c r="W2" s="2"/>
      <c r="X2" s="2"/>
      <c r="Y2" s="2"/>
      <c r="Z2" s="2"/>
      <c r="AA2" s="2"/>
      <c r="AB2" s="2"/>
      <c r="AC2" s="2"/>
    </row>
    <row r="3" spans="1:29" ht="14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L3" s="43"/>
      <c r="M3" s="44" t="s">
        <v>44</v>
      </c>
      <c r="N3" s="5"/>
      <c r="O3" s="2"/>
      <c r="P3" s="2"/>
      <c r="Q3" s="2"/>
      <c r="S3" s="1" t="s">
        <v>1</v>
      </c>
      <c r="T3" s="1"/>
      <c r="U3" s="1"/>
      <c r="V3" s="2"/>
      <c r="W3" s="2"/>
      <c r="X3" s="2"/>
      <c r="Y3" s="2"/>
      <c r="Z3" s="2"/>
      <c r="AA3" s="2"/>
      <c r="AB3" s="2"/>
      <c r="AC3" s="2"/>
    </row>
    <row r="4" spans="1:29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3"/>
      <c r="M4" s="44" t="s">
        <v>45</v>
      </c>
      <c r="N4" s="5"/>
      <c r="O4" s="2"/>
      <c r="P4" s="2"/>
      <c r="Q4" s="2"/>
      <c r="S4" s="4" t="s">
        <v>377</v>
      </c>
      <c r="T4" s="4"/>
      <c r="U4" s="4"/>
      <c r="V4" s="2"/>
      <c r="W4" s="2"/>
      <c r="X4" s="2"/>
      <c r="Y4" s="2"/>
      <c r="Z4" s="2"/>
      <c r="AA4" s="2"/>
      <c r="AB4" s="2"/>
      <c r="AC4" s="2"/>
    </row>
    <row r="5" spans="1:29" ht="12.75">
      <c r="A5" s="4" t="s">
        <v>40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S5" s="4" t="s">
        <v>378</v>
      </c>
      <c r="T5" s="4"/>
      <c r="U5" s="4"/>
      <c r="V5" s="2"/>
      <c r="W5" s="2"/>
      <c r="X5" s="2"/>
      <c r="Y5" s="2"/>
      <c r="Z5" s="2"/>
      <c r="AA5" s="2"/>
      <c r="AB5" s="2"/>
      <c r="AC5" s="2"/>
    </row>
    <row r="6" spans="1:2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S6" s="4" t="s">
        <v>379</v>
      </c>
      <c r="T6" s="1" t="s">
        <v>382</v>
      </c>
      <c r="U6" s="4"/>
      <c r="V6" s="2"/>
      <c r="W6" s="2"/>
      <c r="X6" s="2"/>
      <c r="Y6" s="2"/>
      <c r="Z6" s="2"/>
      <c r="AA6" s="2"/>
      <c r="AB6" s="2"/>
      <c r="AC6" s="2"/>
    </row>
    <row r="7" spans="1:29" ht="12.75">
      <c r="A7" s="4" t="s">
        <v>427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0"/>
      <c r="S7" s="10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2"/>
      <c r="X9" s="2"/>
      <c r="Y9" s="2"/>
      <c r="Z9" s="2"/>
      <c r="AA9" s="2"/>
      <c r="AB9" s="2"/>
      <c r="AC9" s="2"/>
    </row>
    <row r="10" spans="1:29" ht="14.25">
      <c r="A10" s="2"/>
      <c r="B10" s="2"/>
      <c r="C10" s="33"/>
      <c r="D10" s="117" t="s">
        <v>391</v>
      </c>
      <c r="E10" s="117" t="s">
        <v>391</v>
      </c>
      <c r="F10" s="46" t="s">
        <v>88</v>
      </c>
      <c r="G10" s="46" t="s">
        <v>89</v>
      </c>
      <c r="H10" s="46" t="s">
        <v>241</v>
      </c>
      <c r="I10" s="46" t="s">
        <v>103</v>
      </c>
      <c r="J10" s="44"/>
      <c r="K10" s="118"/>
      <c r="L10" s="118"/>
      <c r="M10" s="113"/>
      <c r="N10" s="113"/>
      <c r="O10" s="46" t="s">
        <v>103</v>
      </c>
      <c r="P10" s="33"/>
      <c r="Q10" s="44" t="s">
        <v>99</v>
      </c>
      <c r="R10" s="62"/>
      <c r="S10" s="62"/>
      <c r="T10" s="61"/>
      <c r="U10" s="100" t="s">
        <v>425</v>
      </c>
      <c r="V10" s="33"/>
      <c r="W10" s="2"/>
      <c r="X10" s="2"/>
      <c r="Y10" s="2"/>
      <c r="Z10" s="2"/>
      <c r="AA10" s="2"/>
      <c r="AB10" s="2"/>
      <c r="AC10" s="2"/>
    </row>
    <row r="11" spans="1:29" ht="15.75">
      <c r="A11" s="1" t="s">
        <v>2</v>
      </c>
      <c r="B11" s="153" t="s">
        <v>484</v>
      </c>
      <c r="C11" s="46" t="s">
        <v>88</v>
      </c>
      <c r="D11" s="46" t="s">
        <v>392</v>
      </c>
      <c r="E11" s="46" t="s">
        <v>392</v>
      </c>
      <c r="F11" s="46" t="s">
        <v>239</v>
      </c>
      <c r="G11" s="46" t="s">
        <v>90</v>
      </c>
      <c r="H11" s="46" t="s">
        <v>239</v>
      </c>
      <c r="I11" s="46" t="s">
        <v>93</v>
      </c>
      <c r="J11" s="44" t="s">
        <v>93</v>
      </c>
      <c r="K11" s="44" t="s">
        <v>93</v>
      </c>
      <c r="L11" s="44" t="s">
        <v>93</v>
      </c>
      <c r="M11" s="44" t="s">
        <v>93</v>
      </c>
      <c r="N11" s="44" t="s">
        <v>93</v>
      </c>
      <c r="O11" s="44" t="s">
        <v>104</v>
      </c>
      <c r="P11" s="44" t="s">
        <v>104</v>
      </c>
      <c r="Q11" s="44" t="s">
        <v>92</v>
      </c>
      <c r="R11" s="44" t="s">
        <v>515</v>
      </c>
      <c r="S11" s="44" t="s">
        <v>102</v>
      </c>
      <c r="T11" s="44" t="s">
        <v>86</v>
      </c>
      <c r="U11" s="44" t="s">
        <v>321</v>
      </c>
      <c r="V11" s="33"/>
      <c r="W11" s="2"/>
      <c r="X11" s="2"/>
      <c r="Y11" s="2"/>
      <c r="Z11" s="2"/>
      <c r="AA11" s="2"/>
      <c r="AB11" s="2"/>
      <c r="AC11" s="2"/>
    </row>
    <row r="12" spans="1:29" ht="14.25">
      <c r="A12" s="6" t="s">
        <v>3</v>
      </c>
      <c r="B12" s="26"/>
      <c r="C12" s="110" t="s">
        <v>448</v>
      </c>
      <c r="D12" s="110" t="s">
        <v>449</v>
      </c>
      <c r="E12" s="110" t="s">
        <v>450</v>
      </c>
      <c r="F12" s="45" t="s">
        <v>240</v>
      </c>
      <c r="G12" s="45" t="s">
        <v>91</v>
      </c>
      <c r="H12" s="45" t="s">
        <v>240</v>
      </c>
      <c r="I12" s="45" t="s">
        <v>92</v>
      </c>
      <c r="J12" s="45" t="s">
        <v>94</v>
      </c>
      <c r="K12" s="45" t="s">
        <v>95</v>
      </c>
      <c r="L12" s="45" t="s">
        <v>96</v>
      </c>
      <c r="M12" s="45" t="s">
        <v>97</v>
      </c>
      <c r="N12" s="45" t="s">
        <v>98</v>
      </c>
      <c r="O12" s="45" t="s">
        <v>92</v>
      </c>
      <c r="P12" s="45" t="s">
        <v>92</v>
      </c>
      <c r="Q12" s="45" t="s">
        <v>100</v>
      </c>
      <c r="R12" s="45" t="s">
        <v>101</v>
      </c>
      <c r="S12" s="45"/>
      <c r="T12" s="45" t="s">
        <v>87</v>
      </c>
      <c r="U12" s="45" t="s">
        <v>322</v>
      </c>
      <c r="V12" s="45" t="s">
        <v>4</v>
      </c>
      <c r="W12" s="2"/>
      <c r="X12" s="2"/>
      <c r="Y12" s="2"/>
      <c r="Z12" s="2"/>
      <c r="AA12" s="2"/>
      <c r="AB12" s="2"/>
      <c r="AC12" s="2"/>
    </row>
    <row r="13" spans="1:29" ht="12.75">
      <c r="A13" s="25"/>
      <c r="B13" s="30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"/>
      <c r="X13" s="2"/>
      <c r="Y13" s="2"/>
      <c r="Z13" s="2"/>
      <c r="AA13" s="2"/>
      <c r="AB13" s="2"/>
      <c r="AC13" s="2"/>
    </row>
    <row r="14" spans="1:29" ht="14.25">
      <c r="A14" s="14">
        <v>1</v>
      </c>
      <c r="B14" s="1" t="s">
        <v>5</v>
      </c>
      <c r="C14" s="141">
        <f>+'Actual 2007'!B5+'Actual 2007'!B9+'Actual 2007'!B11</f>
        <v>3655451</v>
      </c>
      <c r="D14" s="141">
        <v>0</v>
      </c>
      <c r="E14" s="141">
        <v>0</v>
      </c>
      <c r="F14" s="141">
        <f>+'Actual 2007'!B7</f>
        <v>4042</v>
      </c>
      <c r="G14" s="141">
        <f>+'Actual 2007'!B41+'Actual 2007'!B43</f>
        <v>767</v>
      </c>
      <c r="H14" s="141">
        <f>+'Actual 2007'!B13+'Actual 2007'!B15</f>
        <v>4377</v>
      </c>
      <c r="I14" s="141">
        <f>+'Actual 2007'!B17+'Actual 2007'!B19</f>
        <v>70246</v>
      </c>
      <c r="J14" s="141">
        <f>+'Actual 2007'!B21+'Actual 2007'!B23</f>
        <v>227005</v>
      </c>
      <c r="K14" s="141">
        <f>+'Actual 2007'!B25+'Actual 2007'!B27</f>
        <v>36596</v>
      </c>
      <c r="L14" s="141">
        <f>+'Actual 2007'!B29+'Actual 2007'!B31</f>
        <v>9580</v>
      </c>
      <c r="M14" s="141">
        <f>+'Actual 2007'!B33+'Actual 2007'!B35</f>
        <v>1739</v>
      </c>
      <c r="N14" s="141">
        <f>+'Actual 2007'!B37+'Actual 2007'!B39-SC!D5</f>
        <v>1175</v>
      </c>
      <c r="O14" s="141">
        <f>+'Actual 2007'!B53</f>
        <v>348</v>
      </c>
      <c r="P14" s="141">
        <f>+'Actual 2007'!B55-SC!D22</f>
        <v>181</v>
      </c>
      <c r="Q14" s="141">
        <f>+'Actual 2007'!B57-SC!D40-SC!D37-SC!D39+SC!D55</f>
        <v>73</v>
      </c>
      <c r="R14" s="141">
        <f>+'Actual 2007'!B45+'Actual 2007'!B47</f>
        <v>192</v>
      </c>
      <c r="S14" s="141">
        <f>+'Actual 2007'!B49+'Actual 2007'!B51</f>
        <v>124</v>
      </c>
      <c r="T14" s="141">
        <f>SC!D5+SC!D22+SC!D40+SC!D37+SC!D39-SC!D55</f>
        <v>24</v>
      </c>
      <c r="U14" s="141">
        <f>+'Actual 2007'!D59</f>
        <v>199</v>
      </c>
      <c r="V14" s="32">
        <f>SUM(C14:U14)</f>
        <v>4012119</v>
      </c>
      <c r="W14" s="33"/>
      <c r="X14" s="13">
        <f>+V14-'Actual 2007'!D62</f>
        <v>0</v>
      </c>
      <c r="Y14" s="2"/>
      <c r="Z14" s="2"/>
      <c r="AA14" s="2"/>
      <c r="AB14" s="2"/>
      <c r="AC14" s="2"/>
    </row>
    <row r="15" spans="1:29" ht="14.25">
      <c r="A15" s="2"/>
      <c r="B15" s="2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41"/>
      <c r="S15" s="141"/>
      <c r="T15" s="141"/>
      <c r="U15" s="141"/>
      <c r="V15" s="32"/>
      <c r="W15" s="33"/>
      <c r="X15" s="13"/>
      <c r="Y15" s="2"/>
      <c r="Z15" s="2"/>
      <c r="AA15" s="2"/>
      <c r="AB15" s="2"/>
      <c r="AC15" s="2"/>
    </row>
    <row r="16" spans="1:29" ht="14.25">
      <c r="A16" s="14">
        <f>+A14+1</f>
        <v>2</v>
      </c>
      <c r="B16" s="1" t="s">
        <v>6</v>
      </c>
      <c r="C16" s="141">
        <f>+'Actual 2007'!B6+'Actual 2007'!B10+'Actual 2007'!B12</f>
        <v>70448559</v>
      </c>
      <c r="D16" s="141">
        <v>0</v>
      </c>
      <c r="E16" s="141">
        <v>0</v>
      </c>
      <c r="F16" s="141">
        <f>+'Actual 2007'!B8</f>
        <v>6747</v>
      </c>
      <c r="G16" s="141">
        <f>+'Actual 2007'!B44+'Actual 2007'!B42</f>
        <v>769383</v>
      </c>
      <c r="H16" s="141">
        <f>+'Actual 2007'!B14+'Actual 2007'!B16</f>
        <v>23283</v>
      </c>
      <c r="I16" s="141">
        <f>+'Actual 2007'!B18+'Actual 2007'!B20</f>
        <v>2949115</v>
      </c>
      <c r="J16" s="141">
        <f>+'Actual 2007'!B22+'Actual 2007'!B24</f>
        <v>106304977</v>
      </c>
      <c r="K16" s="141">
        <f>+'Actual 2007'!B26+'Actual 2007'!B28</f>
        <v>73002708</v>
      </c>
      <c r="L16" s="141">
        <f>+'Actual 2007'!B30+'Actual 2007'!B32</f>
        <v>72651428</v>
      </c>
      <c r="M16" s="141">
        <f>+'Actual 2007'!B34+'Actual 2007'!B36</f>
        <v>46633142</v>
      </c>
      <c r="N16" s="141">
        <f>+'Actual 2007'!B38+'Actual 2007'!B40-SC!D9</f>
        <v>66339334</v>
      </c>
      <c r="O16" s="141">
        <f>+'Actual 2007'!B54</f>
        <v>53397124</v>
      </c>
      <c r="P16" s="141">
        <f>+'Actual 2007'!B56-SC!D26</f>
        <v>169266272</v>
      </c>
      <c r="Q16" s="141">
        <f>+'Actual 2007'!B58-SC!D44-SC!D43-SC!D41+SC!D56</f>
        <v>380381359.6</v>
      </c>
      <c r="R16" s="141">
        <f>+'Actual 2007'!B46+'Actual 2007'!B48</f>
        <v>468694</v>
      </c>
      <c r="S16" s="141">
        <f>+'Actual 2007'!B50+'Actual 2007'!B52</f>
        <v>1450280</v>
      </c>
      <c r="T16" s="141">
        <f>SC!D9+SC!D26+SC!D44+SC!D41+SC!D43-SC!D56</f>
        <v>55753452.400000006</v>
      </c>
      <c r="U16" s="141">
        <f>+'Actual 2007'!D60</f>
        <v>303487180</v>
      </c>
      <c r="V16" s="32">
        <f>SUM(C16:U16)</f>
        <v>1403333038</v>
      </c>
      <c r="W16" s="33"/>
      <c r="X16" s="13">
        <f>+V16-'Actual 2007'!B63-'Actual 2007'!C60</f>
        <v>0</v>
      </c>
      <c r="Y16" s="2"/>
      <c r="Z16" s="2"/>
      <c r="AA16" s="2"/>
      <c r="AB16" s="2"/>
      <c r="AC16" s="2"/>
    </row>
    <row r="17" spans="1:29" ht="14.25">
      <c r="A17" s="2"/>
      <c r="B17" s="2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32"/>
      <c r="W17" s="33"/>
      <c r="X17" s="2"/>
      <c r="Y17" s="2"/>
      <c r="Z17" s="2"/>
      <c r="AA17" s="2"/>
      <c r="AB17" s="2"/>
      <c r="AC17" s="2"/>
    </row>
    <row r="18" spans="1:29" ht="14.25">
      <c r="A18" s="14">
        <f>+A16+1</f>
        <v>3</v>
      </c>
      <c r="B18" s="1" t="s">
        <v>7</v>
      </c>
      <c r="C18" s="141">
        <f>+'Actual 2007'!C6+'Actual 2007'!C10+'Actual 2007'!C12</f>
        <v>-369460</v>
      </c>
      <c r="D18" s="141">
        <v>0</v>
      </c>
      <c r="E18" s="141">
        <v>0</v>
      </c>
      <c r="F18" s="141">
        <f>+'Actual 2007'!C8</f>
        <v>0</v>
      </c>
      <c r="G18" s="141">
        <f>+'Actual 2007'!C42+'Actual 2007'!C44</f>
        <v>-1027</v>
      </c>
      <c r="H18" s="141">
        <f>+'Actual 2007'!C14+'Actual 2007'!C16</f>
        <v>0</v>
      </c>
      <c r="I18" s="141">
        <f>+'Actual 2007'!C18+'Actual 2007'!C20</f>
        <v>-39780</v>
      </c>
      <c r="J18" s="141">
        <f>+'Actual 2007'!C22+'Actual 2007'!C24</f>
        <v>-156348</v>
      </c>
      <c r="K18" s="141">
        <f>+'Actual 2007'!C26+'Actual 2007'!C28</f>
        <v>-140305</v>
      </c>
      <c r="L18" s="141">
        <f>+'Actual 2007'!C30+'Actual 2007'!C32</f>
        <v>-80828</v>
      </c>
      <c r="M18" s="141">
        <f>+'Actual 2007'!C34+'Actual 2007'!C36</f>
        <v>0</v>
      </c>
      <c r="N18" s="141">
        <f>+'Actual 2007'!C38+'Actual 2007'!C40</f>
        <v>0</v>
      </c>
      <c r="O18" s="141">
        <f>+'Actual 2007'!C54</f>
        <v>0</v>
      </c>
      <c r="P18" s="141">
        <f>+'Actual 2007'!C56</f>
        <v>0</v>
      </c>
      <c r="Q18" s="141">
        <f>+'Actual 2007'!C58</f>
        <v>0</v>
      </c>
      <c r="R18" s="141">
        <f>+'Actual 2007'!C46+'Actual 2007'!C48</f>
        <v>-734</v>
      </c>
      <c r="S18" s="141">
        <f>+'Actual 2007'!C50+'Actual 2007'!C52</f>
        <v>0</v>
      </c>
      <c r="T18" s="142">
        <v>0</v>
      </c>
      <c r="U18" s="142">
        <v>0</v>
      </c>
      <c r="V18" s="32">
        <f>SUM(C18:U18)</f>
        <v>-788482</v>
      </c>
      <c r="W18" s="33"/>
      <c r="X18" s="13">
        <f>+V18-'Actual 2007'!C63+'Actual 2007'!C60</f>
        <v>0</v>
      </c>
      <c r="Y18" s="2"/>
      <c r="Z18" s="2"/>
      <c r="AA18" s="2"/>
      <c r="AB18" s="2"/>
      <c r="AC18" s="2"/>
    </row>
    <row r="19" spans="1:29" ht="14.25">
      <c r="A19" s="2"/>
      <c r="B19" s="2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35"/>
      <c r="W19" s="33"/>
      <c r="X19" s="2"/>
      <c r="Y19" s="2"/>
      <c r="Z19" s="2"/>
      <c r="AA19" s="2"/>
      <c r="AB19" s="2"/>
      <c r="AC19" s="2"/>
    </row>
    <row r="20" spans="1:29" ht="14.25">
      <c r="A20" s="14">
        <f>+A18+1</f>
        <v>4</v>
      </c>
      <c r="B20" s="1" t="s">
        <v>8</v>
      </c>
      <c r="C20" s="141">
        <f>+C18+C16</f>
        <v>70079099</v>
      </c>
      <c r="D20" s="141">
        <f>+D18+D16</f>
        <v>0</v>
      </c>
      <c r="E20" s="141">
        <f>+E18+E16</f>
        <v>0</v>
      </c>
      <c r="F20" s="141">
        <f aca="true" t="shared" si="0" ref="F20:O20">+F18+F16</f>
        <v>6747</v>
      </c>
      <c r="G20" s="141">
        <f t="shared" si="0"/>
        <v>768356</v>
      </c>
      <c r="H20" s="141">
        <f t="shared" si="0"/>
        <v>23283</v>
      </c>
      <c r="I20" s="141">
        <f t="shared" si="0"/>
        <v>2909335</v>
      </c>
      <c r="J20" s="141">
        <f t="shared" si="0"/>
        <v>106148629</v>
      </c>
      <c r="K20" s="141">
        <f t="shared" si="0"/>
        <v>72862403</v>
      </c>
      <c r="L20" s="141">
        <f t="shared" si="0"/>
        <v>72570600</v>
      </c>
      <c r="M20" s="141">
        <f t="shared" si="0"/>
        <v>46633142</v>
      </c>
      <c r="N20" s="141">
        <f t="shared" si="0"/>
        <v>66339334</v>
      </c>
      <c r="O20" s="141">
        <f t="shared" si="0"/>
        <v>53397124</v>
      </c>
      <c r="P20" s="141">
        <f aca="true" t="shared" si="1" ref="P20:U20">+P18+P16</f>
        <v>169266272</v>
      </c>
      <c r="Q20" s="141">
        <f t="shared" si="1"/>
        <v>380381359.6</v>
      </c>
      <c r="R20" s="141">
        <f t="shared" si="1"/>
        <v>467960</v>
      </c>
      <c r="S20" s="141">
        <f t="shared" si="1"/>
        <v>1450280</v>
      </c>
      <c r="T20" s="141">
        <f t="shared" si="1"/>
        <v>55753452.400000006</v>
      </c>
      <c r="U20" s="141">
        <f t="shared" si="1"/>
        <v>303487180</v>
      </c>
      <c r="V20" s="32">
        <f>SUM(C20:U20)</f>
        <v>1402544556</v>
      </c>
      <c r="W20" s="33"/>
      <c r="X20" s="136">
        <f>+V20-'Actual 2007'!D63</f>
        <v>0</v>
      </c>
      <c r="Y20" s="2"/>
      <c r="Z20" s="2"/>
      <c r="AA20" s="2"/>
      <c r="AB20" s="2"/>
      <c r="AC20" s="2"/>
    </row>
    <row r="21" spans="1:29" ht="14.25">
      <c r="A21" s="2"/>
      <c r="B21" s="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35"/>
      <c r="W21" s="33"/>
      <c r="X21" s="2"/>
      <c r="Y21" s="2"/>
      <c r="Z21" s="2"/>
      <c r="AA21" s="2"/>
      <c r="AB21" s="2"/>
      <c r="AC21" s="2"/>
    </row>
    <row r="22" spans="1:29" ht="14.25">
      <c r="A22" s="14">
        <f>+A20+1</f>
        <v>5</v>
      </c>
      <c r="B22" s="1" t="s">
        <v>9</v>
      </c>
      <c r="C22" s="141">
        <f>+'Actual 2007'!G29+'Actual 2007'!G31</f>
        <v>35653364.69</v>
      </c>
      <c r="D22" s="141">
        <v>0</v>
      </c>
      <c r="E22" s="141">
        <v>0</v>
      </c>
      <c r="F22" s="141">
        <f>+'Actual 2007'!G30</f>
        <v>63234.27</v>
      </c>
      <c r="G22" s="141">
        <v>0</v>
      </c>
      <c r="H22" s="141">
        <f>+'Actual 2007'!G32</f>
        <v>111330.4</v>
      </c>
      <c r="I22" s="141">
        <f>+'Actual 2007'!G33</f>
        <v>1373167</v>
      </c>
      <c r="J22" s="141">
        <f>+'Actual 2007'!G34</f>
        <v>6655172.34</v>
      </c>
      <c r="K22" s="141">
        <f>+'Actual 2007'!G35</f>
        <v>1263727.37</v>
      </c>
      <c r="L22" s="141">
        <f>+'Actual 2007'!G36</f>
        <v>425317.5</v>
      </c>
      <c r="M22" s="141">
        <f>+'Actual 2007'!G37</f>
        <v>144797.5</v>
      </c>
      <c r="N22" s="141">
        <f>+'Actual 2007'!G38</f>
        <v>172575</v>
      </c>
      <c r="O22" s="141">
        <f>+'Actual 2007'!G41</f>
        <v>51300</v>
      </c>
      <c r="P22" s="141">
        <f>+'Actual 2007'!G42</f>
        <v>37800</v>
      </c>
      <c r="Q22" s="141">
        <f>+'Actual 2007'!G43</f>
        <v>5400</v>
      </c>
      <c r="R22" s="141">
        <f>+'Actual 2007'!G39</f>
        <v>6737.5</v>
      </c>
      <c r="S22" s="141">
        <v>0</v>
      </c>
      <c r="T22" s="142">
        <v>8800</v>
      </c>
      <c r="U22" s="141">
        <v>0</v>
      </c>
      <c r="V22" s="36">
        <f>SUM(C22:U22)</f>
        <v>45972723.57</v>
      </c>
      <c r="W22" s="33"/>
      <c r="X22" s="13">
        <f>+V22-'Actual 2007'!G44</f>
        <v>0</v>
      </c>
      <c r="Y22" s="2"/>
      <c r="Z22" s="2"/>
      <c r="AA22" s="2"/>
      <c r="AB22" s="2"/>
      <c r="AC22" s="2"/>
    </row>
    <row r="23" spans="1:29" ht="14.25">
      <c r="A23" s="2"/>
      <c r="B23" s="2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3"/>
      <c r="W23" s="33"/>
      <c r="X23" s="2"/>
      <c r="Y23" s="2"/>
      <c r="Z23" s="2"/>
      <c r="AA23" s="2"/>
      <c r="AB23" s="2"/>
      <c r="AC23" s="2"/>
    </row>
    <row r="24" spans="1:29" ht="14.25">
      <c r="A24" s="14">
        <f>+A22+1</f>
        <v>6</v>
      </c>
      <c r="B24" s="1" t="s">
        <v>10</v>
      </c>
      <c r="C24" s="141">
        <f>+'Actual 2007'!G5+'Actual 2007'!G7</f>
        <v>26535858.718530007</v>
      </c>
      <c r="D24" s="141">
        <v>0</v>
      </c>
      <c r="E24" s="141">
        <v>0</v>
      </c>
      <c r="F24" s="141">
        <f>+'Actual 2007'!G6</f>
        <v>1231.73</v>
      </c>
      <c r="G24" s="141">
        <f>+'Actual 2007'!G8</f>
        <v>98704.14507000003</v>
      </c>
      <c r="H24" s="141">
        <f>+'Actual 2007'!G9</f>
        <v>3555.6</v>
      </c>
      <c r="I24" s="141">
        <f>+'Actual 2007'!G10</f>
        <v>794933.9482500002</v>
      </c>
      <c r="J24" s="141">
        <f>+'Actual 2007'!G11</f>
        <v>24497981.94965</v>
      </c>
      <c r="K24" s="141">
        <f>+'Actual 2007'!G12</f>
        <v>16255512.990360003</v>
      </c>
      <c r="L24" s="141">
        <f>+'Actual 2007'!G13</f>
        <v>14191003.43124</v>
      </c>
      <c r="M24" s="141">
        <f>+'Actual 2007'!G14</f>
        <v>8313756.555760001</v>
      </c>
      <c r="N24" s="141">
        <f>+'Actual 2007'!G15-SC!D17</f>
        <v>6661132.526940001</v>
      </c>
      <c r="O24" s="141">
        <f>+'Actual 2007'!G18</f>
        <v>3859010.1514799995</v>
      </c>
      <c r="P24" s="141">
        <f>+'Actual 2007'!G19-SC!D35</f>
        <v>5901939.428160001</v>
      </c>
      <c r="Q24" s="141">
        <f>+'Actual 2007'!G20</f>
        <v>2192722.479848</v>
      </c>
      <c r="R24" s="141">
        <f>+'Actual 2007'!G16</f>
        <v>65678.09022</v>
      </c>
      <c r="S24" s="141">
        <f>+'Actual 2007'!G17</f>
        <v>197557.14160000003</v>
      </c>
      <c r="T24" s="141">
        <f>+'Actual 2007'!G21+'Actual 2007'!G22+'Actual 2007'!G23+'Actual 2007'!G24+'Actual 2007'!G25+'Actual 2007'!G26+SC!D17</f>
        <v>4648677.91322</v>
      </c>
      <c r="U24" s="141">
        <f>+'Actual 2007'!H27</f>
        <v>2990518.86</v>
      </c>
      <c r="V24" s="36">
        <f>SUM(C24:U24)</f>
        <v>117209775.66032803</v>
      </c>
      <c r="W24" s="32"/>
      <c r="X24" s="101">
        <f>+V24-'Actual 2007'!G28-'Actual 2007'!H27</f>
        <v>1.4435499906539917E-08</v>
      </c>
      <c r="Y24" s="8"/>
      <c r="Z24" s="8"/>
      <c r="AA24" s="2"/>
      <c r="AB24" s="2"/>
      <c r="AC24" s="2"/>
    </row>
    <row r="25" spans="1:29" ht="14.25">
      <c r="A25" s="2"/>
      <c r="B25" s="2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36"/>
      <c r="W25" s="33"/>
      <c r="X25" s="13"/>
      <c r="Y25" s="2"/>
      <c r="Z25" s="2"/>
      <c r="AA25" s="2"/>
      <c r="AB25" s="2"/>
      <c r="AC25" s="2"/>
    </row>
    <row r="26" spans="1:29" ht="14.25">
      <c r="A26" s="14">
        <f>+A24+1</f>
        <v>7</v>
      </c>
      <c r="B26" s="1" t="s">
        <v>11</v>
      </c>
      <c r="C26" s="141">
        <f>+'Actual 2007'!H5+'Actual 2007'!H7</f>
        <v>-139164.49819999997</v>
      </c>
      <c r="D26" s="141">
        <v>0</v>
      </c>
      <c r="E26" s="141">
        <v>0</v>
      </c>
      <c r="F26" s="141">
        <f>+'Actual 2007'!H6</f>
        <v>0</v>
      </c>
      <c r="G26" s="141">
        <f>+'Actual 2007'!H8</f>
        <v>-131.75383</v>
      </c>
      <c r="H26" s="141">
        <f>+'Actual 2007'!H9</f>
        <v>0</v>
      </c>
      <c r="I26" s="141">
        <f>+'Actual 2007'!H10</f>
        <v>-10722.698999999995</v>
      </c>
      <c r="J26" s="141">
        <f>+'Actual 2007'!H11</f>
        <v>-36030.39660000001</v>
      </c>
      <c r="K26" s="141">
        <f>+'Actual 2007'!H12</f>
        <v>-31241.71435000001</v>
      </c>
      <c r="L26" s="141">
        <f>+'Actual 2007'!H13</f>
        <v>-15788.133239999966</v>
      </c>
      <c r="M26" s="141">
        <f>+'Actual 2007'!H14</f>
        <v>0</v>
      </c>
      <c r="N26" s="141">
        <f>+'Actual 2007'!H15</f>
        <v>0</v>
      </c>
      <c r="O26" s="141">
        <f>+'Actual 2007'!H18</f>
        <v>0</v>
      </c>
      <c r="P26" s="141">
        <f>+'Actual 2007'!H19</f>
        <v>0</v>
      </c>
      <c r="Q26" s="141">
        <f>+'Actual 2007'!H20</f>
        <v>0</v>
      </c>
      <c r="R26" s="141">
        <f>+'Actual 2007'!H16</f>
        <v>-102.85542000000001</v>
      </c>
      <c r="S26" s="141">
        <f>+'Actual 2007'!H17</f>
        <v>0</v>
      </c>
      <c r="T26" s="142">
        <v>0</v>
      </c>
      <c r="U26" s="142">
        <v>0</v>
      </c>
      <c r="V26" s="36">
        <f>SUM(C26:U26)</f>
        <v>-233182.05063999997</v>
      </c>
      <c r="W26" s="33"/>
      <c r="X26" s="13">
        <f>+V26-'Actual 2007'!H28+'Actual 2007'!H27</f>
        <v>0</v>
      </c>
      <c r="Y26" s="2"/>
      <c r="Z26" s="2"/>
      <c r="AA26" s="2"/>
      <c r="AB26" s="2"/>
      <c r="AC26" s="2"/>
    </row>
    <row r="27" spans="1:29" ht="14.25">
      <c r="A27" s="2"/>
      <c r="B27" s="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35"/>
      <c r="W27" s="33"/>
      <c r="X27" s="13"/>
      <c r="Y27" s="2"/>
      <c r="Z27" s="2"/>
      <c r="AA27" s="2"/>
      <c r="AB27" s="2"/>
      <c r="AC27" s="2"/>
    </row>
    <row r="28" spans="1:29" ht="14.25">
      <c r="A28" s="14">
        <f>+A26+1</f>
        <v>8</v>
      </c>
      <c r="B28" s="1" t="s">
        <v>12</v>
      </c>
      <c r="C28" s="141">
        <f aca="true" t="shared" si="2" ref="C28:R28">C24+C26+C22</f>
        <v>62050058.910330005</v>
      </c>
      <c r="D28" s="141">
        <f>D24+D26+D22</f>
        <v>0</v>
      </c>
      <c r="E28" s="141">
        <f>E24+E26+E22</f>
        <v>0</v>
      </c>
      <c r="F28" s="141">
        <f t="shared" si="2"/>
        <v>64466</v>
      </c>
      <c r="G28" s="141">
        <f t="shared" si="2"/>
        <v>98572.39124000003</v>
      </c>
      <c r="H28" s="141">
        <f t="shared" si="2"/>
        <v>114886</v>
      </c>
      <c r="I28" s="141">
        <f t="shared" si="2"/>
        <v>2157378.2492500003</v>
      </c>
      <c r="J28" s="141">
        <f t="shared" si="2"/>
        <v>31117123.89305</v>
      </c>
      <c r="K28" s="141">
        <f t="shared" si="2"/>
        <v>17487998.646010004</v>
      </c>
      <c r="L28" s="141">
        <f t="shared" si="2"/>
        <v>14600532.798</v>
      </c>
      <c r="M28" s="141">
        <f t="shared" si="2"/>
        <v>8458554.05576</v>
      </c>
      <c r="N28" s="141">
        <f t="shared" si="2"/>
        <v>6833707.526940001</v>
      </c>
      <c r="O28" s="141">
        <f t="shared" si="2"/>
        <v>3910310.1514799995</v>
      </c>
      <c r="P28" s="141">
        <f t="shared" si="2"/>
        <v>5939739.428160001</v>
      </c>
      <c r="Q28" s="141">
        <f t="shared" si="2"/>
        <v>2198122.479848</v>
      </c>
      <c r="R28" s="141">
        <f t="shared" si="2"/>
        <v>72312.73479999999</v>
      </c>
      <c r="S28" s="141">
        <f>S24+S26+S22</f>
        <v>197557.14160000003</v>
      </c>
      <c r="T28" s="141">
        <f>T24+T26+T22</f>
        <v>4657477.91322</v>
      </c>
      <c r="U28" s="141">
        <f>U24+U26+U22</f>
        <v>2990518.86</v>
      </c>
      <c r="V28" s="36">
        <f>SUM(C28:U28)</f>
        <v>162949317.17968804</v>
      </c>
      <c r="W28" s="33"/>
      <c r="X28" s="2"/>
      <c r="Y28" s="2"/>
      <c r="Z28" s="2"/>
      <c r="AA28" s="2"/>
      <c r="AB28" s="2"/>
      <c r="AC28" s="2"/>
    </row>
    <row r="29" spans="1:29" ht="14.25">
      <c r="A29" s="2"/>
      <c r="B29" s="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35"/>
      <c r="W29" s="33"/>
      <c r="X29" s="2"/>
      <c r="Y29" s="2"/>
      <c r="Z29" s="2"/>
      <c r="AA29" s="2"/>
      <c r="AB29" s="2"/>
      <c r="AC29" s="2"/>
    </row>
    <row r="30" spans="1:46" ht="14.25">
      <c r="A30" s="14">
        <f>+A28+1</f>
        <v>9</v>
      </c>
      <c r="B30" s="1" t="s">
        <v>13</v>
      </c>
      <c r="C30" s="141">
        <f>+'Fuel Rev'!N33-'SCHE-1'!C32</f>
        <v>88161116.38315812</v>
      </c>
      <c r="D30" s="141">
        <v>0</v>
      </c>
      <c r="E30" s="141">
        <v>0</v>
      </c>
      <c r="F30" s="141">
        <f>+'Fuel Rev'!N34</f>
        <v>8197.881189886699</v>
      </c>
      <c r="G30" s="141">
        <f>+'Fuel Rev'!N44-'SCHE-1'!G32</f>
        <v>125481.12984645128</v>
      </c>
      <c r="H30" s="141">
        <f>+'Fuel Rev'!N35</f>
        <v>20435.18454546068</v>
      </c>
      <c r="I30" s="141">
        <f>+'Fuel Rev'!N36-'SCHE-1'!I32</f>
        <v>2901597.728914163</v>
      </c>
      <c r="J30" s="141">
        <f>+'Fuel Rev'!N37-'SCHE-1'!J32</f>
        <v>50087622.10440081</v>
      </c>
      <c r="K30" s="141">
        <f>+'Fuel Rev'!N38-K32</f>
        <v>15557828.831860587</v>
      </c>
      <c r="L30" s="141">
        <f>+'Fuel Rev'!N39-'SCHE-1'!L32</f>
        <v>8920002.642067209</v>
      </c>
      <c r="M30" s="141">
        <f>+'Fuel Rev'!N40</f>
        <v>1956632.8940967948</v>
      </c>
      <c r="N30" s="141">
        <f>+'Fuel Rev'!N41</f>
        <v>3139853.966720614</v>
      </c>
      <c r="O30" s="142">
        <v>0</v>
      </c>
      <c r="P30" s="142">
        <v>0</v>
      </c>
      <c r="Q30" s="142">
        <v>0</v>
      </c>
      <c r="R30" s="141">
        <f>+'Fuel Rev'!N43-'SCHE-1'!R32</f>
        <v>29334.59471822479</v>
      </c>
      <c r="S30" s="141">
        <f>+'Fuel Rev'!N42</f>
        <v>792625.0426420795</v>
      </c>
      <c r="T30" s="142">
        <v>0</v>
      </c>
      <c r="U30" s="141">
        <f>+'Actual 2007'!H66</f>
        <v>221130748.88</v>
      </c>
      <c r="V30" s="36">
        <f>SUM(C30:U30)</f>
        <v>392831477.2641604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</row>
    <row r="31" spans="1:46" ht="14.25">
      <c r="A31" s="2"/>
      <c r="B31" s="2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</row>
    <row r="32" spans="1:46" ht="14.25">
      <c r="A32" s="14">
        <f>+A30+1</f>
        <v>10</v>
      </c>
      <c r="B32" s="1" t="s">
        <v>14</v>
      </c>
      <c r="C32" s="141">
        <f>+'Unbilled Fuel'!N29</f>
        <v>-1304620.954707466</v>
      </c>
      <c r="D32" s="141">
        <v>0</v>
      </c>
      <c r="E32" s="142">
        <v>0</v>
      </c>
      <c r="F32" s="142">
        <v>0</v>
      </c>
      <c r="G32" s="141">
        <f>+'Unbilled Fuel'!N35</f>
        <v>-2366.633538103377</v>
      </c>
      <c r="H32" s="142">
        <v>0</v>
      </c>
      <c r="I32" s="141">
        <f>+'Unbilled Fuel'!N30</f>
        <v>-42653.208337903</v>
      </c>
      <c r="J32" s="141">
        <f>+'Unbilled Fuel'!N31</f>
        <v>-399784.3872879156</v>
      </c>
      <c r="K32" s="141">
        <f>+'Unbilled Fuel'!N32</f>
        <v>-168061.24356255916</v>
      </c>
      <c r="L32" s="141">
        <f>+'Unbilled Fuel'!N33</f>
        <v>-148188.42235711814</v>
      </c>
      <c r="M32" s="142">
        <v>0</v>
      </c>
      <c r="N32" s="142">
        <v>0</v>
      </c>
      <c r="O32" s="142">
        <v>0</v>
      </c>
      <c r="P32" s="142">
        <v>0</v>
      </c>
      <c r="Q32" s="142">
        <v>0</v>
      </c>
      <c r="R32" s="141">
        <f>+'Unbilled Fuel'!N34</f>
        <v>-805.5343693385256</v>
      </c>
      <c r="S32" s="142">
        <v>0</v>
      </c>
      <c r="T32" s="142">
        <v>0</v>
      </c>
      <c r="U32" s="142">
        <v>0</v>
      </c>
      <c r="V32" s="36">
        <f>SUM(C32:U32)</f>
        <v>-2066480.384160404</v>
      </c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</row>
    <row r="33" spans="1:29" ht="14.25">
      <c r="A33" s="15"/>
      <c r="B33" s="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35"/>
      <c r="W33" s="33"/>
      <c r="X33" s="2"/>
      <c r="Y33" s="2"/>
      <c r="Z33" s="2"/>
      <c r="AA33" s="2"/>
      <c r="AB33" s="2"/>
      <c r="AC33" s="2"/>
    </row>
    <row r="34" spans="1:29" ht="14.25">
      <c r="A34" s="14">
        <f>+A32+1</f>
        <v>11</v>
      </c>
      <c r="B34" s="1" t="s">
        <v>15</v>
      </c>
      <c r="C34" s="141">
        <f aca="true" t="shared" si="3" ref="C34:R34">C30+C32</f>
        <v>86856495.42845064</v>
      </c>
      <c r="D34" s="141">
        <f>D30+D32</f>
        <v>0</v>
      </c>
      <c r="E34" s="141">
        <f>E30+E32</f>
        <v>0</v>
      </c>
      <c r="F34" s="141">
        <f t="shared" si="3"/>
        <v>8197.881189886699</v>
      </c>
      <c r="G34" s="141">
        <f t="shared" si="3"/>
        <v>123114.49630834791</v>
      </c>
      <c r="H34" s="141">
        <f t="shared" si="3"/>
        <v>20435.18454546068</v>
      </c>
      <c r="I34" s="141">
        <f t="shared" si="3"/>
        <v>2858944.52057626</v>
      </c>
      <c r="J34" s="141">
        <f t="shared" si="3"/>
        <v>49687837.7171129</v>
      </c>
      <c r="K34" s="141">
        <f t="shared" si="3"/>
        <v>15389767.588298028</v>
      </c>
      <c r="L34" s="141">
        <f t="shared" si="3"/>
        <v>8771814.219710091</v>
      </c>
      <c r="M34" s="141">
        <f t="shared" si="3"/>
        <v>1956632.8940967948</v>
      </c>
      <c r="N34" s="141">
        <f t="shared" si="3"/>
        <v>3139853.966720614</v>
      </c>
      <c r="O34" s="141">
        <f t="shared" si="3"/>
        <v>0</v>
      </c>
      <c r="P34" s="141">
        <f t="shared" si="3"/>
        <v>0</v>
      </c>
      <c r="Q34" s="141">
        <f t="shared" si="3"/>
        <v>0</v>
      </c>
      <c r="R34" s="141">
        <f t="shared" si="3"/>
        <v>28529.060348886265</v>
      </c>
      <c r="S34" s="141">
        <f>S30+S32</f>
        <v>792625.0426420795</v>
      </c>
      <c r="T34" s="141">
        <f>T30+T32</f>
        <v>0</v>
      </c>
      <c r="U34" s="141">
        <f>U30+U32</f>
        <v>221130748.88</v>
      </c>
      <c r="V34" s="36">
        <f>SUM(C34:U34)</f>
        <v>390764996.88</v>
      </c>
      <c r="W34" s="33"/>
      <c r="X34" s="13">
        <f>+'[3]SCHC2'!$E$18+V34</f>
        <v>-0.6055999994277954</v>
      </c>
      <c r="Y34" s="2" t="s">
        <v>460</v>
      </c>
      <c r="Z34" s="2"/>
      <c r="AA34" s="2"/>
      <c r="AB34" s="2"/>
      <c r="AC34" s="2"/>
    </row>
    <row r="35" spans="1:29" ht="14.25">
      <c r="A35" s="2"/>
      <c r="B35" s="2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35"/>
      <c r="W35" s="33"/>
      <c r="X35" s="13"/>
      <c r="Y35" s="2"/>
      <c r="Z35" s="2"/>
      <c r="AA35" s="2"/>
      <c r="AB35" s="2"/>
      <c r="AC35" s="2"/>
    </row>
    <row r="36" spans="1:49" ht="14.25">
      <c r="A36" s="14">
        <f>+A34+1</f>
        <v>12</v>
      </c>
      <c r="B36" s="1" t="s">
        <v>16</v>
      </c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2">
        <f>+C49</f>
        <v>273834</v>
      </c>
      <c r="R36" s="141">
        <v>0</v>
      </c>
      <c r="S36" s="141">
        <v>0</v>
      </c>
      <c r="T36" s="141">
        <v>0</v>
      </c>
      <c r="U36" s="141">
        <f>+C57-Q36</f>
        <v>7943218.334711988</v>
      </c>
      <c r="V36" s="36">
        <f>SUM(C36:U36)</f>
        <v>8217052.334711988</v>
      </c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</row>
    <row r="37" spans="1:29" ht="14.25">
      <c r="A37" s="2"/>
      <c r="B37" s="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32"/>
      <c r="W37" s="32"/>
      <c r="X37" s="8"/>
      <c r="Y37" s="8"/>
      <c r="Z37" s="8"/>
      <c r="AA37" s="2"/>
      <c r="AB37" s="2"/>
      <c r="AC37" s="2"/>
    </row>
    <row r="38" spans="1:29" ht="15" thickBot="1">
      <c r="A38" s="14">
        <f>+A36+1</f>
        <v>13</v>
      </c>
      <c r="B38" s="1" t="s">
        <v>51</v>
      </c>
      <c r="C38" s="144">
        <f>C34+C36+C28+C37</f>
        <v>148906554.33878064</v>
      </c>
      <c r="D38" s="144">
        <f aca="true" t="shared" si="4" ref="D38:N38">D34+D36+D28+D37</f>
        <v>0</v>
      </c>
      <c r="E38" s="144">
        <f t="shared" si="4"/>
        <v>0</v>
      </c>
      <c r="F38" s="144">
        <f t="shared" si="4"/>
        <v>72663.8811898867</v>
      </c>
      <c r="G38" s="144">
        <f t="shared" si="4"/>
        <v>221686.88754834794</v>
      </c>
      <c r="H38" s="144">
        <f t="shared" si="4"/>
        <v>135321.18454546068</v>
      </c>
      <c r="I38" s="144">
        <f t="shared" si="4"/>
        <v>5016322.76982626</v>
      </c>
      <c r="J38" s="144">
        <f t="shared" si="4"/>
        <v>80804961.6101629</v>
      </c>
      <c r="K38" s="144">
        <f t="shared" si="4"/>
        <v>32877766.234308034</v>
      </c>
      <c r="L38" s="144">
        <f t="shared" si="4"/>
        <v>23372347.01771009</v>
      </c>
      <c r="M38" s="144">
        <f t="shared" si="4"/>
        <v>10415186.949856795</v>
      </c>
      <c r="N38" s="144">
        <f t="shared" si="4"/>
        <v>9973561.493660616</v>
      </c>
      <c r="O38" s="144">
        <f aca="true" t="shared" si="5" ref="O38:U38">O34+O36+O28+O37</f>
        <v>3910310.1514799995</v>
      </c>
      <c r="P38" s="144">
        <f t="shared" si="5"/>
        <v>5939739.428160001</v>
      </c>
      <c r="Q38" s="144">
        <f t="shared" si="5"/>
        <v>2471956.479848</v>
      </c>
      <c r="R38" s="144">
        <f t="shared" si="5"/>
        <v>100841.79514888626</v>
      </c>
      <c r="S38" s="144">
        <f t="shared" si="5"/>
        <v>990182.1842420795</v>
      </c>
      <c r="T38" s="144">
        <f t="shared" si="5"/>
        <v>4657477.91322</v>
      </c>
      <c r="U38" s="144">
        <f t="shared" si="5"/>
        <v>232064486.074712</v>
      </c>
      <c r="V38" s="38">
        <f>SUM(C38:U38)</f>
        <v>561931366.3944001</v>
      </c>
      <c r="W38" s="33"/>
      <c r="X38" s="13"/>
      <c r="Y38" s="2"/>
      <c r="Z38" s="2"/>
      <c r="AA38" s="2"/>
      <c r="AB38" s="2"/>
      <c r="AC38" s="2"/>
    </row>
    <row r="39" spans="1:29" ht="15" thickTop="1">
      <c r="A39" s="2"/>
      <c r="B39" s="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  <c r="R39" s="39"/>
      <c r="S39" s="39"/>
      <c r="T39" s="39"/>
      <c r="U39" s="39"/>
      <c r="V39" s="39"/>
      <c r="W39" s="33"/>
      <c r="X39" s="2"/>
      <c r="Y39" s="2"/>
      <c r="Z39" s="2"/>
      <c r="AA39" s="2"/>
      <c r="AB39" s="2"/>
      <c r="AC39" s="2"/>
    </row>
    <row r="40" spans="3:29" ht="14.25">
      <c r="C40" s="34"/>
      <c r="D40" s="34"/>
      <c r="E40" s="34"/>
      <c r="F40" s="34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  <c r="R40" s="49" t="s">
        <v>455</v>
      </c>
      <c r="S40" s="139"/>
      <c r="T40" s="33"/>
      <c r="U40" s="33"/>
      <c r="V40" s="33"/>
      <c r="W40" s="33"/>
      <c r="X40" s="2"/>
      <c r="Y40" s="2"/>
      <c r="Z40" s="2"/>
      <c r="AA40" s="2"/>
      <c r="AB40" s="2"/>
      <c r="AC40" s="2"/>
    </row>
    <row r="41" spans="1:29" ht="14.25">
      <c r="A41" s="2"/>
      <c r="B41" s="17" t="s">
        <v>33</v>
      </c>
      <c r="C41" s="41"/>
      <c r="D41" s="41"/>
      <c r="E41" s="41"/>
      <c r="F41" s="41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43"/>
      <c r="S41" s="33"/>
      <c r="T41" s="33"/>
      <c r="U41" s="33"/>
      <c r="V41" s="33"/>
      <c r="W41" s="33"/>
      <c r="X41" s="2"/>
      <c r="Y41" s="2"/>
      <c r="Z41" s="2"/>
      <c r="AA41" s="2"/>
      <c r="AB41" s="2"/>
      <c r="AC41" s="2"/>
    </row>
    <row r="42" spans="1:29" ht="14.25">
      <c r="A42" s="2"/>
      <c r="B42" s="1"/>
      <c r="C42" s="33"/>
      <c r="D42" s="33"/>
      <c r="E42" s="33"/>
      <c r="F42" s="33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  <c r="R42" s="43" t="s">
        <v>459</v>
      </c>
      <c r="S42" s="33"/>
      <c r="T42" s="33"/>
      <c r="U42" s="33"/>
      <c r="V42" s="32">
        <f>+'Actual 2007'!D82</f>
        <v>7366791</v>
      </c>
      <c r="W42" s="33"/>
      <c r="X42" s="2"/>
      <c r="Y42" s="2"/>
      <c r="Z42" s="2"/>
      <c r="AA42" s="2"/>
      <c r="AB42" s="2"/>
      <c r="AC42" s="2"/>
    </row>
    <row r="43" spans="1:29" ht="14.25">
      <c r="A43" s="14">
        <f>+A38+1</f>
        <v>14</v>
      </c>
      <c r="B43" s="1" t="s">
        <v>46</v>
      </c>
      <c r="C43" s="36">
        <f>+'Actual 2007'!D65</f>
        <v>830766</v>
      </c>
      <c r="D43" s="36"/>
      <c r="E43" s="36"/>
      <c r="F43" s="36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33"/>
      <c r="S43" s="33"/>
      <c r="T43" s="33"/>
      <c r="U43" s="33"/>
      <c r="V43" s="32"/>
      <c r="W43" s="33"/>
      <c r="X43" s="2"/>
      <c r="Y43" s="2"/>
      <c r="Z43" s="2"/>
      <c r="AA43" s="2"/>
      <c r="AB43" s="2"/>
      <c r="AC43" s="2"/>
    </row>
    <row r="44" spans="1:29" ht="14.25">
      <c r="A44" s="2"/>
      <c r="B44" s="2"/>
      <c r="C44" s="33"/>
      <c r="D44" s="33"/>
      <c r="E44" s="33"/>
      <c r="F44" s="33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0"/>
      <c r="R44" s="43" t="s">
        <v>457</v>
      </c>
      <c r="S44" s="33"/>
      <c r="T44" s="33"/>
      <c r="U44" s="33"/>
      <c r="V44" s="32">
        <f>+'Actual 2007'!D80+'Actual 2007'!D81</f>
        <v>23721890</v>
      </c>
      <c r="W44" s="33"/>
      <c r="X44" s="13"/>
      <c r="Y44" s="2"/>
      <c r="Z44" s="2"/>
      <c r="AA44" s="2"/>
      <c r="AB44" s="2"/>
      <c r="AC44" s="2"/>
    </row>
    <row r="45" spans="1:29" ht="14.25">
      <c r="A45" s="14">
        <f>+A43+1</f>
        <v>15</v>
      </c>
      <c r="B45" s="1" t="s">
        <v>50</v>
      </c>
      <c r="C45" s="78">
        <f>+'Actual 2007'!I46+'Actual 2007'!I47</f>
        <v>5966240</v>
      </c>
      <c r="D45" s="78"/>
      <c r="E45" s="78"/>
      <c r="F45" s="32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0"/>
      <c r="R45" s="43"/>
      <c r="S45" s="33"/>
      <c r="T45" s="33"/>
      <c r="U45" s="33"/>
      <c r="V45" s="32"/>
      <c r="W45" s="33"/>
      <c r="X45" s="2"/>
      <c r="Y45" s="2"/>
      <c r="Z45" s="2"/>
      <c r="AA45" s="2"/>
      <c r="AB45" s="2"/>
      <c r="AC45" s="2"/>
    </row>
    <row r="46" spans="1:29" ht="14.25">
      <c r="A46" s="2"/>
      <c r="B46" s="2"/>
      <c r="C46" s="32"/>
      <c r="D46" s="32"/>
      <c r="E46" s="32"/>
      <c r="F46" s="32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0"/>
      <c r="R46" s="43" t="s">
        <v>504</v>
      </c>
      <c r="S46" s="33"/>
      <c r="T46" s="33"/>
      <c r="U46" s="33"/>
      <c r="V46" s="137">
        <v>9807</v>
      </c>
      <c r="W46" s="33"/>
      <c r="X46" s="2"/>
      <c r="Y46" s="2"/>
      <c r="Z46" s="2"/>
      <c r="AA46" s="2"/>
      <c r="AB46" s="2"/>
      <c r="AC46" s="2"/>
    </row>
    <row r="47" spans="1:29" ht="14.25">
      <c r="A47" s="14">
        <f>+A45+1</f>
        <v>16</v>
      </c>
      <c r="B47" s="4" t="s">
        <v>48</v>
      </c>
      <c r="C47" s="32">
        <f>+'Actual 2007'!D79</f>
        <v>384414</v>
      </c>
      <c r="D47" s="32"/>
      <c r="E47" s="32"/>
      <c r="F47" s="32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  <c r="R47" s="43"/>
      <c r="S47" s="33"/>
      <c r="T47" s="33"/>
      <c r="U47" s="33"/>
      <c r="V47" s="138"/>
      <c r="W47" s="33"/>
      <c r="X47" s="2"/>
      <c r="Y47" s="2"/>
      <c r="Z47" s="2"/>
      <c r="AA47" s="2"/>
      <c r="AB47" s="2"/>
      <c r="AC47" s="2"/>
    </row>
    <row r="48" spans="1:29" ht="15" thickBot="1">
      <c r="A48" s="18"/>
      <c r="B48" s="2"/>
      <c r="C48" s="32"/>
      <c r="D48" s="32"/>
      <c r="E48" s="32"/>
      <c r="F48" s="32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  <c r="R48" s="43" t="s">
        <v>456</v>
      </c>
      <c r="S48" s="33"/>
      <c r="T48" s="33"/>
      <c r="U48" s="33"/>
      <c r="V48" s="38">
        <f>+V38+V42+V44+V46</f>
        <v>593029854.3944001</v>
      </c>
      <c r="W48" s="33"/>
      <c r="X48" s="13">
        <f>+'[2]SCHC3'!$P$30</f>
        <v>593029854</v>
      </c>
      <c r="Y48" s="2" t="s">
        <v>458</v>
      </c>
      <c r="Z48" s="2"/>
      <c r="AA48" s="2"/>
      <c r="AB48" s="2"/>
      <c r="AC48" s="2"/>
    </row>
    <row r="49" spans="1:29" ht="15" thickTop="1">
      <c r="A49" s="14">
        <f>+A47+1</f>
        <v>17</v>
      </c>
      <c r="B49" s="1" t="s">
        <v>235</v>
      </c>
      <c r="C49" s="32">
        <f>+'Actual 2007'!G53</f>
        <v>273834</v>
      </c>
      <c r="D49" s="32"/>
      <c r="E49" s="32"/>
      <c r="F49" s="3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0"/>
      <c r="W49" s="33"/>
      <c r="X49" s="140">
        <f>+X48-V48</f>
        <v>-0.39440011978149414</v>
      </c>
      <c r="Y49" s="2"/>
      <c r="Z49" s="2"/>
      <c r="AA49" s="2"/>
      <c r="AB49" s="2"/>
      <c r="AC49" s="2"/>
    </row>
    <row r="50" spans="1:29" ht="14.25">
      <c r="A50" s="2"/>
      <c r="B50" s="1"/>
      <c r="C50" s="32"/>
      <c r="D50" s="32"/>
      <c r="E50" s="32"/>
      <c r="F50" s="3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0"/>
      <c r="W50" s="33"/>
      <c r="X50" s="2"/>
      <c r="Y50" s="2"/>
      <c r="Z50" s="2"/>
      <c r="AA50" s="2"/>
      <c r="AB50" s="2"/>
      <c r="AC50" s="2"/>
    </row>
    <row r="51" spans="1:28" ht="14.25">
      <c r="A51" s="14">
        <f>+A49+1</f>
        <v>18</v>
      </c>
      <c r="B51" s="1" t="s">
        <v>461</v>
      </c>
      <c r="C51" s="78">
        <f>+'Actual 2007'!I53-'SCHE-1'!C49+'Actual 2007'!I55+'Actual 2007'!I57+'Actual 2007'!I56</f>
        <v>761798.3347119882</v>
      </c>
      <c r="D51" s="32"/>
      <c r="E51" s="32"/>
      <c r="F51" s="3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0"/>
      <c r="W51" s="33"/>
      <c r="X51" s="2"/>
      <c r="Y51" s="2"/>
      <c r="Z51" s="2"/>
      <c r="AA51" s="2"/>
      <c r="AB51" s="2"/>
    </row>
    <row r="52" spans="1:26" ht="14.25">
      <c r="A52" s="18"/>
      <c r="B52" s="1"/>
      <c r="C52" s="32"/>
      <c r="D52" s="32"/>
      <c r="E52" s="32"/>
      <c r="F52" s="32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0"/>
      <c r="W52" s="33"/>
      <c r="X52" s="2"/>
      <c r="Y52" s="2"/>
      <c r="Z52" s="2"/>
    </row>
    <row r="53" spans="1:26" ht="14.25">
      <c r="A53" s="14">
        <f>+A51+1</f>
        <v>19</v>
      </c>
      <c r="B53" s="1" t="s">
        <v>426</v>
      </c>
      <c r="C53" s="78">
        <f>(+'Actual 2007'!I51+'Actual 2007'!I48+'Actual 2007'!I49)*0</f>
        <v>0</v>
      </c>
      <c r="D53" s="78"/>
      <c r="E53" s="78"/>
      <c r="F53" s="32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0"/>
      <c r="W53" s="33"/>
      <c r="X53" s="2"/>
      <c r="Y53" s="2"/>
      <c r="Z53" s="2"/>
    </row>
    <row r="54" spans="1:26" ht="14.25">
      <c r="A54" s="18"/>
      <c r="B54" s="1"/>
      <c r="C54" s="32"/>
      <c r="D54" s="32"/>
      <c r="E54" s="32"/>
      <c r="F54" s="32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40"/>
      <c r="W54" s="33"/>
      <c r="X54" s="2"/>
      <c r="Y54" s="2"/>
      <c r="Z54" s="2"/>
    </row>
    <row r="55" spans="1:29" ht="14.25">
      <c r="A55" s="14">
        <f>+A53+1</f>
        <v>20</v>
      </c>
      <c r="B55" s="1" t="s">
        <v>214</v>
      </c>
      <c r="C55" s="78">
        <f>+'Actual 2007'!I50*0</f>
        <v>0</v>
      </c>
      <c r="D55" s="78"/>
      <c r="E55" s="78"/>
      <c r="F55" s="32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40"/>
      <c r="W55" s="33"/>
      <c r="X55" s="2"/>
      <c r="Y55" s="2"/>
      <c r="Z55" s="2"/>
      <c r="AA55" s="2"/>
      <c r="AB55" s="2"/>
      <c r="AC55" s="2"/>
    </row>
    <row r="56" spans="1:29" ht="14.25">
      <c r="A56" s="2"/>
      <c r="B56" s="1"/>
      <c r="C56" s="32"/>
      <c r="D56" s="32"/>
      <c r="E56" s="32"/>
      <c r="F56" s="32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0"/>
      <c r="W56" s="33"/>
      <c r="X56" s="2"/>
      <c r="Y56" s="2"/>
      <c r="Z56" s="2"/>
      <c r="AA56" s="2"/>
      <c r="AB56" s="2"/>
      <c r="AC56" s="2"/>
    </row>
    <row r="57" spans="1:29" ht="15" thickBot="1">
      <c r="A57" s="14">
        <f>+A55+1</f>
        <v>21</v>
      </c>
      <c r="B57" s="1" t="s">
        <v>18</v>
      </c>
      <c r="C57" s="38">
        <f>SUM(C43:C56)</f>
        <v>8217052.334711988</v>
      </c>
      <c r="D57" s="42"/>
      <c r="E57" s="42"/>
      <c r="F57" s="42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40"/>
      <c r="R57" s="43"/>
      <c r="S57" s="33"/>
      <c r="T57" s="33"/>
      <c r="U57" s="33"/>
      <c r="V57" s="42"/>
      <c r="W57" s="33"/>
      <c r="X57" s="2"/>
      <c r="Y57" s="2"/>
      <c r="Z57" s="2"/>
      <c r="AA57" s="2"/>
      <c r="AB57" s="2"/>
      <c r="AC57" s="2"/>
    </row>
    <row r="58" spans="1:29" ht="15" thickTop="1">
      <c r="A58" s="2"/>
      <c r="B58" s="2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0"/>
      <c r="R58" s="39"/>
      <c r="S58" s="39"/>
      <c r="T58" s="39"/>
      <c r="U58" s="39"/>
      <c r="V58" s="39"/>
      <c r="W58" s="33"/>
      <c r="X58" s="2"/>
      <c r="Y58" s="2"/>
      <c r="Z58" s="2"/>
      <c r="AA58" s="2"/>
      <c r="AB58" s="2"/>
      <c r="AC58" s="2"/>
    </row>
    <row r="59" spans="1:29" ht="14.25">
      <c r="A59" s="3"/>
      <c r="B59" s="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3"/>
      <c r="X59" s="2"/>
      <c r="Y59" s="2"/>
      <c r="Z59" s="2"/>
      <c r="AA59" s="2"/>
      <c r="AB59" s="2"/>
      <c r="AC59" s="2"/>
    </row>
    <row r="60" spans="1:29" ht="14.25">
      <c r="A60" s="1" t="s">
        <v>485</v>
      </c>
      <c r="B60" s="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43" t="s">
        <v>19</v>
      </c>
      <c r="U60" s="43"/>
      <c r="V60" s="33"/>
      <c r="W60" s="33"/>
      <c r="X60" s="2"/>
      <c r="Y60" s="2"/>
      <c r="Z60" s="2"/>
      <c r="AA60" s="2"/>
      <c r="AB60" s="2"/>
      <c r="AC60" s="2"/>
    </row>
    <row r="61" spans="1:29" ht="14.25">
      <c r="A61" s="1"/>
      <c r="B61" s="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43"/>
      <c r="U61" s="43"/>
      <c r="V61" s="33"/>
      <c r="W61" s="33"/>
      <c r="X61" s="2"/>
      <c r="Y61" s="2"/>
      <c r="Z61" s="2"/>
      <c r="AA61" s="2"/>
      <c r="AB61" s="2"/>
      <c r="AC61" s="2"/>
    </row>
    <row r="62" spans="1:29" ht="14.25">
      <c r="A62" s="1"/>
      <c r="B62" s="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43"/>
      <c r="U62" s="43"/>
      <c r="V62" s="33"/>
      <c r="W62" s="33"/>
      <c r="X62" s="2"/>
      <c r="Y62" s="2"/>
      <c r="Z62" s="2"/>
      <c r="AA62" s="2"/>
      <c r="AB62" s="2"/>
      <c r="AC62" s="2"/>
    </row>
    <row r="63" spans="1:29" ht="14.25">
      <c r="A63" s="2"/>
      <c r="B63" s="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2"/>
      <c r="Y63" s="2"/>
      <c r="Z63" s="2"/>
      <c r="AA63" s="2"/>
      <c r="AB63" s="2"/>
      <c r="AC63" s="2"/>
    </row>
    <row r="64" spans="1:29" ht="14.25">
      <c r="A64" s="1" t="s">
        <v>517</v>
      </c>
      <c r="B64" s="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43" t="s">
        <v>43</v>
      </c>
      <c r="N64" s="34"/>
      <c r="O64" s="33"/>
      <c r="P64" s="33"/>
      <c r="Q64" s="33"/>
      <c r="R64" s="33"/>
      <c r="S64" s="33"/>
      <c r="T64" s="34"/>
      <c r="U64" s="34"/>
      <c r="V64" s="43" t="s">
        <v>381</v>
      </c>
      <c r="W64" s="33"/>
      <c r="X64" s="2"/>
      <c r="Y64" s="2"/>
      <c r="Z64" s="2"/>
      <c r="AA64" s="2"/>
      <c r="AB64" s="2"/>
      <c r="AC64" s="2"/>
    </row>
    <row r="65" spans="1:29" ht="14.25">
      <c r="A65" s="3"/>
      <c r="B65" s="3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3"/>
      <c r="X65" s="2"/>
      <c r="Y65" s="2"/>
      <c r="Z65" s="2"/>
      <c r="AA65" s="2"/>
      <c r="AB65" s="2"/>
      <c r="AC65" s="2"/>
    </row>
    <row r="66" spans="1:29" ht="14.25">
      <c r="A66" s="1" t="s">
        <v>0</v>
      </c>
      <c r="B66" s="2"/>
      <c r="C66" s="33"/>
      <c r="D66" s="33"/>
      <c r="E66" s="33"/>
      <c r="F66" s="33"/>
      <c r="G66" s="33"/>
      <c r="H66" s="33"/>
      <c r="I66" s="33"/>
      <c r="J66" s="33"/>
      <c r="K66" s="34"/>
      <c r="L66" s="43"/>
      <c r="M66" s="44" t="s">
        <v>44</v>
      </c>
      <c r="N66" s="33"/>
      <c r="O66" s="33"/>
      <c r="P66" s="33"/>
      <c r="Q66" s="33"/>
      <c r="R66" s="34"/>
      <c r="S66" s="43" t="s">
        <v>1</v>
      </c>
      <c r="T66" s="43"/>
      <c r="U66" s="43"/>
      <c r="V66" s="33"/>
      <c r="W66" s="33"/>
      <c r="X66" s="2"/>
      <c r="Y66" s="2"/>
      <c r="Z66" s="2"/>
      <c r="AA66" s="2"/>
      <c r="AB66" s="2"/>
      <c r="AC66" s="2"/>
    </row>
    <row r="67" spans="1:29" ht="14.25">
      <c r="A67" s="2"/>
      <c r="B67" s="2"/>
      <c r="C67" s="33"/>
      <c r="D67" s="33"/>
      <c r="E67" s="33"/>
      <c r="F67" s="33"/>
      <c r="G67" s="33"/>
      <c r="H67" s="33"/>
      <c r="I67" s="33"/>
      <c r="J67" s="33"/>
      <c r="K67" s="34"/>
      <c r="L67" s="43"/>
      <c r="M67" s="44" t="s">
        <v>52</v>
      </c>
      <c r="N67" s="33"/>
      <c r="O67" s="33"/>
      <c r="P67" s="33"/>
      <c r="Q67" s="33"/>
      <c r="R67" s="34"/>
      <c r="S67" s="43" t="str">
        <f>+S4</f>
        <v>HISTORIC BASE YEAR DATA:  12/31/2007</v>
      </c>
      <c r="T67" s="43"/>
      <c r="U67" s="43"/>
      <c r="V67" s="33"/>
      <c r="W67" s="33"/>
      <c r="X67" s="2"/>
      <c r="Y67" s="2"/>
      <c r="Z67" s="2"/>
      <c r="AA67" s="2"/>
      <c r="AB67" s="2"/>
      <c r="AC67" s="2"/>
    </row>
    <row r="68" spans="1:29" ht="14.25">
      <c r="A68" s="1" t="str">
        <f>+A5</f>
        <v>COMPANY:   PEOPLES GAS SYSTEM</v>
      </c>
      <c r="B68" s="2"/>
      <c r="C68" s="33"/>
      <c r="D68" s="33"/>
      <c r="E68" s="33"/>
      <c r="F68" s="33"/>
      <c r="G68" s="33"/>
      <c r="H68" s="33"/>
      <c r="I68" s="33"/>
      <c r="J68" s="33"/>
      <c r="K68" s="34"/>
      <c r="L68" s="43"/>
      <c r="M68" s="44" t="s">
        <v>53</v>
      </c>
      <c r="N68" s="33"/>
      <c r="O68" s="33"/>
      <c r="P68" s="33"/>
      <c r="Q68" s="33"/>
      <c r="R68" s="34"/>
      <c r="S68" s="43" t="str">
        <f>+S5</f>
        <v>PROJECTED TEST YEAR:      12/31/2009</v>
      </c>
      <c r="T68" s="43"/>
      <c r="U68" s="43"/>
      <c r="V68" s="33"/>
      <c r="W68" s="33"/>
      <c r="X68" s="2"/>
      <c r="Y68" s="2"/>
      <c r="Z68" s="2"/>
      <c r="AA68" s="2"/>
      <c r="AB68" s="2"/>
      <c r="AC68" s="2"/>
    </row>
    <row r="69" spans="1:29" ht="14.25">
      <c r="A69" s="2"/>
      <c r="B69" s="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  <c r="S69" s="43" t="str">
        <f>+S6</f>
        <v>WITNESS:  </v>
      </c>
      <c r="T69" s="43" t="str">
        <f>+T6</f>
        <v>S. RICHARDS</v>
      </c>
      <c r="U69" s="43"/>
      <c r="V69" s="33"/>
      <c r="W69" s="33"/>
      <c r="X69" s="2"/>
      <c r="Y69" s="2"/>
      <c r="Z69" s="2"/>
      <c r="AA69" s="2"/>
      <c r="AB69" s="2"/>
      <c r="AC69" s="2"/>
    </row>
    <row r="70" spans="1:29" ht="14.25">
      <c r="A70" s="1" t="str">
        <f>+A7</f>
        <v>DOCKET NO.:   080318-GU</v>
      </c>
      <c r="B70" s="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2"/>
      <c r="Y70" s="2"/>
      <c r="Z70" s="2"/>
      <c r="AA70" s="2"/>
      <c r="AB70" s="2"/>
      <c r="AC70" s="2"/>
    </row>
    <row r="71" spans="1:29" ht="14.25">
      <c r="A71" s="2"/>
      <c r="B71" s="2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2"/>
      <c r="Y71" s="2"/>
      <c r="Z71" s="2"/>
      <c r="AA71" s="2"/>
      <c r="AB71" s="2"/>
      <c r="AC71" s="2"/>
    </row>
    <row r="72" spans="1:29" ht="14.25">
      <c r="A72" s="3"/>
      <c r="B72" s="3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3"/>
      <c r="X72" s="2"/>
      <c r="Y72" s="2"/>
      <c r="Z72" s="2"/>
      <c r="AA72" s="2"/>
      <c r="AB72" s="2"/>
      <c r="AC72" s="2"/>
    </row>
    <row r="73" spans="1:29" ht="14.25">
      <c r="A73" s="2"/>
      <c r="B73" s="2"/>
      <c r="C73" s="33"/>
      <c r="D73" s="117" t="str">
        <f aca="true" t="shared" si="6" ref="D73:E75">D10</f>
        <v>New</v>
      </c>
      <c r="E73" s="117" t="str">
        <f t="shared" si="6"/>
        <v>New</v>
      </c>
      <c r="F73" s="46" t="s">
        <v>88</v>
      </c>
      <c r="G73" s="46" t="s">
        <v>89</v>
      </c>
      <c r="H73" s="46" t="s">
        <v>241</v>
      </c>
      <c r="I73" s="46" t="s">
        <v>103</v>
      </c>
      <c r="J73" s="44"/>
      <c r="K73" s="118"/>
      <c r="L73" s="118"/>
      <c r="M73" s="113"/>
      <c r="N73" s="113"/>
      <c r="O73" s="46" t="s">
        <v>103</v>
      </c>
      <c r="P73" s="33"/>
      <c r="Q73" s="44" t="s">
        <v>99</v>
      </c>
      <c r="R73" s="62"/>
      <c r="S73" s="62"/>
      <c r="T73" s="61"/>
      <c r="U73" s="100" t="s">
        <v>425</v>
      </c>
      <c r="V73" s="33"/>
      <c r="W73" s="33"/>
      <c r="X73" s="2"/>
      <c r="Y73" s="2"/>
      <c r="Z73" s="2"/>
      <c r="AA73" s="2"/>
      <c r="AB73" s="2"/>
      <c r="AC73" s="2"/>
    </row>
    <row r="74" spans="1:29" ht="15.75">
      <c r="A74" s="1" t="s">
        <v>2</v>
      </c>
      <c r="B74" s="153" t="s">
        <v>487</v>
      </c>
      <c r="C74" s="46" t="s">
        <v>88</v>
      </c>
      <c r="D74" s="46" t="str">
        <f t="shared" si="6"/>
        <v>Residential </v>
      </c>
      <c r="E74" s="46" t="str">
        <f t="shared" si="6"/>
        <v>Residential </v>
      </c>
      <c r="F74" s="46" t="s">
        <v>239</v>
      </c>
      <c r="G74" s="46" t="s">
        <v>90</v>
      </c>
      <c r="H74" s="46" t="s">
        <v>239</v>
      </c>
      <c r="I74" s="46" t="s">
        <v>93</v>
      </c>
      <c r="J74" s="44" t="s">
        <v>93</v>
      </c>
      <c r="K74" s="44" t="str">
        <f aca="true" t="shared" si="7" ref="K74:N75">K11</f>
        <v>General</v>
      </c>
      <c r="L74" s="44" t="str">
        <f t="shared" si="7"/>
        <v>General</v>
      </c>
      <c r="M74" s="44" t="str">
        <f t="shared" si="7"/>
        <v>General</v>
      </c>
      <c r="N74" s="44" t="str">
        <f t="shared" si="7"/>
        <v>General</v>
      </c>
      <c r="O74" s="44" t="s">
        <v>104</v>
      </c>
      <c r="P74" s="44" t="s">
        <v>104</v>
      </c>
      <c r="Q74" s="44" t="s">
        <v>92</v>
      </c>
      <c r="R74" s="44" t="s">
        <v>515</v>
      </c>
      <c r="S74" s="44" t="s">
        <v>102</v>
      </c>
      <c r="T74" s="44" t="s">
        <v>86</v>
      </c>
      <c r="U74" s="44" t="s">
        <v>321</v>
      </c>
      <c r="V74" s="33"/>
      <c r="W74" s="33"/>
      <c r="X74" s="2"/>
      <c r="Y74" s="2"/>
      <c r="Z74" s="2"/>
      <c r="AA74" s="2"/>
      <c r="AB74" s="2"/>
      <c r="AC74" s="2"/>
    </row>
    <row r="75" spans="1:29" ht="14.25">
      <c r="A75" s="25" t="s">
        <v>3</v>
      </c>
      <c r="B75" s="10"/>
      <c r="C75" s="110" t="s">
        <v>448</v>
      </c>
      <c r="D75" s="110" t="str">
        <f t="shared" si="6"/>
        <v>2</v>
      </c>
      <c r="E75" s="110" t="str">
        <f t="shared" si="6"/>
        <v>3</v>
      </c>
      <c r="F75" s="45" t="s">
        <v>240</v>
      </c>
      <c r="G75" s="45" t="s">
        <v>91</v>
      </c>
      <c r="H75" s="45" t="s">
        <v>240</v>
      </c>
      <c r="I75" s="45" t="s">
        <v>92</v>
      </c>
      <c r="J75" s="45" t="s">
        <v>94</v>
      </c>
      <c r="K75" s="45" t="str">
        <f t="shared" si="7"/>
        <v>Service 2</v>
      </c>
      <c r="L75" s="45" t="str">
        <f t="shared" si="7"/>
        <v>Service 3</v>
      </c>
      <c r="M75" s="45" t="str">
        <f t="shared" si="7"/>
        <v>Service 4</v>
      </c>
      <c r="N75" s="45" t="str">
        <f t="shared" si="7"/>
        <v>Service 5</v>
      </c>
      <c r="O75" s="45" t="s">
        <v>92</v>
      </c>
      <c r="P75" s="45" t="s">
        <v>92</v>
      </c>
      <c r="Q75" s="45" t="s">
        <v>100</v>
      </c>
      <c r="R75" s="45" t="s">
        <v>101</v>
      </c>
      <c r="S75" s="45"/>
      <c r="T75" s="45" t="s">
        <v>87</v>
      </c>
      <c r="U75" s="45" t="s">
        <v>322</v>
      </c>
      <c r="V75" s="45" t="s">
        <v>4</v>
      </c>
      <c r="W75" s="33"/>
      <c r="X75" s="2"/>
      <c r="Y75" s="2"/>
      <c r="Z75" s="2"/>
      <c r="AA75" s="2"/>
      <c r="AB75" s="2"/>
      <c r="AC75" s="2"/>
    </row>
    <row r="76" spans="1:33" s="29" customFormat="1" ht="14.25">
      <c r="A76" s="27"/>
      <c r="B76" s="28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1"/>
      <c r="X76" s="28"/>
      <c r="Y76" s="28"/>
      <c r="Z76" s="28"/>
      <c r="AA76" s="2"/>
      <c r="AB76" s="2"/>
      <c r="AC76" s="2"/>
      <c r="AD76"/>
      <c r="AE76"/>
      <c r="AF76"/>
      <c r="AG76"/>
    </row>
    <row r="77" spans="1:29" ht="14.25">
      <c r="A77" s="14">
        <f>+A57+1</f>
        <v>22</v>
      </c>
      <c r="B77" s="1" t="s">
        <v>5</v>
      </c>
      <c r="C77" s="141">
        <f>+'Plan 2009'!B5+'Plan 2009'!B15+'Plan 2009'!B20</f>
        <v>3692477.1503581544</v>
      </c>
      <c r="D77" s="141">
        <v>0</v>
      </c>
      <c r="E77" s="141">
        <v>0</v>
      </c>
      <c r="F77" s="141">
        <f>+'Plan 2009'!B10</f>
        <v>8592</v>
      </c>
      <c r="G77" s="141">
        <f>+'Plan 2009'!B86+'Plan 2009'!B91</f>
        <v>756</v>
      </c>
      <c r="H77" s="141">
        <f>+'Plan 2009'!B24+'Plan 2009'!B28</f>
        <v>9504</v>
      </c>
      <c r="I77" s="141">
        <f>+'Plan 2009'!B32+'Plan 2009'!B37</f>
        <v>63743.97435897436</v>
      </c>
      <c r="J77" s="141">
        <f>+'Plan 2009'!B41+'Plan 2009'!B46</f>
        <v>238623.39947973238</v>
      </c>
      <c r="K77" s="141">
        <f>+'Plan 2009'!B50+'Plan 2009'!B55</f>
        <v>38495.73879381603</v>
      </c>
      <c r="L77" s="141">
        <f>+'Plan 2009'!B59+'Plan 2009'!B64</f>
        <v>9702.655999999999</v>
      </c>
      <c r="M77" s="141">
        <f>+'Plan 2009'!B68+'Plan 2009'!B73</f>
        <v>1476</v>
      </c>
      <c r="N77" s="141">
        <f>+'Plan 2009'!B77+'Plan 2009'!B82-SCNew!C5</f>
        <v>1242</v>
      </c>
      <c r="O77" s="141">
        <f>+'Plan 2009'!B113</f>
        <v>312</v>
      </c>
      <c r="P77" s="141">
        <f>+'Plan 2009'!B117</f>
        <v>168</v>
      </c>
      <c r="Q77" s="141">
        <f>+'Plan 2009'!B121</f>
        <v>36</v>
      </c>
      <c r="R77" s="141">
        <f>+'Plan 2009'!B95+'Plan 2009'!B100</f>
        <v>180</v>
      </c>
      <c r="S77" s="141">
        <f>+'Plan 2009'!B104+'Plan 2009'!B109</f>
        <v>132</v>
      </c>
      <c r="T77" s="37">
        <f>+'Plan 2009'!D125+SCNew!C5</f>
        <v>96</v>
      </c>
      <c r="U77" s="37">
        <v>0</v>
      </c>
      <c r="V77" s="32">
        <f>SUM(C77:U77)</f>
        <v>4065536.918990677</v>
      </c>
      <c r="W77" s="33"/>
      <c r="X77" s="2"/>
      <c r="Y77" s="2"/>
      <c r="Z77" s="2"/>
      <c r="AA77" s="2"/>
      <c r="AB77" s="2"/>
      <c r="AC77" s="2"/>
    </row>
    <row r="78" spans="1:33" ht="14.25">
      <c r="A78" s="15"/>
      <c r="B78" s="2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37"/>
      <c r="U78" s="37"/>
      <c r="V78" s="32"/>
      <c r="W78" s="33"/>
      <c r="X78" s="2"/>
      <c r="Y78" s="2"/>
      <c r="Z78" s="2"/>
      <c r="AA78" s="28"/>
      <c r="AB78" s="28"/>
      <c r="AC78" s="28"/>
      <c r="AD78" s="29"/>
      <c r="AE78" s="29"/>
      <c r="AF78" s="29"/>
      <c r="AG78" s="29"/>
    </row>
    <row r="79" spans="1:29" ht="14.25">
      <c r="A79" s="14">
        <f>+A77+1</f>
        <v>23</v>
      </c>
      <c r="B79" s="1" t="s">
        <v>6</v>
      </c>
      <c r="C79" s="141">
        <f>+'Plan 2009'!B6+'Plan 2009'!B16+'Plan 2009'!B21</f>
        <v>73206175.10640092</v>
      </c>
      <c r="D79" s="141">
        <v>0</v>
      </c>
      <c r="E79" s="141">
        <v>0</v>
      </c>
      <c r="F79" s="141">
        <f>+'Plan 2009'!B11</f>
        <v>0</v>
      </c>
      <c r="G79" s="141">
        <f>+'Plan 2009'!B87+'Plan 2009'!B92</f>
        <v>899851.2109705363</v>
      </c>
      <c r="H79" s="141">
        <f>+'Plan 2009'!B25+'Plan 2009'!B29</f>
        <v>0</v>
      </c>
      <c r="I79" s="141">
        <f>+'Plan 2009'!B33+'Plan 2009'!B38</f>
        <v>2562929.336444841</v>
      </c>
      <c r="J79" s="141">
        <f>+'Plan 2009'!B42+'Plan 2009'!B47</f>
        <v>110150022.04466572</v>
      </c>
      <c r="K79" s="141">
        <f>+'Plan 2009'!B51+'Plan 2009'!B56</f>
        <v>76141768.10302576</v>
      </c>
      <c r="L79" s="141">
        <f>+'Plan 2009'!B60+'Plan 2009'!B65</f>
        <v>73516092.62579778</v>
      </c>
      <c r="M79" s="141">
        <f>+'Plan 2009'!B69+'Plan 2009'!B74</f>
        <v>43269635.39999999</v>
      </c>
      <c r="N79" s="141">
        <f>+'Plan 2009'!B78+'Plan 2009'!B83-SCNew!C7</f>
        <v>64790915.29999999</v>
      </c>
      <c r="O79" s="141">
        <f>+'Plan 2009'!B114</f>
        <v>48728719</v>
      </c>
      <c r="P79" s="141">
        <f>+'Plan 2009'!B118</f>
        <v>134464513</v>
      </c>
      <c r="Q79" s="141">
        <f>+'Plan 2009'!B122</f>
        <v>152002324.00399998</v>
      </c>
      <c r="R79" s="141">
        <f>+'Plan 2009'!B96+'Plan 2009'!B101</f>
        <v>430880.5444444444</v>
      </c>
      <c r="S79" s="141">
        <f>+'Plan 2009'!B105+'Plan 2009'!B110</f>
        <v>1582429.9833333336</v>
      </c>
      <c r="T79" s="37">
        <f>+'Plan 2009'!D126+SCNew!C7</f>
        <v>300168991.9996</v>
      </c>
      <c r="U79" s="37">
        <f>+'Plan 2009'!D130</f>
        <v>210000000</v>
      </c>
      <c r="V79" s="32">
        <f>SUM(C79:U79)</f>
        <v>1291915247.6586833</v>
      </c>
      <c r="W79" s="33"/>
      <c r="X79" s="2"/>
      <c r="Y79" s="2"/>
      <c r="Z79" s="2"/>
      <c r="AA79" s="2"/>
      <c r="AB79" s="2"/>
      <c r="AC79" s="2"/>
    </row>
    <row r="80" spans="1:29" ht="14.25">
      <c r="A80" s="15"/>
      <c r="B80" s="2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37"/>
      <c r="U80" s="37"/>
      <c r="V80" s="32"/>
      <c r="W80" s="33"/>
      <c r="X80" s="2"/>
      <c r="Y80" s="2"/>
      <c r="Z80" s="2"/>
      <c r="AA80" s="2"/>
      <c r="AB80" s="2"/>
      <c r="AC80" s="2"/>
    </row>
    <row r="81" spans="1:29" ht="14.25">
      <c r="A81" s="14">
        <f>+A79+1</f>
        <v>24</v>
      </c>
      <c r="B81" s="1" t="s">
        <v>7</v>
      </c>
      <c r="C81" s="141">
        <f>+'Plan 2009'!C6+'Plan 2009'!C16+'Plan 2009'!C21</f>
        <v>173440.48001826787</v>
      </c>
      <c r="D81" s="141">
        <v>0</v>
      </c>
      <c r="E81" s="141">
        <v>0</v>
      </c>
      <c r="F81" s="141">
        <f>+'Plan 2009'!C11</f>
        <v>0</v>
      </c>
      <c r="G81" s="141">
        <f>+'Plan 2009'!C87+'Plan 2009'!C92</f>
        <v>1700.3418518677918</v>
      </c>
      <c r="H81" s="141">
        <f>+'Plan 2009'!C25+'Plan 2009'!C29</f>
        <v>0</v>
      </c>
      <c r="I81" s="141">
        <f>+'Plan 2009'!C33+'Plan 2009'!C38</f>
        <v>-20866.864669555893</v>
      </c>
      <c r="J81" s="141">
        <f>+'Plan 2009'!C42+'Plan 2009'!C47</f>
        <v>-283206.7146374467</v>
      </c>
      <c r="K81" s="141">
        <f>+'Plan 2009'!C51+'Plan 2009'!C56</f>
        <v>-149677.41206253786</v>
      </c>
      <c r="L81" s="141">
        <f>+'Plan 2009'!C60+'Plan 2009'!C65</f>
        <v>-404754.8450259352</v>
      </c>
      <c r="M81" s="141">
        <f>+'Plan 2009'!C69+'Plan 2009'!C74</f>
        <v>0</v>
      </c>
      <c r="N81" s="141">
        <f>+'Plan 2009'!C78+'Plan 2009'!C83</f>
        <v>0</v>
      </c>
      <c r="O81" s="141">
        <f>+'Plan 2009'!C114</f>
        <v>0</v>
      </c>
      <c r="P81" s="141">
        <f>+'Plan 2009'!C114</f>
        <v>0</v>
      </c>
      <c r="Q81" s="141">
        <f>+'Plan 2009'!C122</f>
        <v>0</v>
      </c>
      <c r="R81" s="141">
        <f>+'Plan 2009'!C96+'Plan 2009'!C101</f>
        <v>-2212.2019121148574</v>
      </c>
      <c r="S81" s="141">
        <f>+'Plan 2009'!C105+'Plan 2009'!C110</f>
        <v>0</v>
      </c>
      <c r="T81" s="145">
        <v>0</v>
      </c>
      <c r="U81" s="145">
        <v>0</v>
      </c>
      <c r="V81" s="32">
        <f>SUM(C81:U81)</f>
        <v>-685577.2164374548</v>
      </c>
      <c r="W81" s="33"/>
      <c r="X81" s="2"/>
      <c r="Y81" s="2"/>
      <c r="Z81" s="2"/>
      <c r="AA81" s="2"/>
      <c r="AB81" s="2"/>
      <c r="AC81" s="2"/>
    </row>
    <row r="82" spans="1:29" ht="14.25">
      <c r="A82" s="16"/>
      <c r="B82" s="10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52"/>
      <c r="W82" s="33"/>
      <c r="X82" s="2"/>
      <c r="Y82" s="2"/>
      <c r="Z82" s="2"/>
      <c r="AA82" s="2"/>
      <c r="AB82" s="2"/>
      <c r="AC82" s="2"/>
    </row>
    <row r="83" spans="1:29" ht="14.25">
      <c r="A83" s="14">
        <f>+A81+1</f>
        <v>25</v>
      </c>
      <c r="B83" s="1" t="s">
        <v>8</v>
      </c>
      <c r="C83" s="141">
        <f>+C81+C79</f>
        <v>73379615.5864192</v>
      </c>
      <c r="D83" s="141">
        <f>+D81+D79</f>
        <v>0</v>
      </c>
      <c r="E83" s="141">
        <f>+E81+E79</f>
        <v>0</v>
      </c>
      <c r="F83" s="141">
        <f aca="true" t="shared" si="8" ref="F83:N83">+F81+F79</f>
        <v>0</v>
      </c>
      <c r="G83" s="141">
        <f t="shared" si="8"/>
        <v>901551.5528224041</v>
      </c>
      <c r="H83" s="141">
        <f t="shared" si="8"/>
        <v>0</v>
      </c>
      <c r="I83" s="141">
        <f t="shared" si="8"/>
        <v>2542062.4717752854</v>
      </c>
      <c r="J83" s="141">
        <f t="shared" si="8"/>
        <v>109866815.33002828</v>
      </c>
      <c r="K83" s="141">
        <f t="shared" si="8"/>
        <v>75992090.69096322</v>
      </c>
      <c r="L83" s="141">
        <f t="shared" si="8"/>
        <v>73111337.78077184</v>
      </c>
      <c r="M83" s="141">
        <f t="shared" si="8"/>
        <v>43269635.39999999</v>
      </c>
      <c r="N83" s="141">
        <f t="shared" si="8"/>
        <v>64790915.29999999</v>
      </c>
      <c r="O83" s="141">
        <f aca="true" t="shared" si="9" ref="O83:U83">+O81+O79</f>
        <v>48728719</v>
      </c>
      <c r="P83" s="141">
        <f t="shared" si="9"/>
        <v>134464513</v>
      </c>
      <c r="Q83" s="141">
        <f t="shared" si="9"/>
        <v>152002324.00399998</v>
      </c>
      <c r="R83" s="141">
        <f t="shared" si="9"/>
        <v>428668.34253232955</v>
      </c>
      <c r="S83" s="141">
        <f t="shared" si="9"/>
        <v>1582429.9833333336</v>
      </c>
      <c r="T83" s="141">
        <f t="shared" si="9"/>
        <v>300168991.9996</v>
      </c>
      <c r="U83" s="141">
        <f t="shared" si="9"/>
        <v>210000000</v>
      </c>
      <c r="V83" s="32">
        <f>SUM(C83:U83)</f>
        <v>1291229670.4422457</v>
      </c>
      <c r="W83" s="33"/>
      <c r="X83" s="123">
        <f>+V83-'Plan 2009'!D135</f>
        <v>0</v>
      </c>
      <c r="Y83" s="2"/>
      <c r="Z83" s="2"/>
      <c r="AA83" s="2"/>
      <c r="AB83" s="2"/>
      <c r="AC83" s="2"/>
    </row>
    <row r="84" spans="1:29" s="127" customFormat="1" ht="14.25">
      <c r="A84" s="124"/>
      <c r="B84" s="124"/>
      <c r="C84" s="125"/>
      <c r="D84" s="125"/>
      <c r="E84" s="125"/>
      <c r="F84" s="125"/>
      <c r="G84" s="125"/>
      <c r="H84" s="125"/>
      <c r="I84" s="125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4"/>
      <c r="Y84" s="124"/>
      <c r="Z84" s="124"/>
      <c r="AA84" s="124"/>
      <c r="AB84" s="124"/>
      <c r="AC84" s="124"/>
    </row>
    <row r="85" spans="1:29" ht="14.25">
      <c r="A85" s="14">
        <f>+A83+1</f>
        <v>26</v>
      </c>
      <c r="B85" s="1" t="s">
        <v>9</v>
      </c>
      <c r="C85" s="141">
        <f>+'Plan 2009'!D7+'Plan 2009'!B17+'Plan 2009'!B22</f>
        <v>36003530.21599201</v>
      </c>
      <c r="D85" s="141">
        <v>0</v>
      </c>
      <c r="E85" s="141">
        <v>0</v>
      </c>
      <c r="F85" s="141">
        <f>+'Plan 2009'!B12</f>
        <v>153109.44</v>
      </c>
      <c r="G85" s="141">
        <f>+'Plan 2009'!D88+'Plan 2009'!D93</f>
        <v>0</v>
      </c>
      <c r="H85" s="141">
        <f>+'Plan 2009'!B26+'Plan 2009'!B30</f>
        <v>262975.68</v>
      </c>
      <c r="I85" s="141">
        <f>+'Plan 2009'!D34+'Plan 2009'!D39</f>
        <v>1258943.4935897435</v>
      </c>
      <c r="J85" s="141">
        <f>+'Plan 2009'!D43+'Plan 2009'!D48</f>
        <v>6920078.5849122405</v>
      </c>
      <c r="K85" s="141">
        <f>+'Plan 2009'!D52+'Plan 2009'!D57</f>
        <v>1308855.1189891114</v>
      </c>
      <c r="L85" s="141">
        <f>+'Plan 2009'!D61+'Plan 2009'!D66</f>
        <v>436619.51999999996</v>
      </c>
      <c r="M85" s="141">
        <f>+'Plan 2009'!D70+'Plan 2009'!D75</f>
        <v>125460</v>
      </c>
      <c r="N85" s="141">
        <f>+'Plan 2009'!D79+'Plan 2009'!D84-SCNew!C9</f>
        <v>186300</v>
      </c>
      <c r="O85" s="141">
        <f>+'Plan 2009'!D115</f>
        <v>46800</v>
      </c>
      <c r="P85" s="141">
        <f>+'Plan 2009'!D119</f>
        <v>37800</v>
      </c>
      <c r="Q85" s="141">
        <f>+'Plan 2009'!D123</f>
        <v>8100</v>
      </c>
      <c r="R85" s="141">
        <f>+'Plan 2009'!D97+'Plan 2009'!D102</f>
        <v>6300</v>
      </c>
      <c r="S85" s="141">
        <f>+'Plan 2009'!D106+'Plan 2009'!D111</f>
        <v>13200</v>
      </c>
      <c r="T85" s="141">
        <f>+'Plan 2009'!D127+SCNew!C9</f>
        <v>2881668</v>
      </c>
      <c r="U85" s="141">
        <v>0</v>
      </c>
      <c r="V85" s="53">
        <f>SUM(C85:U85)</f>
        <v>49649740.053483106</v>
      </c>
      <c r="W85" s="37"/>
      <c r="X85" s="2"/>
      <c r="Y85" s="2"/>
      <c r="Z85" s="2"/>
      <c r="AA85" s="2"/>
      <c r="AB85" s="2"/>
      <c r="AC85" s="2"/>
    </row>
    <row r="86" spans="1:29" ht="14.25">
      <c r="A86" s="15"/>
      <c r="B86" s="2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141"/>
      <c r="O86" s="141"/>
      <c r="P86" s="141"/>
      <c r="Q86" s="141"/>
      <c r="R86" s="37"/>
      <c r="S86" s="37"/>
      <c r="T86" s="37"/>
      <c r="U86" s="37"/>
      <c r="V86" s="48"/>
      <c r="W86" s="33"/>
      <c r="X86" s="2"/>
      <c r="Y86" s="2"/>
      <c r="Z86" s="2"/>
      <c r="AA86" s="2"/>
      <c r="AB86" s="2"/>
      <c r="AC86" s="2"/>
    </row>
    <row r="87" spans="1:29" ht="14.25">
      <c r="A87" s="14">
        <f>+A85+1</f>
        <v>27</v>
      </c>
      <c r="B87" s="1" t="s">
        <v>10</v>
      </c>
      <c r="C87" s="141">
        <f>+'Plan 2009'!B8+'Plan 2009'!B18+'Plan 2009'!B23</f>
        <v>27574569.977328036</v>
      </c>
      <c r="D87" s="141">
        <v>0</v>
      </c>
      <c r="E87" s="141">
        <v>0</v>
      </c>
      <c r="F87" s="141">
        <f>+'Plan 2009'!B13</f>
        <v>0</v>
      </c>
      <c r="G87" s="141">
        <f>+'Plan 2009'!B89+'Plan 2009'!B94</f>
        <v>115441.91185541013</v>
      </c>
      <c r="H87" s="141">
        <f>+'Plan 2009'!B27+'Plan 2009'!B31</f>
        <v>0</v>
      </c>
      <c r="I87" s="141">
        <f>+'Plan 2009'!B35+'Plan 2009'!B40</f>
        <v>690837.6026387069</v>
      </c>
      <c r="J87" s="141">
        <f>+'Plan 2009'!B44+'Plan 2009'!B49</f>
        <v>25384072.58019322</v>
      </c>
      <c r="K87" s="141">
        <f>+'Plan 2009'!B53+'Plan 2009'!B58</f>
        <v>16954487.50350075</v>
      </c>
      <c r="L87" s="141">
        <f>+'Plan 2009'!B62+'Plan 2009'!B67</f>
        <v>14359898.37259708</v>
      </c>
      <c r="M87" s="141">
        <f>+'Plan 2009'!B71+'Plan 2009'!B76</f>
        <v>7714110.599112001</v>
      </c>
      <c r="N87" s="141">
        <f>+'Plan 2009'!B80+'Plan 2009'!B85-SCNew!C11</f>
        <v>6505655.805273</v>
      </c>
      <c r="O87" s="141">
        <f>+'Plan 2009'!B116</f>
        <v>3521624.5221300004</v>
      </c>
      <c r="P87" s="141">
        <f>+'Plan 2009'!B120</f>
        <v>4735840.14786</v>
      </c>
      <c r="Q87" s="141">
        <f>+'Plan 2009'!B124</f>
        <v>1523063.2865200804</v>
      </c>
      <c r="R87" s="141">
        <f>+'Plan 2009'!B98+'Plan 2009'!B103</f>
        <v>60379.290692999995</v>
      </c>
      <c r="S87" s="141">
        <f>+'Plan 2009'!B107+'Plan 2009'!B112</f>
        <v>215558.61232966665</v>
      </c>
      <c r="T87" s="141">
        <f>+'Plan 2009'!D128+SCNew!C11</f>
        <v>3674186.985208858</v>
      </c>
      <c r="U87" s="141">
        <f>+'Plan 2009'!D132</f>
        <v>500000</v>
      </c>
      <c r="V87" s="53">
        <f>SUM(C87:U87)</f>
        <v>113529727.1972398</v>
      </c>
      <c r="W87" s="33"/>
      <c r="X87" s="2"/>
      <c r="Y87" s="2"/>
      <c r="Z87" s="2"/>
      <c r="AA87" s="2"/>
      <c r="AB87" s="2"/>
      <c r="AC87" s="2"/>
    </row>
    <row r="88" spans="1:29" ht="14.25">
      <c r="A88" s="15"/>
      <c r="B88" s="2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3"/>
      <c r="W88" s="33"/>
      <c r="X88" s="2"/>
      <c r="Y88" s="2"/>
      <c r="Z88" s="2"/>
      <c r="AA88" s="2"/>
      <c r="AB88" s="2"/>
      <c r="AC88" s="2"/>
    </row>
    <row r="89" spans="1:29" ht="14.25">
      <c r="A89" s="14">
        <f>+A87+1</f>
        <v>28</v>
      </c>
      <c r="B89" s="1" t="s">
        <v>11</v>
      </c>
      <c r="C89" s="141">
        <f>+'Plan 2009'!C8+'Plan 2009'!C18+'Plan 2009'!C23</f>
        <v>65329.82560848111</v>
      </c>
      <c r="D89" s="141">
        <v>0</v>
      </c>
      <c r="E89" s="141">
        <v>0</v>
      </c>
      <c r="F89" s="141">
        <f>+'Plan 2009'!C13</f>
        <v>0</v>
      </c>
      <c r="G89" s="141">
        <f>+'Plan 2009'!C89+'Plan 2009'!C94</f>
        <v>218.13685617611895</v>
      </c>
      <c r="H89" s="141">
        <f>+'Plan 2009'!C27+'Plan 2009'!C31</f>
        <v>0</v>
      </c>
      <c r="I89" s="141">
        <f>+'Plan 2009'!C35+'Plan 2009'!C40</f>
        <v>-5624.66337167879</v>
      </c>
      <c r="J89" s="141">
        <f>+'Plan 2009'!C44+'Plan 2009'!C49</f>
        <v>-65264.98738819956</v>
      </c>
      <c r="K89" s="141">
        <f>+'Plan 2009'!C53+'Plan 2009'!C58</f>
        <v>-33328.6693439653</v>
      </c>
      <c r="L89" s="141">
        <f>+'Plan 2009'!C62+'Plan 2009'!C67</f>
        <v>-79060.76387891594</v>
      </c>
      <c r="M89" s="141">
        <f>+'Plan 2009'!C71+'Plan 2009'!C76</f>
        <v>0</v>
      </c>
      <c r="N89" s="141">
        <f>+'Plan 2009'!C80+'Plan 2009'!C85</f>
        <v>0</v>
      </c>
      <c r="O89" s="141">
        <f>+'Plan 2009'!C116</f>
        <v>0</v>
      </c>
      <c r="P89" s="141">
        <f>+'Plan 2009'!C120</f>
        <v>0</v>
      </c>
      <c r="Q89" s="141">
        <f>+'Plan 2009'!C124</f>
        <v>0</v>
      </c>
      <c r="R89" s="141">
        <f>+'Plan 2009'!C103+'Plan 2009'!C98</f>
        <v>-309.995853944655</v>
      </c>
      <c r="S89" s="141">
        <f>+'Plan 2009'!C107+'Plan 2009'!C112</f>
        <v>0</v>
      </c>
      <c r="T89" s="142">
        <v>0</v>
      </c>
      <c r="U89" s="142">
        <v>0</v>
      </c>
      <c r="V89" s="53">
        <f>SUM(C89:U89)</f>
        <v>-118041.11737204703</v>
      </c>
      <c r="W89" s="33"/>
      <c r="X89" s="2"/>
      <c r="Y89" s="2"/>
      <c r="Z89" s="2"/>
      <c r="AA89" s="2"/>
      <c r="AB89" s="2"/>
      <c r="AC89" s="2"/>
    </row>
    <row r="90" spans="1:29" ht="14.25">
      <c r="A90" s="15"/>
      <c r="B90" s="10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35"/>
      <c r="W90" s="33"/>
      <c r="X90" s="2"/>
      <c r="Y90" s="2"/>
      <c r="Z90" s="2"/>
      <c r="AA90" s="2"/>
      <c r="AB90" s="2"/>
      <c r="AC90" s="2"/>
    </row>
    <row r="91" spans="1:29" ht="14.25">
      <c r="A91" s="14">
        <f>+A89+1</f>
        <v>29</v>
      </c>
      <c r="B91" s="1" t="s">
        <v>12</v>
      </c>
      <c r="C91" s="141">
        <f>C87+C89+C85</f>
        <v>63643430.01892853</v>
      </c>
      <c r="D91" s="141">
        <f aca="true" t="shared" si="10" ref="D91:P91">D87+D89+D85</f>
        <v>0</v>
      </c>
      <c r="E91" s="141">
        <f t="shared" si="10"/>
        <v>0</v>
      </c>
      <c r="F91" s="141">
        <f t="shared" si="10"/>
        <v>153109.44</v>
      </c>
      <c r="G91" s="141">
        <f t="shared" si="10"/>
        <v>115660.04871158625</v>
      </c>
      <c r="H91" s="141">
        <f t="shared" si="10"/>
        <v>262975.68</v>
      </c>
      <c r="I91" s="141">
        <f t="shared" si="10"/>
        <v>1944156.4328567716</v>
      </c>
      <c r="J91" s="141">
        <f t="shared" si="10"/>
        <v>32238886.17771726</v>
      </c>
      <c r="K91" s="141">
        <f t="shared" si="10"/>
        <v>18230013.95314589</v>
      </c>
      <c r="L91" s="141">
        <f t="shared" si="10"/>
        <v>14717457.128718164</v>
      </c>
      <c r="M91" s="141">
        <f t="shared" si="10"/>
        <v>7839570.599112001</v>
      </c>
      <c r="N91" s="141">
        <f t="shared" si="10"/>
        <v>6691955.805273</v>
      </c>
      <c r="O91" s="141">
        <f t="shared" si="10"/>
        <v>3568424.5221300004</v>
      </c>
      <c r="P91" s="141">
        <f t="shared" si="10"/>
        <v>4773640.14786</v>
      </c>
      <c r="Q91" s="141">
        <f aca="true" t="shared" si="11" ref="Q91:V91">Q87+Q89+Q85</f>
        <v>1531163.2865200804</v>
      </c>
      <c r="R91" s="141">
        <f t="shared" si="11"/>
        <v>66369.29483905534</v>
      </c>
      <c r="S91" s="141">
        <f t="shared" si="11"/>
        <v>228758.61232966665</v>
      </c>
      <c r="T91" s="141">
        <f t="shared" si="11"/>
        <v>6555854.985208858</v>
      </c>
      <c r="U91" s="141">
        <f t="shared" si="11"/>
        <v>500000</v>
      </c>
      <c r="V91" s="53">
        <f t="shared" si="11"/>
        <v>163061426.13335085</v>
      </c>
      <c r="W91" s="48"/>
      <c r="X91" s="11">
        <f>+V91-'Plan 2009'!D137-'Plan 2009'!D136</f>
        <v>0</v>
      </c>
      <c r="Y91" s="11"/>
      <c r="Z91" s="11"/>
      <c r="AA91" s="2"/>
      <c r="AB91" s="2"/>
      <c r="AC91" s="2"/>
    </row>
    <row r="92" spans="1:29" ht="14.25">
      <c r="A92" s="15"/>
      <c r="B92" s="2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54"/>
      <c r="W92" s="48"/>
      <c r="X92" s="11"/>
      <c r="Y92" s="11"/>
      <c r="Z92" s="11"/>
      <c r="AA92" s="2"/>
      <c r="AB92" s="2"/>
      <c r="AC92" s="2"/>
    </row>
    <row r="93" spans="1:29" ht="14.25">
      <c r="A93" s="14">
        <f>+A91+1</f>
        <v>30</v>
      </c>
      <c r="B93" s="1" t="s">
        <v>21</v>
      </c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37"/>
      <c r="Q93" s="145">
        <f>+'Plan 2009'!D151</f>
        <v>250000</v>
      </c>
      <c r="R93" s="37"/>
      <c r="S93" s="37"/>
      <c r="T93" s="37"/>
      <c r="U93" s="37">
        <f>SUM('Plan 2009'!D139:D154)-Q93</f>
        <v>6594699.519999998</v>
      </c>
      <c r="V93" s="53">
        <f>SUM(C93:U93)</f>
        <v>6844699.519999998</v>
      </c>
      <c r="W93" s="48"/>
      <c r="X93" s="11"/>
      <c r="Y93" s="11"/>
      <c r="Z93" s="11"/>
      <c r="AA93" s="11"/>
      <c r="AB93" s="2"/>
      <c r="AC93" s="2"/>
    </row>
    <row r="94" spans="1:29" ht="14.25">
      <c r="A94" s="15"/>
      <c r="B94" s="2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55"/>
      <c r="W94" s="48"/>
      <c r="X94" s="11"/>
      <c r="Y94" s="11"/>
      <c r="Z94" s="11"/>
      <c r="AA94" s="11"/>
      <c r="AB94" s="2"/>
      <c r="AC94" s="2"/>
    </row>
    <row r="95" spans="1:29" ht="15" thickBot="1">
      <c r="A95" s="14">
        <f>+A93+1</f>
        <v>31</v>
      </c>
      <c r="B95" s="1" t="s">
        <v>17</v>
      </c>
      <c r="C95" s="144">
        <f>C91+C93</f>
        <v>63643430.01892853</v>
      </c>
      <c r="D95" s="144">
        <f aca="true" t="shared" si="12" ref="D95:O95">D91+D93</f>
        <v>0</v>
      </c>
      <c r="E95" s="144">
        <f t="shared" si="12"/>
        <v>0</v>
      </c>
      <c r="F95" s="144">
        <f t="shared" si="12"/>
        <v>153109.44</v>
      </c>
      <c r="G95" s="144">
        <f t="shared" si="12"/>
        <v>115660.04871158625</v>
      </c>
      <c r="H95" s="144">
        <f t="shared" si="12"/>
        <v>262975.68</v>
      </c>
      <c r="I95" s="144">
        <f t="shared" si="12"/>
        <v>1944156.4328567716</v>
      </c>
      <c r="J95" s="144">
        <f t="shared" si="12"/>
        <v>32238886.17771726</v>
      </c>
      <c r="K95" s="144">
        <f t="shared" si="12"/>
        <v>18230013.95314589</v>
      </c>
      <c r="L95" s="144">
        <f t="shared" si="12"/>
        <v>14717457.128718164</v>
      </c>
      <c r="M95" s="144">
        <f t="shared" si="12"/>
        <v>7839570.599112001</v>
      </c>
      <c r="N95" s="144">
        <f t="shared" si="12"/>
        <v>6691955.805273</v>
      </c>
      <c r="O95" s="144">
        <f t="shared" si="12"/>
        <v>3568424.5221300004</v>
      </c>
      <c r="P95" s="144">
        <f aca="true" t="shared" si="13" ref="P95:V95">P91+P93</f>
        <v>4773640.14786</v>
      </c>
      <c r="Q95" s="144">
        <f t="shared" si="13"/>
        <v>1781163.2865200804</v>
      </c>
      <c r="R95" s="144">
        <f t="shared" si="13"/>
        <v>66369.29483905534</v>
      </c>
      <c r="S95" s="144">
        <f t="shared" si="13"/>
        <v>228758.61232966665</v>
      </c>
      <c r="T95" s="144">
        <f t="shared" si="13"/>
        <v>6555854.985208858</v>
      </c>
      <c r="U95" s="144">
        <f t="shared" si="13"/>
        <v>7094699.519999998</v>
      </c>
      <c r="V95" s="56">
        <f t="shared" si="13"/>
        <v>169906125.65335086</v>
      </c>
      <c r="W95" s="48"/>
      <c r="X95" s="11">
        <f>+'[4]SCHG2-1'!$R$20-V95</f>
        <v>0</v>
      </c>
      <c r="Y95" s="11"/>
      <c r="Z95" s="11"/>
      <c r="AA95" s="11"/>
      <c r="AB95" s="2"/>
      <c r="AC95" s="2"/>
    </row>
    <row r="96" spans="1:29" ht="15" thickTop="1">
      <c r="A96" s="15"/>
      <c r="B96" s="2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3"/>
      <c r="X96" s="2"/>
      <c r="Y96" s="2"/>
      <c r="Z96" s="2"/>
      <c r="AA96" s="11"/>
      <c r="AB96" s="2"/>
      <c r="AC96" s="2"/>
    </row>
    <row r="97" spans="1:29" ht="13.5">
      <c r="A97" s="15"/>
      <c r="B97" s="2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3"/>
      <c r="Q97" s="33"/>
      <c r="R97" s="33"/>
      <c r="S97" s="33"/>
      <c r="T97" s="33"/>
      <c r="U97" s="33"/>
      <c r="V97" s="33"/>
      <c r="W97" s="33"/>
      <c r="X97" s="2"/>
      <c r="Y97" s="2"/>
      <c r="Z97" s="2"/>
      <c r="AA97" s="11"/>
      <c r="AB97" s="2"/>
      <c r="AC97" s="2"/>
    </row>
    <row r="98" spans="1:29" ht="13.5">
      <c r="A98" s="15"/>
      <c r="B98" s="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2"/>
      <c r="Y98" s="2"/>
      <c r="Z98" s="2"/>
      <c r="AA98" s="2"/>
      <c r="AB98" s="2"/>
      <c r="AC98" s="2"/>
    </row>
    <row r="99" spans="1:29" ht="13.5">
      <c r="A99" s="14">
        <f>+A95+1</f>
        <v>32</v>
      </c>
      <c r="B99" s="1" t="s">
        <v>22</v>
      </c>
      <c r="C99" s="32">
        <f>C77-C14</f>
        <v>37026.15035815444</v>
      </c>
      <c r="D99" s="32">
        <f aca="true" t="shared" si="14" ref="D99:O99">D77-D14</f>
        <v>0</v>
      </c>
      <c r="E99" s="32">
        <f>E77-E14</f>
        <v>0</v>
      </c>
      <c r="F99" s="32">
        <f t="shared" si="14"/>
        <v>4550</v>
      </c>
      <c r="G99" s="32">
        <f t="shared" si="14"/>
        <v>-11</v>
      </c>
      <c r="H99" s="32">
        <f t="shared" si="14"/>
        <v>5127</v>
      </c>
      <c r="I99" s="32">
        <f t="shared" si="14"/>
        <v>-6502.025641025641</v>
      </c>
      <c r="J99" s="32">
        <f t="shared" si="14"/>
        <v>11618.399479732383</v>
      </c>
      <c r="K99" s="32">
        <f t="shared" si="14"/>
        <v>1899.7387938160318</v>
      </c>
      <c r="L99" s="32">
        <f t="shared" si="14"/>
        <v>122.65599999999904</v>
      </c>
      <c r="M99" s="32">
        <f t="shared" si="14"/>
        <v>-263</v>
      </c>
      <c r="N99" s="32">
        <f t="shared" si="14"/>
        <v>67</v>
      </c>
      <c r="O99" s="32">
        <f t="shared" si="14"/>
        <v>-36</v>
      </c>
      <c r="P99" s="32">
        <f aca="true" t="shared" si="15" ref="P99:U99">P77-P14</f>
        <v>-13</v>
      </c>
      <c r="Q99" s="32">
        <f t="shared" si="15"/>
        <v>-37</v>
      </c>
      <c r="R99" s="32">
        <f t="shared" si="15"/>
        <v>-12</v>
      </c>
      <c r="S99" s="32">
        <f t="shared" si="15"/>
        <v>8</v>
      </c>
      <c r="T99" s="32">
        <f t="shared" si="15"/>
        <v>72</v>
      </c>
      <c r="U99" s="32">
        <f t="shared" si="15"/>
        <v>-199</v>
      </c>
      <c r="V99" s="32">
        <f>SUM(C99:S99)</f>
        <v>53544.91899067721</v>
      </c>
      <c r="W99" s="33"/>
      <c r="X99" s="2"/>
      <c r="Y99" s="2"/>
      <c r="Z99" s="2"/>
      <c r="AA99" s="2"/>
      <c r="AB99" s="2"/>
      <c r="AC99" s="2"/>
    </row>
    <row r="100" spans="1:29" ht="13.5">
      <c r="A100" s="15"/>
      <c r="B100" s="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3"/>
      <c r="X100" s="2"/>
      <c r="Y100" s="2"/>
      <c r="Z100" s="2"/>
      <c r="AA100" s="2"/>
      <c r="AB100" s="2"/>
      <c r="AC100" s="2"/>
    </row>
    <row r="101" spans="1:29" ht="13.5">
      <c r="A101" s="14">
        <f>+A99+1</f>
        <v>33</v>
      </c>
      <c r="B101" s="1" t="s">
        <v>23</v>
      </c>
      <c r="C101" s="32">
        <f>+C83-C20</f>
        <v>3300516.586419195</v>
      </c>
      <c r="D101" s="32">
        <f aca="true" t="shared" si="16" ref="D101:O101">+D83-D20</f>
        <v>0</v>
      </c>
      <c r="E101" s="32">
        <f>+E83-E20</f>
        <v>0</v>
      </c>
      <c r="F101" s="32">
        <f t="shared" si="16"/>
        <v>-6747</v>
      </c>
      <c r="G101" s="32">
        <f t="shared" si="16"/>
        <v>133195.55282240408</v>
      </c>
      <c r="H101" s="32">
        <f t="shared" si="16"/>
        <v>-23283</v>
      </c>
      <c r="I101" s="32">
        <f t="shared" si="16"/>
        <v>-367272.52822471457</v>
      </c>
      <c r="J101" s="32">
        <f t="shared" si="16"/>
        <v>3718186.3300282806</v>
      </c>
      <c r="K101" s="32">
        <f t="shared" si="16"/>
        <v>3129687.6909632236</v>
      </c>
      <c r="L101" s="32">
        <f t="shared" si="16"/>
        <v>540737.7807718366</v>
      </c>
      <c r="M101" s="32">
        <f t="shared" si="16"/>
        <v>-3363506.600000009</v>
      </c>
      <c r="N101" s="32">
        <f t="shared" si="16"/>
        <v>-1548418.7000000104</v>
      </c>
      <c r="O101" s="32">
        <f t="shared" si="16"/>
        <v>-4668405</v>
      </c>
      <c r="P101" s="32">
        <f aca="true" t="shared" si="17" ref="P101:U101">+P83-P20</f>
        <v>-34801759</v>
      </c>
      <c r="Q101" s="32">
        <f t="shared" si="17"/>
        <v>-228379035.59600005</v>
      </c>
      <c r="R101" s="32">
        <f t="shared" si="17"/>
        <v>-39291.65746767045</v>
      </c>
      <c r="S101" s="32">
        <f t="shared" si="17"/>
        <v>132149.98333333363</v>
      </c>
      <c r="T101" s="32">
        <f t="shared" si="17"/>
        <v>244415539.5996</v>
      </c>
      <c r="U101" s="32">
        <f t="shared" si="17"/>
        <v>-93487180</v>
      </c>
      <c r="V101" s="32">
        <f>SUM(C101:S101)</f>
        <v>-262243245.15735418</v>
      </c>
      <c r="W101" s="33"/>
      <c r="X101" s="2"/>
      <c r="Y101" s="2"/>
      <c r="Z101" s="2"/>
      <c r="AA101" s="2"/>
      <c r="AB101" s="2"/>
      <c r="AC101" s="2"/>
    </row>
    <row r="102" spans="1:29" ht="13.5">
      <c r="A102" s="15"/>
      <c r="B102" s="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2"/>
      <c r="Y102" s="2"/>
      <c r="Z102" s="2"/>
      <c r="AA102" s="2"/>
      <c r="AB102" s="2"/>
      <c r="AC102" s="2"/>
    </row>
    <row r="103" spans="1:29" ht="13.5">
      <c r="A103" s="14">
        <f>+A101+1</f>
        <v>34</v>
      </c>
      <c r="B103" s="1" t="s">
        <v>24</v>
      </c>
      <c r="C103" s="36">
        <f>+C85-C22</f>
        <v>350165.5259920135</v>
      </c>
      <c r="D103" s="36">
        <f aca="true" t="shared" si="18" ref="D103:O103">+D85-D22</f>
        <v>0</v>
      </c>
      <c r="E103" s="36">
        <f>+E85-E22</f>
        <v>0</v>
      </c>
      <c r="F103" s="36">
        <f t="shared" si="18"/>
        <v>89875.17000000001</v>
      </c>
      <c r="G103" s="36">
        <f t="shared" si="18"/>
        <v>0</v>
      </c>
      <c r="H103" s="36">
        <f t="shared" si="18"/>
        <v>151645.28</v>
      </c>
      <c r="I103" s="36">
        <f t="shared" si="18"/>
        <v>-114223.5064102565</v>
      </c>
      <c r="J103" s="36">
        <f t="shared" si="18"/>
        <v>264906.24491224065</v>
      </c>
      <c r="K103" s="36">
        <f t="shared" si="18"/>
        <v>45127.74898911128</v>
      </c>
      <c r="L103" s="36">
        <f t="shared" si="18"/>
        <v>11302.01999999996</v>
      </c>
      <c r="M103" s="36">
        <f t="shared" si="18"/>
        <v>-19337.5</v>
      </c>
      <c r="N103" s="36">
        <f t="shared" si="18"/>
        <v>13725</v>
      </c>
      <c r="O103" s="36">
        <f t="shared" si="18"/>
        <v>-4500</v>
      </c>
      <c r="P103" s="36">
        <f aca="true" t="shared" si="19" ref="P103:U103">+P85-P22</f>
        <v>0</v>
      </c>
      <c r="Q103" s="36">
        <f t="shared" si="19"/>
        <v>2700</v>
      </c>
      <c r="R103" s="36">
        <f t="shared" si="19"/>
        <v>-437.5</v>
      </c>
      <c r="S103" s="36">
        <f t="shared" si="19"/>
        <v>13200</v>
      </c>
      <c r="T103" s="36">
        <f t="shared" si="19"/>
        <v>2872868</v>
      </c>
      <c r="U103" s="36">
        <f t="shared" si="19"/>
        <v>0</v>
      </c>
      <c r="V103" s="36">
        <f>SUM(C103:S103)</f>
        <v>804148.4834831089</v>
      </c>
      <c r="W103" s="33"/>
      <c r="X103" s="2"/>
      <c r="Y103" s="2"/>
      <c r="Z103" s="2"/>
      <c r="AA103" s="2"/>
      <c r="AB103" s="2"/>
      <c r="AC103" s="2"/>
    </row>
    <row r="104" spans="1:29" ht="13.5">
      <c r="A104" s="15"/>
      <c r="B104" s="2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3"/>
      <c r="X104" s="2"/>
      <c r="Y104" s="2"/>
      <c r="Z104" s="2"/>
      <c r="AA104" s="2"/>
      <c r="AB104" s="2"/>
      <c r="AC104" s="2"/>
    </row>
    <row r="105" spans="1:29" ht="13.5">
      <c r="A105" s="14">
        <f>+A103+1</f>
        <v>35</v>
      </c>
      <c r="B105" s="1" t="s">
        <v>25</v>
      </c>
      <c r="C105" s="36">
        <f>+C91-C28-C103</f>
        <v>1243205.5826065093</v>
      </c>
      <c r="D105" s="36">
        <f aca="true" t="shared" si="20" ref="D105:O105">+D91-D28-D103</f>
        <v>0</v>
      </c>
      <c r="E105" s="36">
        <f>+E91-E28-E103</f>
        <v>0</v>
      </c>
      <c r="F105" s="36">
        <f t="shared" si="20"/>
        <v>-1231.7300000000105</v>
      </c>
      <c r="G105" s="36">
        <f t="shared" si="20"/>
        <v>17087.657471586223</v>
      </c>
      <c r="H105" s="36">
        <f t="shared" si="20"/>
        <v>-3555.600000000006</v>
      </c>
      <c r="I105" s="36">
        <f t="shared" si="20"/>
        <v>-98998.30998297222</v>
      </c>
      <c r="J105" s="36">
        <f t="shared" si="20"/>
        <v>856856.0397550203</v>
      </c>
      <c r="K105" s="36">
        <f t="shared" si="20"/>
        <v>696887.5581467762</v>
      </c>
      <c r="L105" s="36">
        <f t="shared" si="20"/>
        <v>105622.31071816344</v>
      </c>
      <c r="M105" s="36">
        <f t="shared" si="20"/>
        <v>-599645.9566479987</v>
      </c>
      <c r="N105" s="36">
        <f t="shared" si="20"/>
        <v>-155476.72166700102</v>
      </c>
      <c r="O105" s="36">
        <f t="shared" si="20"/>
        <v>-337385.62934999913</v>
      </c>
      <c r="P105" s="36">
        <f aca="true" t="shared" si="21" ref="P105:U105">+P91-P28-P103</f>
        <v>-1166099.2803000007</v>
      </c>
      <c r="Q105" s="36">
        <f t="shared" si="21"/>
        <v>-669659.1933279198</v>
      </c>
      <c r="R105" s="36">
        <f t="shared" si="21"/>
        <v>-5505.9399609446555</v>
      </c>
      <c r="S105" s="36">
        <f t="shared" si="21"/>
        <v>18001.470729666617</v>
      </c>
      <c r="T105" s="36">
        <f t="shared" si="21"/>
        <v>-974490.9280111426</v>
      </c>
      <c r="U105" s="36">
        <f t="shared" si="21"/>
        <v>-2490518.86</v>
      </c>
      <c r="V105" s="36">
        <f>SUM(C105:S105)</f>
        <v>-99897.74180911398</v>
      </c>
      <c r="W105" s="33"/>
      <c r="X105" s="2"/>
      <c r="Y105" s="2"/>
      <c r="Z105" s="2"/>
      <c r="AA105" s="2"/>
      <c r="AB105" s="2"/>
      <c r="AC105" s="2"/>
    </row>
    <row r="106" spans="1:29" ht="13.5">
      <c r="A106" s="15"/>
      <c r="B106" s="2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3"/>
      <c r="X106" s="2"/>
      <c r="Y106" s="2"/>
      <c r="Z106" s="2"/>
      <c r="AA106" s="2"/>
      <c r="AB106" s="2"/>
      <c r="AC106" s="2"/>
    </row>
    <row r="107" spans="1:29" ht="13.5">
      <c r="A107" s="14">
        <f>+A105+1</f>
        <v>36</v>
      </c>
      <c r="B107" s="1" t="s">
        <v>26</v>
      </c>
      <c r="C107" s="36">
        <f>+C93-C36</f>
        <v>0</v>
      </c>
      <c r="D107" s="36">
        <f aca="true" t="shared" si="22" ref="D107:O107">+D93-D36</f>
        <v>0</v>
      </c>
      <c r="E107" s="36">
        <f>+E93-E36</f>
        <v>0</v>
      </c>
      <c r="F107" s="36">
        <f t="shared" si="22"/>
        <v>0</v>
      </c>
      <c r="G107" s="36">
        <f t="shared" si="22"/>
        <v>0</v>
      </c>
      <c r="H107" s="36">
        <f t="shared" si="22"/>
        <v>0</v>
      </c>
      <c r="I107" s="36">
        <f t="shared" si="22"/>
        <v>0</v>
      </c>
      <c r="J107" s="36">
        <f t="shared" si="22"/>
        <v>0</v>
      </c>
      <c r="K107" s="36">
        <f t="shared" si="22"/>
        <v>0</v>
      </c>
      <c r="L107" s="36">
        <f t="shared" si="22"/>
        <v>0</v>
      </c>
      <c r="M107" s="36">
        <f t="shared" si="22"/>
        <v>0</v>
      </c>
      <c r="N107" s="36">
        <f t="shared" si="22"/>
        <v>0</v>
      </c>
      <c r="O107" s="36">
        <f t="shared" si="22"/>
        <v>0</v>
      </c>
      <c r="P107" s="36">
        <f aca="true" t="shared" si="23" ref="P107:U107">+P93-P36</f>
        <v>0</v>
      </c>
      <c r="Q107" s="36">
        <f t="shared" si="23"/>
        <v>-23834</v>
      </c>
      <c r="R107" s="36">
        <f t="shared" si="23"/>
        <v>0</v>
      </c>
      <c r="S107" s="36">
        <f t="shared" si="23"/>
        <v>0</v>
      </c>
      <c r="T107" s="36">
        <f t="shared" si="23"/>
        <v>0</v>
      </c>
      <c r="U107" s="36">
        <f t="shared" si="23"/>
        <v>-1348518.8147119908</v>
      </c>
      <c r="V107" s="36">
        <f>SUM(C107:S107)</f>
        <v>-23834</v>
      </c>
      <c r="W107" s="33"/>
      <c r="X107" s="2"/>
      <c r="Y107" s="2"/>
      <c r="Z107" s="2"/>
      <c r="AA107" s="2"/>
      <c r="AB107" s="2"/>
      <c r="AC107" s="2"/>
    </row>
    <row r="108" spans="1:29" ht="13.5">
      <c r="A108" s="15"/>
      <c r="B108" s="2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3"/>
      <c r="X108" s="2"/>
      <c r="Y108" s="2"/>
      <c r="Z108" s="2"/>
      <c r="AA108" s="2"/>
      <c r="AB108" s="2"/>
      <c r="AC108" s="2"/>
    </row>
    <row r="109" spans="1:29" ht="14.25" thickBot="1">
      <c r="A109" s="14">
        <f>+A107+1</f>
        <v>37</v>
      </c>
      <c r="B109" s="1" t="s">
        <v>27</v>
      </c>
      <c r="C109" s="38">
        <f aca="true" t="shared" si="24" ref="C109:V109">SUM(C103:C108)</f>
        <v>1593371.1085985228</v>
      </c>
      <c r="D109" s="38">
        <f t="shared" si="24"/>
        <v>0</v>
      </c>
      <c r="E109" s="38">
        <f t="shared" si="24"/>
        <v>0</v>
      </c>
      <c r="F109" s="38">
        <f t="shared" si="24"/>
        <v>88643.44</v>
      </c>
      <c r="G109" s="38">
        <f t="shared" si="24"/>
        <v>17087.657471586223</v>
      </c>
      <c r="H109" s="38">
        <f t="shared" si="24"/>
        <v>148089.68</v>
      </c>
      <c r="I109" s="38">
        <f t="shared" si="24"/>
        <v>-213221.8163932287</v>
      </c>
      <c r="J109" s="38">
        <f t="shared" si="24"/>
        <v>1121762.284667261</v>
      </c>
      <c r="K109" s="38">
        <f t="shared" si="24"/>
        <v>742015.3071358874</v>
      </c>
      <c r="L109" s="38">
        <f t="shared" si="24"/>
        <v>116924.3307181634</v>
      </c>
      <c r="M109" s="38">
        <f t="shared" si="24"/>
        <v>-618983.4566479987</v>
      </c>
      <c r="N109" s="38">
        <f t="shared" si="24"/>
        <v>-141751.72166700102</v>
      </c>
      <c r="O109" s="38">
        <f t="shared" si="24"/>
        <v>-341885.62934999913</v>
      </c>
      <c r="P109" s="38">
        <f t="shared" si="24"/>
        <v>-1166099.2803000007</v>
      </c>
      <c r="Q109" s="38">
        <f t="shared" si="24"/>
        <v>-690793.1933279198</v>
      </c>
      <c r="R109" s="38">
        <f t="shared" si="24"/>
        <v>-5943.4399609446555</v>
      </c>
      <c r="S109" s="38">
        <f t="shared" si="24"/>
        <v>31201.470729666617</v>
      </c>
      <c r="T109" s="38">
        <f t="shared" si="24"/>
        <v>1898377.0719888574</v>
      </c>
      <c r="U109" s="38">
        <f t="shared" si="24"/>
        <v>-3839037.6747119906</v>
      </c>
      <c r="V109" s="38">
        <f t="shared" si="24"/>
        <v>680416.7416739949</v>
      </c>
      <c r="W109" s="33"/>
      <c r="X109" s="2"/>
      <c r="Y109" s="2"/>
      <c r="Z109" s="2"/>
      <c r="AA109" s="2"/>
      <c r="AB109" s="2"/>
      <c r="AC109" s="2"/>
    </row>
    <row r="110" spans="1:29" ht="14.25" thickTop="1">
      <c r="A110" s="2"/>
      <c r="B110" s="2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3"/>
      <c r="X110" s="2"/>
      <c r="Y110" s="2"/>
      <c r="Z110" s="2"/>
      <c r="AA110" s="2"/>
      <c r="AB110" s="2"/>
      <c r="AC110" s="2"/>
    </row>
    <row r="111" spans="1:29" ht="13.5">
      <c r="A111" s="2"/>
      <c r="B111" s="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2"/>
      <c r="Y111" s="2"/>
      <c r="Z111" s="2"/>
      <c r="AA111" s="2"/>
      <c r="AB111" s="2"/>
      <c r="AC111" s="2"/>
    </row>
    <row r="112" spans="1:29" ht="13.5">
      <c r="A112" s="2"/>
      <c r="B112" s="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2"/>
      <c r="Y112" s="2"/>
      <c r="Z112" s="2"/>
      <c r="AA112" s="2"/>
      <c r="AB112" s="2"/>
      <c r="AC112" s="2"/>
    </row>
    <row r="113" spans="1:29" ht="13.5">
      <c r="A113" s="2"/>
      <c r="B113" s="152" t="s">
        <v>496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2"/>
      <c r="Y113" s="2"/>
      <c r="Z113" s="2"/>
      <c r="AA113" s="2"/>
      <c r="AB113" s="2"/>
      <c r="AC113" s="2"/>
    </row>
    <row r="114" spans="1:29" ht="13.5">
      <c r="A114" s="2"/>
      <c r="B114" s="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2"/>
      <c r="Y114" s="2"/>
      <c r="Z114" s="2"/>
      <c r="AA114" s="2"/>
      <c r="AB114" s="2"/>
      <c r="AC114" s="2"/>
    </row>
    <row r="115" spans="1:29" ht="13.5">
      <c r="A115" s="2"/>
      <c r="B115" s="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2"/>
      <c r="Y115" s="2"/>
      <c r="Z115" s="2"/>
      <c r="AA115" s="2"/>
      <c r="AB115" s="2"/>
      <c r="AC115" s="2"/>
    </row>
    <row r="116" spans="1:29" ht="13.5">
      <c r="A116" s="2"/>
      <c r="B116" s="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2"/>
      <c r="Y116" s="2"/>
      <c r="Z116" s="2"/>
      <c r="AA116" s="2"/>
      <c r="AB116" s="2"/>
      <c r="AC116" s="2"/>
    </row>
    <row r="117" spans="1:29" ht="13.5">
      <c r="A117" s="2"/>
      <c r="B117" s="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2"/>
      <c r="Y117" s="2"/>
      <c r="Z117" s="2"/>
      <c r="AA117" s="2"/>
      <c r="AB117" s="2"/>
      <c r="AC117" s="2"/>
    </row>
    <row r="118" spans="1:29" ht="13.5">
      <c r="A118" s="2"/>
      <c r="B118" s="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2"/>
      <c r="Y118" s="2"/>
      <c r="Z118" s="2"/>
      <c r="AA118" s="2"/>
      <c r="AB118" s="2"/>
      <c r="AC118" s="2"/>
    </row>
    <row r="119" spans="1:29" ht="13.5">
      <c r="A119" s="3"/>
      <c r="B119" s="3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3"/>
      <c r="X119" s="2"/>
      <c r="Y119" s="2"/>
      <c r="Z119" s="2"/>
      <c r="AA119" s="2"/>
      <c r="AB119" s="2"/>
      <c r="AC119" s="2"/>
    </row>
    <row r="120" spans="1:29" ht="13.5">
      <c r="A120" s="1" t="s">
        <v>486</v>
      </c>
      <c r="B120" s="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43" t="s">
        <v>19</v>
      </c>
      <c r="U120" s="43"/>
      <c r="V120" s="33"/>
      <c r="W120" s="33"/>
      <c r="X120" s="2"/>
      <c r="Y120" s="2"/>
      <c r="Z120" s="2"/>
      <c r="AA120" s="2"/>
      <c r="AB120" s="2"/>
      <c r="AC120" s="2"/>
    </row>
    <row r="121" spans="1:29" ht="13.5">
      <c r="A121" s="1"/>
      <c r="B121" s="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43"/>
      <c r="U121" s="43"/>
      <c r="V121" s="33"/>
      <c r="W121" s="33"/>
      <c r="X121" s="2"/>
      <c r="Y121" s="2"/>
      <c r="Z121" s="2"/>
      <c r="AA121" s="2"/>
      <c r="AB121" s="2"/>
      <c r="AC121" s="2"/>
    </row>
    <row r="122" spans="3:29" ht="13.5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2"/>
      <c r="Y122" s="2"/>
      <c r="Z122" s="2"/>
      <c r="AA122" s="2"/>
      <c r="AB122" s="2"/>
      <c r="AC122" s="2"/>
    </row>
    <row r="123" spans="1:29" ht="13.5" hidden="1">
      <c r="A123" s="1"/>
      <c r="B123" s="2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43"/>
      <c r="U123" s="43"/>
      <c r="V123" s="33"/>
      <c r="W123" s="33"/>
      <c r="X123" s="2"/>
      <c r="Y123" s="2"/>
      <c r="Z123" s="2"/>
      <c r="AA123" s="2"/>
      <c r="AB123" s="2"/>
      <c r="AC123" s="2"/>
    </row>
    <row r="124" spans="1:29" ht="13.5" hidden="1">
      <c r="A124" s="1"/>
      <c r="B124" s="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43"/>
      <c r="U124" s="43"/>
      <c r="V124" s="33"/>
      <c r="W124" s="33"/>
      <c r="X124" s="2"/>
      <c r="Y124" s="2"/>
      <c r="Z124" s="2"/>
      <c r="AA124" s="2"/>
      <c r="AB124" s="2"/>
      <c r="AC124" s="2"/>
    </row>
    <row r="125" spans="1:29" ht="13.5" hidden="1">
      <c r="A125" s="1"/>
      <c r="B125" s="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43"/>
      <c r="U125" s="43"/>
      <c r="V125" s="33"/>
      <c r="W125" s="33"/>
      <c r="X125" s="2"/>
      <c r="Y125" s="2"/>
      <c r="Z125" s="2"/>
      <c r="AA125" s="2"/>
      <c r="AB125" s="2"/>
      <c r="AC125" s="2"/>
    </row>
    <row r="126" spans="1:29" ht="13.5">
      <c r="A126" s="1"/>
      <c r="B126" s="2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43"/>
      <c r="U126" s="43"/>
      <c r="V126" s="33"/>
      <c r="W126" s="33"/>
      <c r="X126" s="2"/>
      <c r="Y126" s="2"/>
      <c r="Z126" s="2"/>
      <c r="AA126" s="2"/>
      <c r="AB126" s="2"/>
      <c r="AC126" s="2"/>
    </row>
    <row r="127" spans="1:29" ht="13.5">
      <c r="A127" s="12"/>
      <c r="B127" s="12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33"/>
      <c r="X127" s="2"/>
      <c r="Y127" s="2"/>
      <c r="Z127" s="2"/>
      <c r="AA127" s="2"/>
      <c r="AB127" s="2"/>
      <c r="AC127" s="2"/>
    </row>
    <row r="128" spans="1:29" ht="13.5">
      <c r="A128" s="1" t="s">
        <v>517</v>
      </c>
      <c r="B128" s="2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44" t="s">
        <v>43</v>
      </c>
      <c r="N128" s="34"/>
      <c r="O128" s="33"/>
      <c r="P128" s="33"/>
      <c r="Q128" s="33"/>
      <c r="R128" s="33"/>
      <c r="S128" s="33"/>
      <c r="T128" s="34"/>
      <c r="U128" s="34"/>
      <c r="V128" s="43" t="s">
        <v>453</v>
      </c>
      <c r="W128" s="33"/>
      <c r="X128" s="2"/>
      <c r="Y128" s="2"/>
      <c r="Z128" s="2"/>
      <c r="AA128" s="2"/>
      <c r="AB128" s="2"/>
      <c r="AC128" s="2"/>
    </row>
    <row r="129" spans="1:29" ht="13.5">
      <c r="A129" s="3"/>
      <c r="B129" s="3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3"/>
      <c r="X129" s="2"/>
      <c r="Y129" s="2"/>
      <c r="Z129" s="2"/>
      <c r="AA129" s="2"/>
      <c r="AB129" s="2"/>
      <c r="AC129" s="2"/>
    </row>
    <row r="130" spans="1:29" ht="13.5">
      <c r="A130" s="1" t="s">
        <v>0</v>
      </c>
      <c r="B130" s="2"/>
      <c r="C130" s="33"/>
      <c r="D130" s="33"/>
      <c r="E130" s="33"/>
      <c r="F130" s="33"/>
      <c r="G130" s="33"/>
      <c r="H130" s="33"/>
      <c r="I130" s="33"/>
      <c r="J130" s="33"/>
      <c r="K130" s="34"/>
      <c r="L130" s="43"/>
      <c r="M130" s="44" t="s">
        <v>44</v>
      </c>
      <c r="N130" s="33"/>
      <c r="O130" s="33"/>
      <c r="P130" s="33"/>
      <c r="Q130" s="33"/>
      <c r="R130" s="34"/>
      <c r="S130" s="43" t="s">
        <v>1</v>
      </c>
      <c r="T130" s="43"/>
      <c r="U130" s="43"/>
      <c r="V130" s="34"/>
      <c r="W130" s="33"/>
      <c r="X130" s="2"/>
      <c r="Y130" s="2"/>
      <c r="Z130" s="2"/>
      <c r="AA130" s="2"/>
      <c r="AB130" s="2"/>
      <c r="AC130" s="2"/>
    </row>
    <row r="131" spans="1:29" ht="13.5">
      <c r="A131" s="2"/>
      <c r="B131" s="2"/>
      <c r="C131" s="135"/>
      <c r="D131" s="135"/>
      <c r="E131" s="135"/>
      <c r="F131" s="135"/>
      <c r="G131" s="33"/>
      <c r="H131" s="33"/>
      <c r="I131" s="33"/>
      <c r="J131" s="33"/>
      <c r="K131" s="34"/>
      <c r="L131" s="43"/>
      <c r="M131" s="44" t="s">
        <v>54</v>
      </c>
      <c r="N131" s="33"/>
      <c r="O131" s="33"/>
      <c r="P131" s="33"/>
      <c r="Q131" s="33"/>
      <c r="R131" s="34"/>
      <c r="S131" s="43" t="str">
        <f>+S4</f>
        <v>HISTORIC BASE YEAR DATA:  12/31/2007</v>
      </c>
      <c r="T131" s="43"/>
      <c r="U131" s="43"/>
      <c r="V131" s="34"/>
      <c r="W131" s="33"/>
      <c r="X131" s="2"/>
      <c r="Y131" s="2"/>
      <c r="Z131" s="2"/>
      <c r="AA131" s="2"/>
      <c r="AB131" s="2"/>
      <c r="AC131" s="2"/>
    </row>
    <row r="132" spans="1:29" ht="13.5">
      <c r="A132" s="1" t="str">
        <f>+A5</f>
        <v>COMPANY:   PEOPLES GAS SYSTEM</v>
      </c>
      <c r="B132" s="2"/>
      <c r="C132" s="33"/>
      <c r="D132" s="33"/>
      <c r="E132" s="33"/>
      <c r="F132" s="33"/>
      <c r="G132" s="33"/>
      <c r="H132" s="33"/>
      <c r="I132" s="33"/>
      <c r="J132" s="33"/>
      <c r="K132" s="34"/>
      <c r="L132" s="43"/>
      <c r="M132" s="44"/>
      <c r="N132" s="33"/>
      <c r="O132" s="33"/>
      <c r="P132" s="33"/>
      <c r="Q132" s="33"/>
      <c r="R132" s="34"/>
      <c r="S132" s="43" t="str">
        <f>+S5</f>
        <v>PROJECTED TEST YEAR:      12/31/2009</v>
      </c>
      <c r="T132" s="43"/>
      <c r="U132" s="43"/>
      <c r="V132" s="34"/>
      <c r="W132" s="33"/>
      <c r="X132" s="2"/>
      <c r="Y132" s="2"/>
      <c r="Z132" s="2"/>
      <c r="AA132" s="2"/>
      <c r="AB132" s="2"/>
      <c r="AC132" s="2"/>
    </row>
    <row r="133" spans="1:29" ht="13.5">
      <c r="A133" s="2"/>
      <c r="B133" s="2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4"/>
      <c r="S133" s="43" t="str">
        <f>+S6</f>
        <v>WITNESS:  </v>
      </c>
      <c r="T133" s="43" t="str">
        <f>+T6</f>
        <v>S. RICHARDS</v>
      </c>
      <c r="U133" s="43"/>
      <c r="V133" s="34"/>
      <c r="W133" s="33"/>
      <c r="X133" s="2"/>
      <c r="Y133" s="2"/>
      <c r="Z133" s="2"/>
      <c r="AA133" s="2"/>
      <c r="AB133" s="2"/>
      <c r="AC133" s="2"/>
    </row>
    <row r="134" spans="1:29" ht="13.5">
      <c r="A134" s="1" t="str">
        <f>+A7</f>
        <v>DOCKET NO.:   080318-GU</v>
      </c>
      <c r="B134" s="2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2"/>
      <c r="Y134" s="2"/>
      <c r="Z134" s="2"/>
      <c r="AA134" s="2"/>
      <c r="AB134" s="2"/>
      <c r="AC134" s="2"/>
    </row>
    <row r="135" spans="1:29" ht="13.5">
      <c r="A135" s="2"/>
      <c r="B135" s="2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2"/>
      <c r="Y135" s="2"/>
      <c r="Z135" s="2"/>
      <c r="AA135" s="2"/>
      <c r="AB135" s="2"/>
      <c r="AC135" s="2"/>
    </row>
    <row r="136" spans="1:29" ht="13.5">
      <c r="A136" s="62"/>
      <c r="B136" s="62"/>
      <c r="C136" s="51"/>
      <c r="D136" s="119" t="str">
        <f>D73</f>
        <v>New</v>
      </c>
      <c r="E136" s="119" t="s">
        <v>391</v>
      </c>
      <c r="F136" s="61" t="s">
        <v>88</v>
      </c>
      <c r="G136" s="61" t="s">
        <v>89</v>
      </c>
      <c r="H136" s="61" t="s">
        <v>241</v>
      </c>
      <c r="I136" s="61" t="s">
        <v>103</v>
      </c>
      <c r="J136" s="120"/>
      <c r="K136" s="122"/>
      <c r="L136" s="122"/>
      <c r="M136" s="121"/>
      <c r="N136" s="121"/>
      <c r="O136" s="61" t="s">
        <v>103</v>
      </c>
      <c r="P136" s="51"/>
      <c r="Q136" s="120" t="s">
        <v>99</v>
      </c>
      <c r="R136" s="62"/>
      <c r="S136" s="62"/>
      <c r="T136" s="61"/>
      <c r="U136" s="61" t="s">
        <v>425</v>
      </c>
      <c r="V136" s="51"/>
      <c r="W136" s="33"/>
      <c r="X136" s="2"/>
      <c r="Y136" s="2"/>
      <c r="Z136" s="2"/>
      <c r="AA136" s="2"/>
      <c r="AB136" s="2"/>
      <c r="AC136" s="2"/>
    </row>
    <row r="137" spans="1:29" ht="15">
      <c r="A137" s="5" t="s">
        <v>2</v>
      </c>
      <c r="B137" s="153" t="s">
        <v>488</v>
      </c>
      <c r="C137" s="100" t="s">
        <v>88</v>
      </c>
      <c r="D137" s="100" t="str">
        <f>D74</f>
        <v>Residential </v>
      </c>
      <c r="E137" s="100" t="s">
        <v>88</v>
      </c>
      <c r="F137" s="100" t="s">
        <v>239</v>
      </c>
      <c r="G137" s="100" t="s">
        <v>90</v>
      </c>
      <c r="H137" s="100" t="s">
        <v>239</v>
      </c>
      <c r="I137" s="100" t="s">
        <v>93</v>
      </c>
      <c r="J137" s="114" t="s">
        <v>93</v>
      </c>
      <c r="K137" s="114" t="str">
        <f aca="true" t="shared" si="25" ref="K137:N138">K74</f>
        <v>General</v>
      </c>
      <c r="L137" s="114" t="str">
        <f t="shared" si="25"/>
        <v>General</v>
      </c>
      <c r="M137" s="114" t="str">
        <f t="shared" si="25"/>
        <v>General</v>
      </c>
      <c r="N137" s="114" t="str">
        <f t="shared" si="25"/>
        <v>General</v>
      </c>
      <c r="O137" s="44" t="s">
        <v>104</v>
      </c>
      <c r="P137" s="44" t="s">
        <v>104</v>
      </c>
      <c r="Q137" s="44" t="s">
        <v>92</v>
      </c>
      <c r="R137" s="44" t="s">
        <v>515</v>
      </c>
      <c r="S137" s="44" t="s">
        <v>102</v>
      </c>
      <c r="T137" s="44" t="s">
        <v>86</v>
      </c>
      <c r="U137" s="44" t="s">
        <v>321</v>
      </c>
      <c r="V137" s="33"/>
      <c r="W137" s="33"/>
      <c r="X137" s="2"/>
      <c r="Y137" s="2"/>
      <c r="Z137" s="2"/>
      <c r="AA137" s="2"/>
      <c r="AB137" s="2"/>
      <c r="AC137" s="2"/>
    </row>
    <row r="138" spans="1:29" ht="14.25" thickBot="1">
      <c r="A138" s="6" t="s">
        <v>3</v>
      </c>
      <c r="B138" s="7"/>
      <c r="C138" s="110" t="s">
        <v>448</v>
      </c>
      <c r="D138" s="110" t="str">
        <f>D75</f>
        <v>2</v>
      </c>
      <c r="E138" s="110" t="s">
        <v>450</v>
      </c>
      <c r="F138" s="45" t="s">
        <v>240</v>
      </c>
      <c r="G138" s="45" t="s">
        <v>91</v>
      </c>
      <c r="H138" s="45" t="s">
        <v>240</v>
      </c>
      <c r="I138" s="45" t="s">
        <v>92</v>
      </c>
      <c r="J138" s="45" t="s">
        <v>94</v>
      </c>
      <c r="K138" s="45" t="str">
        <f t="shared" si="25"/>
        <v>Service 2</v>
      </c>
      <c r="L138" s="45" t="str">
        <f t="shared" si="25"/>
        <v>Service 3</v>
      </c>
      <c r="M138" s="45" t="str">
        <f t="shared" si="25"/>
        <v>Service 4</v>
      </c>
      <c r="N138" s="45" t="str">
        <f t="shared" si="25"/>
        <v>Service 5</v>
      </c>
      <c r="O138" s="45" t="s">
        <v>92</v>
      </c>
      <c r="P138" s="45" t="s">
        <v>92</v>
      </c>
      <c r="Q138" s="45" t="s">
        <v>100</v>
      </c>
      <c r="R138" s="45" t="s">
        <v>101</v>
      </c>
      <c r="S138" s="45"/>
      <c r="T138" s="45" t="s">
        <v>87</v>
      </c>
      <c r="U138" s="45" t="s">
        <v>322</v>
      </c>
      <c r="V138" s="45" t="s">
        <v>4</v>
      </c>
      <c r="W138" s="33"/>
      <c r="X138" s="2"/>
      <c r="Y138" s="181" t="s">
        <v>516</v>
      </c>
      <c r="Z138" s="181"/>
      <c r="AA138" s="2"/>
      <c r="AB138" s="2"/>
      <c r="AC138" s="2"/>
    </row>
    <row r="139" spans="1:29" ht="13.5">
      <c r="A139" s="5"/>
      <c r="B139" s="2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3"/>
      <c r="X139" s="2"/>
      <c r="Y139" s="182" t="s">
        <v>479</v>
      </c>
      <c r="Z139" s="183"/>
      <c r="AA139" s="2"/>
      <c r="AB139" s="2"/>
      <c r="AC139" s="2"/>
    </row>
    <row r="140" spans="1:29" ht="13.5">
      <c r="A140" s="14">
        <f>+A109+1</f>
        <v>38</v>
      </c>
      <c r="B140" s="1" t="s">
        <v>5</v>
      </c>
      <c r="C140" s="141">
        <f>'Plan 2009 New'!D5</f>
        <v>924113</v>
      </c>
      <c r="D140" s="141">
        <f>'Plan 2009 New'!D10</f>
        <v>1900910</v>
      </c>
      <c r="E140" s="141">
        <f>'Plan 2009 New'!D15</f>
        <v>850266</v>
      </c>
      <c r="F140" s="141">
        <f>+'Plan 2009 New'!D47</f>
        <v>8592</v>
      </c>
      <c r="G140" s="141">
        <f>+'Plan 2009 New'!D124+'Plan 2009 New'!D129</f>
        <v>756</v>
      </c>
      <c r="H140" s="141">
        <f>+'Plan 2009 New'!D61+'Plan 2009 New'!D66</f>
        <v>9504</v>
      </c>
      <c r="I140" s="141">
        <f>+'Plan 2009 New'!D70+'Plan 2009 New'!D75</f>
        <v>125113</v>
      </c>
      <c r="J140" s="141">
        <f>+'Plan 2009 New'!D79+'Plan 2009 New'!D84+'Plan 2009 New'!D20+'Plan 2009 New'!D25</f>
        <v>159942</v>
      </c>
      <c r="K140" s="141">
        <f>+'Plan 2009 New'!D88+'Plan 2009 New'!D93+'Plan 2009 New'!D29+'Plan 2009 New'!D34</f>
        <v>72768</v>
      </c>
      <c r="L140" s="141">
        <f>+'Plan 2009 New'!D97+'Plan 2009 New'!D102+'Plan 2009 New'!D38+'Plan 2009 New'!D43</f>
        <v>9930.655999999999</v>
      </c>
      <c r="M140" s="141">
        <f>+'Plan 2009 New'!D106+'Plan 2009 New'!D111</f>
        <v>1476</v>
      </c>
      <c r="N140" s="141">
        <f>+'Plan 2009 New'!D115+'Plan 2009 New'!D120-SCNew!C6</f>
        <v>1242</v>
      </c>
      <c r="O140" s="141">
        <f>+'Plan 2009 New'!D151</f>
        <v>312</v>
      </c>
      <c r="P140" s="141">
        <f>+'Plan 2009 New'!D155</f>
        <v>168</v>
      </c>
      <c r="Q140" s="141">
        <f>+'Plan 2009 New'!D159</f>
        <v>36</v>
      </c>
      <c r="R140" s="141">
        <f>+'Plan 2009 New'!D133+'Plan 2009 New'!D138</f>
        <v>180</v>
      </c>
      <c r="S140" s="141">
        <f>+'Plan 2009 New'!D142+'Plan 2009 New'!D147</f>
        <v>132</v>
      </c>
      <c r="T140" s="141">
        <f>+'Plan 2009 New'!D163+SCNew!C6</f>
        <v>96</v>
      </c>
      <c r="U140" s="142">
        <v>0</v>
      </c>
      <c r="V140" s="32">
        <f>SUM(C140:U140)</f>
        <v>4065536.656</v>
      </c>
      <c r="W140" s="33"/>
      <c r="X140" s="13"/>
      <c r="Y140" s="184">
        <f>+V140-'[5]SCHH-1'!$C$286</f>
        <v>0</v>
      </c>
      <c r="Z140" s="185" t="s">
        <v>67</v>
      </c>
      <c r="AA140" s="2"/>
      <c r="AB140" s="2"/>
      <c r="AC140" s="2"/>
    </row>
    <row r="141" spans="1:29" ht="13.5">
      <c r="A141" s="15"/>
      <c r="B141" s="2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32"/>
      <c r="W141" s="33"/>
      <c r="X141" s="2"/>
      <c r="Y141" s="186"/>
      <c r="Z141" s="185"/>
      <c r="AA141" s="2"/>
      <c r="AB141" s="2"/>
      <c r="AC141" s="2"/>
    </row>
    <row r="142" spans="1:29" ht="13.5">
      <c r="A142" s="14">
        <f>+A140+1</f>
        <v>39</v>
      </c>
      <c r="B142" s="1" t="s">
        <v>6</v>
      </c>
      <c r="C142" s="141">
        <f>'Plan 2009 New'!D6*0+C203</f>
        <v>4448652.082592917</v>
      </c>
      <c r="D142" s="141">
        <f>'Plan 2009 New'!D11*0+D203</f>
        <v>27140448.797301374</v>
      </c>
      <c r="E142" s="151">
        <f>('Plan 2009 New'!D16+'Plan 2009 New'!D53+'Plan 2009 New'!D58)*0+E203</f>
        <v>30376835.18073396</v>
      </c>
      <c r="F142" s="141">
        <f>+'Plan 2009 New'!D48</f>
        <v>0</v>
      </c>
      <c r="G142" s="141">
        <f>+'Plan 2009 New'!D125+'Plan 2009 New'!D130</f>
        <v>901551.5528224041</v>
      </c>
      <c r="H142" s="141">
        <f>+'Plan 2009 New'!D62+'Plan 2009 New'!D67</f>
        <v>0</v>
      </c>
      <c r="I142" s="141">
        <f>+'Plan 2009 New'!D71+'Plan 2009 New'!D76</f>
        <v>8296450.228259446</v>
      </c>
      <c r="J142" s="141">
        <f>+'Plan 2009 New'!D80+'Plan 2009 New'!D85+'Plan 2009 New'!D21+'Plan 2009 New'!D26</f>
        <v>65430832.67584133</v>
      </c>
      <c r="K142" s="141">
        <f>+'Plan 2009 New'!D89+'Plan 2009 New'!D94+'Plan 2009 New'!D30+'Plan 2009 New'!D35</f>
        <v>124454784.49334837</v>
      </c>
      <c r="L142" s="141">
        <f>+'Plan 2009 New'!D98+'Plan 2009 New'!D103+'Plan 2009 New'!D39+'Plan 2009 New'!D44</f>
        <v>74743911.70722145</v>
      </c>
      <c r="M142" s="141">
        <f>+'Plan 2009 New'!D107+'Plan 2009 New'!D112</f>
        <v>43269635.39999999</v>
      </c>
      <c r="N142" s="141">
        <f>+'Plan 2009 New'!D116+'Plan 2009 New'!D121-SCNew!C8</f>
        <v>64790915.29999999</v>
      </c>
      <c r="O142" s="141">
        <f>+'Plan 2009 New'!D152</f>
        <v>48728719</v>
      </c>
      <c r="P142" s="141">
        <f>+'Plan 2009 New'!D156</f>
        <v>134464513</v>
      </c>
      <c r="Q142" s="141">
        <f>+'Plan 2009 New'!D160</f>
        <v>152002324.00399998</v>
      </c>
      <c r="R142" s="141">
        <f>+'Plan 2009 New'!D134+'Plan 2009 New'!D139</f>
        <v>428668.34253232955</v>
      </c>
      <c r="S142" s="141">
        <f>+'Plan 2009 New'!D143+'Plan 2009 New'!D148</f>
        <v>1582429.9833333336</v>
      </c>
      <c r="T142" s="141">
        <f>+'Plan 2009 New'!D164+SCNew!C8</f>
        <v>300168991.9996</v>
      </c>
      <c r="U142" s="141">
        <f>+'Plan 2009 New'!D168</f>
        <v>210000000</v>
      </c>
      <c r="V142" s="32">
        <f>SUM(C142:U142)</f>
        <v>1291229663.7475867</v>
      </c>
      <c r="W142" s="33"/>
      <c r="X142" s="13"/>
      <c r="Y142" s="184">
        <f>+V142-U142-'[5]SCHH-1'!$C$304</f>
        <v>0</v>
      </c>
      <c r="Z142" s="185" t="s">
        <v>475</v>
      </c>
      <c r="AA142" s="2"/>
      <c r="AB142" s="2"/>
      <c r="AC142" s="2"/>
    </row>
    <row r="143" spans="1:29" ht="13.5">
      <c r="A143" s="15"/>
      <c r="B143" s="2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3"/>
      <c r="W143" s="33"/>
      <c r="X143" s="2"/>
      <c r="Y143" s="186"/>
      <c r="Z143" s="185"/>
      <c r="AA143" s="2"/>
      <c r="AB143" s="2"/>
      <c r="AC143" s="2"/>
    </row>
    <row r="144" spans="1:29" ht="13.5">
      <c r="A144" s="14">
        <f>+A142+1</f>
        <v>40</v>
      </c>
      <c r="B144" s="1" t="s">
        <v>9</v>
      </c>
      <c r="C144" s="141">
        <f>'Plan 2009 New'!D7</f>
        <v>10812122.1</v>
      </c>
      <c r="D144" s="141">
        <f>'Plan 2009 New'!D12</f>
        <v>27800808.749999996</v>
      </c>
      <c r="E144" s="141">
        <f>'Plan 2009 New'!D17</f>
        <v>16580187.000000002</v>
      </c>
      <c r="F144" s="141">
        <f>+'[5]SCHH-1'!$G$298</f>
        <v>171840</v>
      </c>
      <c r="G144" s="141">
        <f>+'[5]SCHH-1'!$I$298</f>
        <v>0</v>
      </c>
      <c r="H144" s="141">
        <f>+'[5]SCHH-1'!$K$298</f>
        <v>332640</v>
      </c>
      <c r="I144" s="141">
        <f>+'[5]SCHH-1'!$M$298</f>
        <v>3088727.1875</v>
      </c>
      <c r="J144" s="141">
        <f>+'[5]SCHH-1'!$O$298</f>
        <v>5411557.599</v>
      </c>
      <c r="K144" s="141">
        <f>+'[5]SCHH-1'!$Q$298</f>
        <v>3534341.7600000002</v>
      </c>
      <c r="L144" s="141">
        <f>+'[5]SCHH-1'!$S$298</f>
        <v>1489598.4</v>
      </c>
      <c r="M144" s="141">
        <f>+'[5]SCHH-1'!$U$298</f>
        <v>369000</v>
      </c>
      <c r="N144" s="141">
        <f>+'[5]SCHH-1'!$W$298</f>
        <v>372600</v>
      </c>
      <c r="O144" s="141">
        <f>+'[5]SCHH-1'!$Y$298</f>
        <v>93600</v>
      </c>
      <c r="P144" s="141">
        <f>+'[5]SCHH-1'!$AA$298</f>
        <v>79800</v>
      </c>
      <c r="Q144" s="141">
        <f>+'[5]SCHH-1'!$AC$298</f>
        <v>17100</v>
      </c>
      <c r="R144" s="141">
        <f>+'[5]SCHH-1'!$AE$298</f>
        <v>8100</v>
      </c>
      <c r="S144" s="141">
        <f>+'[5]SCHH-1'!$AG$298</f>
        <v>19800</v>
      </c>
      <c r="T144" s="141">
        <v>0</v>
      </c>
      <c r="U144" s="142">
        <v>0</v>
      </c>
      <c r="V144" s="67">
        <f>SUM(C144:U144)</f>
        <v>70181822.7965</v>
      </c>
      <c r="W144" s="33"/>
      <c r="X144" s="2"/>
      <c r="Y144" s="184">
        <f>+V144-'[5]SCHH-1'!$C$298</f>
        <v>-112.12500001490116</v>
      </c>
      <c r="Z144" s="185" t="s">
        <v>476</v>
      </c>
      <c r="AA144" s="2"/>
      <c r="AB144" s="2"/>
      <c r="AC144" s="2"/>
    </row>
    <row r="145" spans="1:29" ht="13.5">
      <c r="A145" s="15"/>
      <c r="B145" s="2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66"/>
      <c r="W145" s="33"/>
      <c r="X145" s="2"/>
      <c r="Y145" s="186"/>
      <c r="Z145" s="185"/>
      <c r="AA145" s="2"/>
      <c r="AB145" s="2"/>
      <c r="AC145" s="2"/>
    </row>
    <row r="146" spans="1:29" ht="13.5">
      <c r="A146" s="14">
        <f>+A144+1</f>
        <v>41</v>
      </c>
      <c r="B146" s="1" t="s">
        <v>10</v>
      </c>
      <c r="C146" s="141">
        <f>+C216</f>
        <v>1425074</v>
      </c>
      <c r="D146" s="141">
        <f>+D216</f>
        <v>8694127</v>
      </c>
      <c r="E146" s="141">
        <f>E216</f>
        <v>9730866</v>
      </c>
      <c r="F146" s="141">
        <f>+'[5]SCHH-1'!$G$312</f>
        <v>0</v>
      </c>
      <c r="G146" s="141">
        <f>+'[5]SCHH-1'!$I$312</f>
        <v>177740.88863893694</v>
      </c>
      <c r="H146" s="141">
        <f>+'[5]SCHH-1'!$K$312</f>
        <v>0</v>
      </c>
      <c r="I146" s="141">
        <f>+'[5]SCHH-1'!$M$312</f>
        <v>3015344.8354608957</v>
      </c>
      <c r="J146" s="141">
        <f>+'[5]SCHH-1'!$O$312</f>
        <v>18357274.41553404</v>
      </c>
      <c r="K146" s="141">
        <f>+'[5]SCHH-1'!$Q$312</f>
        <v>30161617.02196298</v>
      </c>
      <c r="L146" s="141">
        <f>+'[5]SCHH-1'!$S$312</f>
        <v>15681272.67617506</v>
      </c>
      <c r="M146" s="141">
        <f>+'[5]SCHH-1'!$U$312</f>
        <v>6796794.328631998</v>
      </c>
      <c r="N146" s="141">
        <f>+'[5]SCHH-1'!$W$312</f>
        <v>7654398.733541998</v>
      </c>
      <c r="O146" s="141">
        <f>+'[5]SCHH-1'!$Y$312</f>
        <v>3616158.23699</v>
      </c>
      <c r="P146" s="141">
        <f>+'[5]SCHH-1'!$AA$312</f>
        <v>4483046.86342</v>
      </c>
      <c r="Q146" s="141">
        <f>+'[5]SCHH-1'!$AC$312</f>
        <v>1288979.7075539199</v>
      </c>
      <c r="R146" s="141">
        <f>+'[5]SCHH-1'!$AE$312</f>
        <v>80735.39563253894</v>
      </c>
      <c r="S146" s="141">
        <f>+'[5]SCHH-1'!$AG$312</f>
        <v>246400.17270483336</v>
      </c>
      <c r="T146" s="141">
        <f>+'[5]SCHH-1'!$AI$312</f>
        <v>6555859.204173011</v>
      </c>
      <c r="U146" s="141">
        <f>+'Plan 2009 New'!D170</f>
        <v>500000</v>
      </c>
      <c r="V146" s="67">
        <f>SUM(C146:U146)</f>
        <v>118465689.4804202</v>
      </c>
      <c r="W146" s="33"/>
      <c r="X146" s="2"/>
      <c r="Y146" s="184">
        <f>+V146-U146-'[5]SCHH-1'!$C$312</f>
        <v>-100.95766165852547</v>
      </c>
      <c r="Z146" s="185" t="s">
        <v>477</v>
      </c>
      <c r="AA146" s="2"/>
      <c r="AB146" s="2"/>
      <c r="AC146" s="2"/>
    </row>
    <row r="147" spans="1:29" ht="13.5">
      <c r="A147" s="15"/>
      <c r="B147" s="2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2"/>
      <c r="P147" s="142"/>
      <c r="Q147" s="142"/>
      <c r="R147" s="142"/>
      <c r="S147" s="142"/>
      <c r="T147" s="142"/>
      <c r="U147" s="142"/>
      <c r="V147" s="67"/>
      <c r="W147" s="33"/>
      <c r="X147" s="2"/>
      <c r="Y147" s="186"/>
      <c r="Z147" s="185"/>
      <c r="AA147" s="2"/>
      <c r="AB147" s="2"/>
      <c r="AC147" s="2"/>
    </row>
    <row r="148" spans="1:29" ht="13.5">
      <c r="A148" s="14">
        <f>+A146+1</f>
        <v>42</v>
      </c>
      <c r="B148" s="1" t="s">
        <v>13</v>
      </c>
      <c r="C148" s="141">
        <f>+C225</f>
        <v>5258400.352156273</v>
      </c>
      <c r="D148" s="141">
        <f>+D225</f>
        <v>32080581.457884334</v>
      </c>
      <c r="E148" s="141">
        <f>+E225</f>
        <v>35906058.25004484</v>
      </c>
      <c r="F148" s="141">
        <f>+'Plan 2009 New'!D51</f>
        <v>0</v>
      </c>
      <c r="G148" s="141">
        <f>+'Plan 2009 New'!D128</f>
        <v>162683.57048275947</v>
      </c>
      <c r="H148" s="141">
        <f>+'Plan 2009 New'!D65</f>
        <v>0</v>
      </c>
      <c r="I148" s="141">
        <f>+'Plan 2009 New'!D74</f>
        <v>7242530.6446502</v>
      </c>
      <c r="J148" s="141">
        <f>+'Plan 2009 New'!D83+'Plan 2009 New'!D24</f>
        <v>33264201.299870394</v>
      </c>
      <c r="K148" s="141">
        <f>+'Plan 2009 New'!D92+'Plan 2009 New'!D33</f>
        <v>28285108.428050593</v>
      </c>
      <c r="L148" s="141">
        <f>+'Plan 2009 New'!D101+'Plan 2009 New'!D42</f>
        <v>9329769.084853064</v>
      </c>
      <c r="M148" s="141">
        <f>+'Plan 2009 New'!D110</f>
        <v>1781480.5932540651</v>
      </c>
      <c r="N148" s="141">
        <f>+'Plan 2009 New'!D119</f>
        <v>2533100.0063183373</v>
      </c>
      <c r="O148" s="142">
        <v>0</v>
      </c>
      <c r="P148" s="142">
        <v>0</v>
      </c>
      <c r="Q148" s="142">
        <v>0</v>
      </c>
      <c r="R148" s="141">
        <f>+'Plan 2009 New'!D137</f>
        <v>49655.540537433575</v>
      </c>
      <c r="S148" s="141">
        <f>+'Plan 2009 New'!D146</f>
        <v>477985.38628333353</v>
      </c>
      <c r="T148" s="142">
        <v>0</v>
      </c>
      <c r="U148" s="141">
        <f>+'Plan 2009 New'!D171</f>
        <v>195300000</v>
      </c>
      <c r="V148" s="67">
        <f>SUM(C148:U148)</f>
        <v>351671554.6143856</v>
      </c>
      <c r="W148" s="33"/>
      <c r="X148" s="13"/>
      <c r="Y148" s="186"/>
      <c r="Z148" s="185"/>
      <c r="AA148" s="2"/>
      <c r="AB148" s="2"/>
      <c r="AC148" s="2"/>
    </row>
    <row r="149" spans="1:29" ht="13.5">
      <c r="A149" s="15"/>
      <c r="B149" s="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67"/>
      <c r="W149" s="33"/>
      <c r="X149" s="2"/>
      <c r="Y149" s="186"/>
      <c r="Z149" s="185"/>
      <c r="AA149" s="2"/>
      <c r="AB149" s="2"/>
      <c r="AC149" s="2"/>
    </row>
    <row r="150" spans="1:29" ht="14.25" thickBot="1">
      <c r="A150" s="14">
        <f>+A148+1</f>
        <v>43</v>
      </c>
      <c r="B150" s="1" t="s">
        <v>21</v>
      </c>
      <c r="C150" s="142">
        <v>0</v>
      </c>
      <c r="D150" s="142">
        <v>0</v>
      </c>
      <c r="E150" s="142">
        <v>0</v>
      </c>
      <c r="F150" s="142">
        <v>0</v>
      </c>
      <c r="G150" s="142">
        <v>0</v>
      </c>
      <c r="H150" s="142">
        <v>0</v>
      </c>
      <c r="I150" s="142">
        <v>0</v>
      </c>
      <c r="J150" s="142">
        <v>0</v>
      </c>
      <c r="K150" s="142">
        <v>0</v>
      </c>
      <c r="L150" s="142">
        <v>0</v>
      </c>
      <c r="M150" s="142">
        <v>0</v>
      </c>
      <c r="N150" s="142">
        <v>0</v>
      </c>
      <c r="O150" s="142">
        <v>0</v>
      </c>
      <c r="P150" s="142">
        <v>0</v>
      </c>
      <c r="Q150" s="141">
        <f>+'Plan 2009 New'!D189</f>
        <v>250000</v>
      </c>
      <c r="R150" s="142">
        <v>0</v>
      </c>
      <c r="S150" s="142">
        <v>0</v>
      </c>
      <c r="T150" s="142">
        <v>0</v>
      </c>
      <c r="U150" s="141">
        <f>+N189</f>
        <v>7496215.372888428</v>
      </c>
      <c r="V150" s="67">
        <f>SUM(C150:U150)</f>
        <v>7746215.372888428</v>
      </c>
      <c r="W150" s="37"/>
      <c r="X150" s="2"/>
      <c r="Y150" s="187">
        <f>+V150+U146-'[5]SCHH-1'!$C$282</f>
        <v>0</v>
      </c>
      <c r="Z150" s="188" t="s">
        <v>478</v>
      </c>
      <c r="AA150" s="2"/>
      <c r="AB150" s="2"/>
      <c r="AC150" s="2"/>
    </row>
    <row r="151" spans="1:29" ht="13.5">
      <c r="A151" s="19"/>
      <c r="B151" s="2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68"/>
      <c r="W151" s="33"/>
      <c r="X151" s="2"/>
      <c r="Y151" s="2"/>
      <c r="Z151" s="2"/>
      <c r="AA151" s="2"/>
      <c r="AB151" s="2"/>
      <c r="AC151" s="2"/>
    </row>
    <row r="152" spans="1:29" ht="14.25" thickBot="1">
      <c r="A152" s="14">
        <f>+A150+1</f>
        <v>44</v>
      </c>
      <c r="B152" s="1" t="s">
        <v>17</v>
      </c>
      <c r="C152" s="144">
        <f>SUM(C144:C151)</f>
        <v>17495596.45215627</v>
      </c>
      <c r="D152" s="144">
        <f>SUM(D144:D151)</f>
        <v>68575517.20788434</v>
      </c>
      <c r="E152" s="144">
        <f>SUM(E144:E151)</f>
        <v>62217111.25004484</v>
      </c>
      <c r="F152" s="144">
        <f>SUM(F144:F151)</f>
        <v>171840</v>
      </c>
      <c r="G152" s="144">
        <f aca="true" t="shared" si="26" ref="G152:U152">SUM(G144:G151)</f>
        <v>340424.4591216964</v>
      </c>
      <c r="H152" s="144">
        <f t="shared" si="26"/>
        <v>332640</v>
      </c>
      <c r="I152" s="144">
        <f t="shared" si="26"/>
        <v>13346602.667611096</v>
      </c>
      <c r="J152" s="144">
        <f t="shared" si="26"/>
        <v>57033033.314404435</v>
      </c>
      <c r="K152" s="144">
        <f>SUM(K144:K151)</f>
        <v>61981067.210013576</v>
      </c>
      <c r="L152" s="144">
        <f>SUM(L144:L151)</f>
        <v>26500640.161028124</v>
      </c>
      <c r="M152" s="144">
        <f>SUM(M144:M151)</f>
        <v>8947274.921886064</v>
      </c>
      <c r="N152" s="144">
        <f>SUM(N144:N151)</f>
        <v>10560098.739860335</v>
      </c>
      <c r="O152" s="144">
        <f t="shared" si="26"/>
        <v>3709758.23699</v>
      </c>
      <c r="P152" s="144">
        <f t="shared" si="26"/>
        <v>4562846.86342</v>
      </c>
      <c r="Q152" s="144">
        <f t="shared" si="26"/>
        <v>1556079.7075539199</v>
      </c>
      <c r="R152" s="144">
        <f t="shared" si="26"/>
        <v>138490.93616997253</v>
      </c>
      <c r="S152" s="144">
        <f t="shared" si="26"/>
        <v>744185.5589881669</v>
      </c>
      <c r="T152" s="144">
        <f t="shared" si="26"/>
        <v>6555859.204173011</v>
      </c>
      <c r="U152" s="144">
        <f t="shared" si="26"/>
        <v>203296215.37288842</v>
      </c>
      <c r="V152" s="69">
        <f>SUM(V144:V151)</f>
        <v>548065282.2641943</v>
      </c>
      <c r="W152" s="33"/>
      <c r="X152" s="2"/>
      <c r="Y152" s="13">
        <f>SUM(Y144:Y150)</f>
        <v>-213.08266167342663</v>
      </c>
      <c r="Z152" s="2"/>
      <c r="AA152" s="2"/>
      <c r="AB152" s="2"/>
      <c r="AC152" s="2"/>
    </row>
    <row r="153" spans="1:29" ht="14.25" thickTop="1">
      <c r="A153" s="19"/>
      <c r="B153" s="2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33"/>
      <c r="X153" s="2"/>
      <c r="Y153" s="2"/>
      <c r="Z153" s="2"/>
      <c r="AA153" s="2"/>
      <c r="AB153" s="2"/>
      <c r="AC153" s="2"/>
    </row>
    <row r="154" spans="1:29" ht="13.5">
      <c r="A154" s="19"/>
      <c r="B154" s="2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33"/>
      <c r="X154" s="2"/>
      <c r="Y154" s="2"/>
      <c r="Z154" s="2"/>
      <c r="AA154" s="2"/>
      <c r="AB154" s="2"/>
      <c r="AC154" s="2"/>
    </row>
    <row r="155" spans="1:29" ht="13.5">
      <c r="A155" s="19"/>
      <c r="B155" s="1" t="s">
        <v>28</v>
      </c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33"/>
      <c r="X155" s="2"/>
      <c r="Y155" s="2"/>
      <c r="Z155" s="2"/>
      <c r="AA155" s="2"/>
      <c r="AB155" s="2"/>
      <c r="AC155" s="2"/>
    </row>
    <row r="156" spans="1:29" ht="13.5">
      <c r="A156" s="19"/>
      <c r="B156" s="1"/>
      <c r="C156" s="67"/>
      <c r="D156" s="67"/>
      <c r="E156" s="67"/>
      <c r="F156" s="67"/>
      <c r="G156" s="67"/>
      <c r="H156" s="67"/>
      <c r="I156" s="67"/>
      <c r="J156" s="67"/>
      <c r="K156" s="70"/>
      <c r="L156" s="67"/>
      <c r="M156" s="70"/>
      <c r="N156" s="67"/>
      <c r="O156" s="67"/>
      <c r="P156" s="66"/>
      <c r="Q156" s="66"/>
      <c r="R156" s="66"/>
      <c r="S156" s="66"/>
      <c r="T156" s="66"/>
      <c r="U156" s="66"/>
      <c r="V156" s="66"/>
      <c r="W156" s="33"/>
      <c r="X156" s="2"/>
      <c r="Y156" s="2"/>
      <c r="Z156" s="2"/>
      <c r="AA156" s="2"/>
      <c r="AB156" s="2"/>
      <c r="AC156" s="2"/>
    </row>
    <row r="157" spans="1:29" ht="13.5">
      <c r="A157" s="14">
        <f>+A152+1</f>
        <v>45</v>
      </c>
      <c r="B157" s="4" t="s">
        <v>489</v>
      </c>
      <c r="C157" s="36">
        <f aca="true" t="shared" si="27" ref="C157:H157">+C144+C146-C28</f>
        <v>-49812862.81033</v>
      </c>
      <c r="D157" s="36">
        <f t="shared" si="27"/>
        <v>36494935.75</v>
      </c>
      <c r="E157" s="36">
        <f t="shared" si="27"/>
        <v>26311053</v>
      </c>
      <c r="F157" s="36">
        <f t="shared" si="27"/>
        <v>107374</v>
      </c>
      <c r="G157" s="36">
        <f t="shared" si="27"/>
        <v>79168.49739893692</v>
      </c>
      <c r="H157" s="36">
        <f t="shared" si="27"/>
        <v>217754</v>
      </c>
      <c r="I157" s="36">
        <f aca="true" t="shared" si="28" ref="I157:T157">+I144+I146-I28</f>
        <v>3946693.7737108953</v>
      </c>
      <c r="J157" s="36">
        <f t="shared" si="28"/>
        <v>-7348291.878515959</v>
      </c>
      <c r="K157" s="36">
        <f t="shared" si="28"/>
        <v>16207960.13595298</v>
      </c>
      <c r="L157" s="36">
        <f t="shared" si="28"/>
        <v>2570338.2781750597</v>
      </c>
      <c r="M157" s="36">
        <f t="shared" si="28"/>
        <v>-1292759.7271280019</v>
      </c>
      <c r="N157" s="36">
        <f t="shared" si="28"/>
        <v>1193291.206601997</v>
      </c>
      <c r="O157" s="36">
        <f t="shared" si="28"/>
        <v>-200551.9144899994</v>
      </c>
      <c r="P157" s="36">
        <f t="shared" si="28"/>
        <v>-1376892.5647400003</v>
      </c>
      <c r="Q157" s="36">
        <f t="shared" si="28"/>
        <v>-892042.7722940804</v>
      </c>
      <c r="R157" s="36">
        <f t="shared" si="28"/>
        <v>16522.660832538953</v>
      </c>
      <c r="S157" s="36">
        <f t="shared" si="28"/>
        <v>68643.0311048333</v>
      </c>
      <c r="T157" s="36">
        <f t="shared" si="28"/>
        <v>1898381.2909530103</v>
      </c>
      <c r="U157" s="36">
        <f>+U144+U146-U28</f>
        <v>-2490518.86</v>
      </c>
      <c r="V157" s="36">
        <f>SUM(C157:U157)</f>
        <v>25698195.097232208</v>
      </c>
      <c r="W157" s="36"/>
      <c r="X157" s="72"/>
      <c r="Y157" s="2"/>
      <c r="Z157" s="2"/>
      <c r="AA157" s="2"/>
      <c r="AB157" s="2"/>
      <c r="AC157" s="2"/>
    </row>
    <row r="158" spans="1:29" ht="13.5">
      <c r="A158" s="15"/>
      <c r="B158" s="2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33"/>
      <c r="X158" s="2"/>
      <c r="Y158" s="2"/>
      <c r="Z158" s="2"/>
      <c r="AA158" s="2"/>
      <c r="AB158" s="2"/>
      <c r="AC158" s="2"/>
    </row>
    <row r="159" spans="1:29" ht="13.5">
      <c r="A159" s="14">
        <f>+A157+1</f>
        <v>46</v>
      </c>
      <c r="B159" s="4" t="s">
        <v>490</v>
      </c>
      <c r="C159" s="36">
        <f aca="true" t="shared" si="29" ref="C159:H159">+C144+C146-C91</f>
        <v>-51406233.91892853</v>
      </c>
      <c r="D159" s="36">
        <f t="shared" si="29"/>
        <v>36494935.75</v>
      </c>
      <c r="E159" s="36">
        <f t="shared" si="29"/>
        <v>26311053</v>
      </c>
      <c r="F159" s="36">
        <f t="shared" si="29"/>
        <v>18730.559999999998</v>
      </c>
      <c r="G159" s="36">
        <f t="shared" si="29"/>
        <v>62080.839927350695</v>
      </c>
      <c r="H159" s="36">
        <f t="shared" si="29"/>
        <v>69664.32</v>
      </c>
      <c r="I159" s="36">
        <f aca="true" t="shared" si="30" ref="I159:T159">+I144+I146-I91</f>
        <v>4159915.590104124</v>
      </c>
      <c r="J159" s="36">
        <f t="shared" si="30"/>
        <v>-8470054.16318322</v>
      </c>
      <c r="K159" s="36">
        <f t="shared" si="30"/>
        <v>15465944.828817092</v>
      </c>
      <c r="L159" s="36">
        <f t="shared" si="30"/>
        <v>2453413.9474568963</v>
      </c>
      <c r="M159" s="36">
        <f t="shared" si="30"/>
        <v>-673776.2704800032</v>
      </c>
      <c r="N159" s="36">
        <f t="shared" si="30"/>
        <v>1335042.928268998</v>
      </c>
      <c r="O159" s="36">
        <f t="shared" si="30"/>
        <v>141333.71485999972</v>
      </c>
      <c r="P159" s="36">
        <f t="shared" si="30"/>
        <v>-210793.2844399996</v>
      </c>
      <c r="Q159" s="36">
        <f t="shared" si="30"/>
        <v>-225083.57896616054</v>
      </c>
      <c r="R159" s="36">
        <f t="shared" si="30"/>
        <v>22466.10079348361</v>
      </c>
      <c r="S159" s="36">
        <f t="shared" si="30"/>
        <v>37441.56037516668</v>
      </c>
      <c r="T159" s="36">
        <f t="shared" si="30"/>
        <v>4.21896415296942</v>
      </c>
      <c r="U159" s="36">
        <f>+U144+U146-U91</f>
        <v>0</v>
      </c>
      <c r="V159" s="36">
        <f>SUM(C159:U159)</f>
        <v>25586086.143569354</v>
      </c>
      <c r="W159" s="36"/>
      <c r="X159" s="2"/>
      <c r="Y159" s="2"/>
      <c r="Z159" s="2"/>
      <c r="AA159" s="2"/>
      <c r="AB159" s="2"/>
      <c r="AC159" s="2"/>
    </row>
    <row r="160" spans="1:29" ht="13.5">
      <c r="A160" s="15"/>
      <c r="B160" s="2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2"/>
      <c r="Y160" s="2"/>
      <c r="Z160" s="2"/>
      <c r="AA160" s="2"/>
      <c r="AB160" s="2"/>
      <c r="AC160" s="2"/>
    </row>
    <row r="161" spans="1:29" ht="13.5">
      <c r="A161" s="14">
        <f>+A159+1</f>
        <v>47</v>
      </c>
      <c r="B161" s="4" t="s">
        <v>491</v>
      </c>
      <c r="C161" s="57">
        <f aca="true" t="shared" si="31" ref="C161:H161">ROUND((+C144+C146)/C28,4)</f>
        <v>0.1972</v>
      </c>
      <c r="D161" s="57">
        <f>IF(D28=0,0,ROUND((+D144+D146)/D28,4))</f>
        <v>0</v>
      </c>
      <c r="E161" s="57">
        <f>IF(E28=0,0,ROUND((+E144+E146)/E28,4))</f>
        <v>0</v>
      </c>
      <c r="F161" s="57">
        <f t="shared" si="31"/>
        <v>2.6656</v>
      </c>
      <c r="G161" s="57">
        <f t="shared" si="31"/>
        <v>1.8032</v>
      </c>
      <c r="H161" s="57">
        <f t="shared" si="31"/>
        <v>2.8954</v>
      </c>
      <c r="I161" s="57">
        <f aca="true" t="shared" si="32" ref="I161:T161">ROUND((+I144+I146)/I28,4)</f>
        <v>2.8294</v>
      </c>
      <c r="J161" s="57">
        <f t="shared" si="32"/>
        <v>0.7639</v>
      </c>
      <c r="K161" s="57">
        <f t="shared" si="32"/>
        <v>1.9268</v>
      </c>
      <c r="L161" s="57">
        <f t="shared" si="32"/>
        <v>1.176</v>
      </c>
      <c r="M161" s="57">
        <f t="shared" si="32"/>
        <v>0.8472</v>
      </c>
      <c r="N161" s="57">
        <f t="shared" si="32"/>
        <v>1.1746</v>
      </c>
      <c r="O161" s="57">
        <f t="shared" si="32"/>
        <v>0.9487</v>
      </c>
      <c r="P161" s="57">
        <f t="shared" si="32"/>
        <v>0.7682</v>
      </c>
      <c r="Q161" s="57">
        <f t="shared" si="32"/>
        <v>0.5942</v>
      </c>
      <c r="R161" s="57">
        <f t="shared" si="32"/>
        <v>1.2285</v>
      </c>
      <c r="S161" s="57">
        <f t="shared" si="32"/>
        <v>1.3475</v>
      </c>
      <c r="T161" s="57">
        <f t="shared" si="32"/>
        <v>1.4076</v>
      </c>
      <c r="U161" s="57">
        <f>ROUND((+U144+U146)/U28,4)</f>
        <v>0.1672</v>
      </c>
      <c r="V161" s="57">
        <f>ROUND((+V144+V146)/V28,4)</f>
        <v>1.1577</v>
      </c>
      <c r="W161" s="33"/>
      <c r="X161" s="2"/>
      <c r="Y161" s="2"/>
      <c r="Z161" s="2"/>
      <c r="AA161" s="2"/>
      <c r="AB161" s="2"/>
      <c r="AC161" s="2"/>
    </row>
    <row r="162" spans="1:29" ht="13.5">
      <c r="A162" s="19"/>
      <c r="B162" s="2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2"/>
      <c r="Y162" s="2"/>
      <c r="Z162" s="2"/>
      <c r="AA162" s="2"/>
      <c r="AB162" s="2"/>
      <c r="AC162" s="2"/>
    </row>
    <row r="163" spans="1:29" ht="13.5">
      <c r="A163" s="14">
        <f>+A161+1</f>
        <v>48</v>
      </c>
      <c r="B163" s="4" t="s">
        <v>492</v>
      </c>
      <c r="C163" s="58">
        <f aca="true" t="shared" si="33" ref="C163:H163">ROUND(+C152/C38,4)</f>
        <v>0.1175</v>
      </c>
      <c r="D163" s="58">
        <f>IF(D38=0,0,ROUND(+D152/D38,4))</f>
        <v>0</v>
      </c>
      <c r="E163" s="58">
        <f>IF(E38=0,0,ROUND(+E152/E38,4))</f>
        <v>0</v>
      </c>
      <c r="F163" s="58">
        <f t="shared" si="33"/>
        <v>2.3649</v>
      </c>
      <c r="G163" s="58">
        <f t="shared" si="33"/>
        <v>1.5356</v>
      </c>
      <c r="H163" s="58">
        <f t="shared" si="33"/>
        <v>2.4582</v>
      </c>
      <c r="I163" s="58">
        <f aca="true" t="shared" si="34" ref="I163:T163">ROUND(+I152/I38,4)</f>
        <v>2.6606</v>
      </c>
      <c r="J163" s="58">
        <f t="shared" si="34"/>
        <v>0.7058</v>
      </c>
      <c r="K163" s="58">
        <f t="shared" si="34"/>
        <v>1.8852</v>
      </c>
      <c r="L163" s="58">
        <f t="shared" si="34"/>
        <v>1.1338</v>
      </c>
      <c r="M163" s="58">
        <f t="shared" si="34"/>
        <v>0.8591</v>
      </c>
      <c r="N163" s="58">
        <f t="shared" si="34"/>
        <v>1.0588</v>
      </c>
      <c r="O163" s="58">
        <f t="shared" si="34"/>
        <v>0.9487</v>
      </c>
      <c r="P163" s="58">
        <f t="shared" si="34"/>
        <v>0.7682</v>
      </c>
      <c r="Q163" s="58">
        <f t="shared" si="34"/>
        <v>0.6295</v>
      </c>
      <c r="R163" s="58">
        <f t="shared" si="34"/>
        <v>1.3733</v>
      </c>
      <c r="S163" s="58">
        <f t="shared" si="34"/>
        <v>0.7516</v>
      </c>
      <c r="T163" s="58">
        <f t="shared" si="34"/>
        <v>1.4076</v>
      </c>
      <c r="U163" s="58">
        <f>ROUND(+U152/U38,4)</f>
        <v>0.876</v>
      </c>
      <c r="V163" s="58">
        <f>ROUND(+V152/V38,4)</f>
        <v>0.9753</v>
      </c>
      <c r="W163" s="33"/>
      <c r="X163" s="2"/>
      <c r="Y163" s="2"/>
      <c r="Z163" s="2"/>
      <c r="AA163" s="2"/>
      <c r="AB163" s="2"/>
      <c r="AC163" s="2"/>
    </row>
    <row r="164" spans="1:29" ht="13.5">
      <c r="A164" s="2"/>
      <c r="B164" s="2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2"/>
      <c r="Y164" s="37">
        <f>+V159+S189</f>
        <v>26487603.596457787</v>
      </c>
      <c r="Z164" s="2" t="s">
        <v>481</v>
      </c>
      <c r="AA164" s="2"/>
      <c r="AB164" s="2"/>
      <c r="AC164" s="2"/>
    </row>
    <row r="165" spans="1:29" ht="14.25" thickBot="1">
      <c r="A165" s="9"/>
      <c r="B165" s="1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W165" s="33"/>
      <c r="X165" s="2"/>
      <c r="Y165" s="13">
        <f>+'[6]SCLG5'!$S$28</f>
        <v>26488091</v>
      </c>
      <c r="Z165" s="2" t="s">
        <v>483</v>
      </c>
      <c r="AA165" s="2"/>
      <c r="AB165" s="2"/>
      <c r="AC165" s="2"/>
    </row>
    <row r="166" spans="1:29" ht="14.25" thickBot="1">
      <c r="A166" s="9"/>
      <c r="B166" s="1"/>
      <c r="C166" s="33"/>
      <c r="D166" s="33"/>
      <c r="E166" s="33"/>
      <c r="F166" s="33"/>
      <c r="G166" s="33"/>
      <c r="H166" s="33"/>
      <c r="I166" s="33"/>
      <c r="J166" s="33"/>
      <c r="K166" s="116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2"/>
      <c r="Y166" s="149">
        <f>+Y164-Y165</f>
        <v>-487.4035422131419</v>
      </c>
      <c r="Z166" s="2" t="s">
        <v>482</v>
      </c>
      <c r="AA166" s="2"/>
      <c r="AB166" s="2"/>
      <c r="AC166" s="2"/>
    </row>
    <row r="167" spans="1:29" ht="13.5">
      <c r="A167" s="9"/>
      <c r="B167" s="152" t="s">
        <v>495</v>
      </c>
      <c r="C167" s="34"/>
      <c r="D167" s="34"/>
      <c r="E167" s="34"/>
      <c r="F167" s="34"/>
      <c r="G167" s="34"/>
      <c r="H167" s="34"/>
      <c r="I167" s="34"/>
      <c r="J167" s="33"/>
      <c r="K167" s="116"/>
      <c r="L167" s="33"/>
      <c r="M167" s="33"/>
      <c r="N167" s="34"/>
      <c r="O167" s="33"/>
      <c r="P167" s="33"/>
      <c r="Q167" s="33"/>
      <c r="R167" s="33"/>
      <c r="S167" s="33"/>
      <c r="T167" s="33"/>
      <c r="U167" s="33"/>
      <c r="V167" s="33"/>
      <c r="W167" s="33"/>
      <c r="X167" s="2"/>
      <c r="Y167" s="2"/>
      <c r="Z167" s="2"/>
      <c r="AA167" s="2"/>
      <c r="AB167" s="2"/>
      <c r="AC167" s="2"/>
    </row>
    <row r="168" spans="1:29" ht="13.5">
      <c r="A168" s="23"/>
      <c r="B168" s="4"/>
      <c r="C168" s="33"/>
      <c r="D168" s="33"/>
      <c r="E168" s="33"/>
      <c r="F168" s="33"/>
      <c r="G168" s="33"/>
      <c r="H168" s="33"/>
      <c r="I168" s="33"/>
      <c r="J168" s="33"/>
      <c r="K168" s="116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2"/>
      <c r="Y168" s="2"/>
      <c r="Z168" s="2"/>
      <c r="AA168" s="2"/>
      <c r="AB168" s="2"/>
      <c r="AC168" s="2"/>
    </row>
    <row r="169" spans="1:29" ht="13.5">
      <c r="A169" s="23"/>
      <c r="B169" s="4"/>
      <c r="C169" s="33"/>
      <c r="D169" s="33"/>
      <c r="E169" s="33"/>
      <c r="F169" s="33"/>
      <c r="G169" s="33"/>
      <c r="H169" s="33"/>
      <c r="I169" s="33"/>
      <c r="J169" s="33"/>
      <c r="K169" s="116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2"/>
      <c r="Y169" s="2"/>
      <c r="Z169" s="2"/>
      <c r="AA169" s="2"/>
      <c r="AB169" s="2"/>
      <c r="AC169" s="2"/>
    </row>
    <row r="170" spans="1:29" ht="13.5">
      <c r="A170" s="22"/>
      <c r="B170" s="4"/>
      <c r="C170" s="33"/>
      <c r="D170" s="33"/>
      <c r="E170" s="33"/>
      <c r="F170" s="33"/>
      <c r="G170" s="33"/>
      <c r="H170" s="33"/>
      <c r="I170" s="33"/>
      <c r="J170" s="33"/>
      <c r="K170" s="116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2"/>
      <c r="Y170" s="2"/>
      <c r="Z170" s="2"/>
      <c r="AA170" s="2"/>
      <c r="AB170" s="2"/>
      <c r="AC170" s="2"/>
    </row>
    <row r="171" spans="1:29" ht="13.5">
      <c r="A171" s="2"/>
      <c r="B171" s="2"/>
      <c r="C171" s="34"/>
      <c r="D171" s="34"/>
      <c r="E171" s="34"/>
      <c r="F171" s="34"/>
      <c r="G171" s="161" t="s">
        <v>502</v>
      </c>
      <c r="H171" s="161"/>
      <c r="I171" s="162"/>
      <c r="J171" s="161"/>
      <c r="K171" s="116"/>
      <c r="L171" s="161" t="s">
        <v>503</v>
      </c>
      <c r="M171" s="162"/>
      <c r="N171" s="161"/>
      <c r="O171" s="34"/>
      <c r="P171" s="34"/>
      <c r="Q171" s="33"/>
      <c r="R171" s="44" t="s">
        <v>29</v>
      </c>
      <c r="S171" s="44"/>
      <c r="T171" s="33"/>
      <c r="U171" s="33"/>
      <c r="V171" s="33"/>
      <c r="W171" s="33"/>
      <c r="X171" s="2"/>
      <c r="Y171" s="2"/>
      <c r="Z171" s="2"/>
      <c r="AA171" s="2"/>
      <c r="AB171" s="2"/>
      <c r="AC171" s="2"/>
    </row>
    <row r="172" spans="1:29" ht="13.5">
      <c r="A172" s="2"/>
      <c r="B172" s="2"/>
      <c r="C172" s="34"/>
      <c r="D172" s="34"/>
      <c r="E172" s="34"/>
      <c r="F172" s="34"/>
      <c r="G172" s="49"/>
      <c r="H172" s="49"/>
      <c r="I172" s="35"/>
      <c r="J172" s="49"/>
      <c r="K172" s="34"/>
      <c r="L172" s="49"/>
      <c r="M172" s="35"/>
      <c r="N172" s="35"/>
      <c r="O172" s="111"/>
      <c r="P172" s="34"/>
      <c r="Q172" s="49"/>
      <c r="R172" s="35"/>
      <c r="S172" s="49"/>
      <c r="T172" s="34"/>
      <c r="U172" s="34"/>
      <c r="V172" s="33"/>
      <c r="W172" s="33"/>
      <c r="X172" s="2"/>
      <c r="Y172" s="2"/>
      <c r="Z172" s="2"/>
      <c r="AA172" s="2"/>
      <c r="AB172" s="2"/>
      <c r="AC172" s="2"/>
    </row>
    <row r="173" spans="1:29" ht="13.5">
      <c r="A173" s="18"/>
      <c r="B173" s="1" t="s">
        <v>493</v>
      </c>
      <c r="C173" s="34"/>
      <c r="D173" s="34"/>
      <c r="E173" s="34"/>
      <c r="F173" s="34"/>
      <c r="G173" s="44" t="s">
        <v>30</v>
      </c>
      <c r="H173" s="44"/>
      <c r="I173" s="44" t="s">
        <v>31</v>
      </c>
      <c r="J173" s="44" t="s">
        <v>20</v>
      </c>
      <c r="K173" s="34"/>
      <c r="L173" s="44" t="s">
        <v>30</v>
      </c>
      <c r="M173" s="44" t="s">
        <v>31</v>
      </c>
      <c r="N173" s="44" t="s">
        <v>20</v>
      </c>
      <c r="O173" s="114"/>
      <c r="P173" s="34"/>
      <c r="Q173" s="44" t="s">
        <v>30</v>
      </c>
      <c r="R173" s="44" t="s">
        <v>31</v>
      </c>
      <c r="S173" s="44" t="s">
        <v>20</v>
      </c>
      <c r="T173" s="34"/>
      <c r="U173" s="34"/>
      <c r="V173" s="33"/>
      <c r="W173" s="33"/>
      <c r="X173" s="2"/>
      <c r="Y173" s="2"/>
      <c r="Z173" s="2"/>
      <c r="AA173" s="2"/>
      <c r="AB173" s="2"/>
      <c r="AC173" s="2"/>
    </row>
    <row r="174" spans="1:29" ht="13.5">
      <c r="A174" s="2"/>
      <c r="B174" s="3"/>
      <c r="C174" s="34"/>
      <c r="D174" s="34"/>
      <c r="E174" s="34"/>
      <c r="F174" s="34"/>
      <c r="G174" s="35"/>
      <c r="H174" s="35"/>
      <c r="I174" s="35"/>
      <c r="J174" s="35"/>
      <c r="K174" s="34"/>
      <c r="L174" s="35"/>
      <c r="M174" s="35"/>
      <c r="N174" s="35"/>
      <c r="O174" s="47"/>
      <c r="P174" s="34"/>
      <c r="Q174" s="35"/>
      <c r="R174" s="35"/>
      <c r="S174" s="35"/>
      <c r="T174" s="34"/>
      <c r="U174" s="34"/>
      <c r="V174" s="33"/>
      <c r="W174" s="33"/>
      <c r="X174" s="2"/>
      <c r="Y174" s="2"/>
      <c r="Z174" s="2"/>
      <c r="AA174" s="2"/>
      <c r="AB174" s="2"/>
      <c r="AC174" s="2"/>
    </row>
    <row r="175" spans="1:29" ht="13.5">
      <c r="A175" s="15">
        <f>+A163+1</f>
        <v>49</v>
      </c>
      <c r="B175" s="20" t="s">
        <v>34</v>
      </c>
      <c r="C175" s="34"/>
      <c r="D175" s="34"/>
      <c r="E175" s="34"/>
      <c r="F175" s="34"/>
      <c r="G175" s="32">
        <f aca="true" t="shared" si="35" ref="G175:G180">+J175/I175</f>
        <v>36708.6</v>
      </c>
      <c r="H175" s="32"/>
      <c r="I175" s="59">
        <v>35</v>
      </c>
      <c r="J175" s="79">
        <v>1284801</v>
      </c>
      <c r="K175" s="116"/>
      <c r="L175" s="32">
        <f aca="true" t="shared" si="36" ref="L175:L180">+G175</f>
        <v>36708.6</v>
      </c>
      <c r="M175" s="131">
        <v>50</v>
      </c>
      <c r="N175" s="36">
        <f aca="true" t="shared" si="37" ref="N175:N180">+M175*L175</f>
        <v>1835430</v>
      </c>
      <c r="O175" s="128"/>
      <c r="P175" s="34"/>
      <c r="Q175" s="32">
        <f aca="true" t="shared" si="38" ref="Q175:Q188">+L175-G175</f>
        <v>0</v>
      </c>
      <c r="R175" s="59">
        <f aca="true" t="shared" si="39" ref="R175:R185">+M175-I175</f>
        <v>15</v>
      </c>
      <c r="S175" s="36">
        <f aca="true" t="shared" si="40" ref="S175:S185">+N175-J175</f>
        <v>550629</v>
      </c>
      <c r="T175" s="34"/>
      <c r="U175" s="34"/>
      <c r="V175" s="33"/>
      <c r="W175" s="33"/>
      <c r="X175" s="2"/>
      <c r="Y175" s="2"/>
      <c r="Z175" s="2"/>
      <c r="AA175" s="2"/>
      <c r="AB175" s="2"/>
      <c r="AC175" s="2"/>
    </row>
    <row r="176" spans="1:29" ht="13.5">
      <c r="A176" s="15">
        <f>+A175+1</f>
        <v>50</v>
      </c>
      <c r="B176" s="20" t="s">
        <v>35</v>
      </c>
      <c r="C176" s="34"/>
      <c r="D176" s="34"/>
      <c r="E176" s="34"/>
      <c r="F176" s="34"/>
      <c r="G176" s="32">
        <f>+J176/I176</f>
        <v>2438.48</v>
      </c>
      <c r="H176" s="32"/>
      <c r="I176" s="59">
        <v>75</v>
      </c>
      <c r="J176" s="79">
        <v>182886</v>
      </c>
      <c r="K176" s="116"/>
      <c r="L176" s="32">
        <f t="shared" si="36"/>
        <v>2438.48</v>
      </c>
      <c r="M176" s="131">
        <v>65</v>
      </c>
      <c r="N176" s="36">
        <f t="shared" si="37"/>
        <v>158501.2</v>
      </c>
      <c r="O176" s="128"/>
      <c r="P176" s="34"/>
      <c r="Q176" s="32">
        <f t="shared" si="38"/>
        <v>0</v>
      </c>
      <c r="R176" s="59">
        <f t="shared" si="39"/>
        <v>-10</v>
      </c>
      <c r="S176" s="36">
        <f t="shared" si="40"/>
        <v>-24384.79999999999</v>
      </c>
      <c r="T176" s="34"/>
      <c r="U176" s="34"/>
      <c r="V176" s="33"/>
      <c r="W176" s="33"/>
      <c r="X176" s="2"/>
      <c r="Y176" s="2"/>
      <c r="Z176" s="2"/>
      <c r="AA176" s="2"/>
      <c r="AB176" s="2"/>
      <c r="AC176" s="2"/>
    </row>
    <row r="177" spans="1:29" ht="13.5">
      <c r="A177" s="15">
        <f aca="true" t="shared" si="41" ref="A177:A189">+A176+1</f>
        <v>51</v>
      </c>
      <c r="B177" s="20" t="s">
        <v>36</v>
      </c>
      <c r="C177" s="34"/>
      <c r="D177" s="34"/>
      <c r="E177" s="34"/>
      <c r="F177" s="34"/>
      <c r="G177" s="32">
        <f t="shared" si="35"/>
        <v>17666.54707922975</v>
      </c>
      <c r="H177" s="133"/>
      <c r="I177" s="59">
        <v>60</v>
      </c>
      <c r="J177" s="79">
        <v>1059992.824753785</v>
      </c>
      <c r="K177" s="116"/>
      <c r="L177" s="32">
        <f t="shared" si="36"/>
        <v>17666.54707922975</v>
      </c>
      <c r="M177" s="131">
        <v>70</v>
      </c>
      <c r="N177" s="36">
        <f t="shared" si="37"/>
        <v>1236658.2955460825</v>
      </c>
      <c r="O177" s="128"/>
      <c r="P177" s="34"/>
      <c r="Q177" s="32">
        <f t="shared" si="38"/>
        <v>0</v>
      </c>
      <c r="R177" s="59">
        <f t="shared" si="39"/>
        <v>10</v>
      </c>
      <c r="S177" s="36">
        <f t="shared" si="40"/>
        <v>176665.4707922975</v>
      </c>
      <c r="T177" s="34"/>
      <c r="U177" s="34"/>
      <c r="V177" s="33"/>
      <c r="W177" s="33"/>
      <c r="X177" s="2"/>
      <c r="Y177" s="2"/>
      <c r="Z177" s="2"/>
      <c r="AA177" s="2"/>
      <c r="AB177" s="2"/>
      <c r="AC177" s="2"/>
    </row>
    <row r="178" spans="1:29" ht="13.5">
      <c r="A178" s="15">
        <f t="shared" si="41"/>
        <v>52</v>
      </c>
      <c r="B178" s="20" t="s">
        <v>37</v>
      </c>
      <c r="C178" s="34"/>
      <c r="D178" s="34"/>
      <c r="E178" s="34"/>
      <c r="F178" s="34"/>
      <c r="G178" s="32">
        <f t="shared" si="35"/>
        <v>991.2417903865941</v>
      </c>
      <c r="H178" s="133"/>
      <c r="I178" s="59">
        <v>100</v>
      </c>
      <c r="J178" s="79">
        <v>99124.17903865941</v>
      </c>
      <c r="K178" s="116"/>
      <c r="L178" s="32">
        <f t="shared" si="36"/>
        <v>991.2417903865941</v>
      </c>
      <c r="M178" s="131">
        <v>90</v>
      </c>
      <c r="N178" s="36">
        <f t="shared" si="37"/>
        <v>89211.76113479347</v>
      </c>
      <c r="O178" s="128"/>
      <c r="P178" s="34"/>
      <c r="Q178" s="32">
        <f t="shared" si="38"/>
        <v>0</v>
      </c>
      <c r="R178" s="59">
        <f t="shared" si="39"/>
        <v>-10</v>
      </c>
      <c r="S178" s="36">
        <f t="shared" si="40"/>
        <v>-9912.417903865935</v>
      </c>
      <c r="T178" s="34"/>
      <c r="U178" s="34"/>
      <c r="V178" s="33"/>
      <c r="W178" s="33"/>
      <c r="X178" s="2"/>
      <c r="Y178" s="2"/>
      <c r="Z178" s="2"/>
      <c r="AA178" s="2"/>
      <c r="AB178" s="2"/>
      <c r="AC178" s="2"/>
    </row>
    <row r="179" spans="1:29" ht="13.5">
      <c r="A179" s="15">
        <f t="shared" si="41"/>
        <v>53</v>
      </c>
      <c r="B179" s="21" t="s">
        <v>38</v>
      </c>
      <c r="C179" s="34"/>
      <c r="D179" s="34"/>
      <c r="E179" s="34"/>
      <c r="F179" s="34"/>
      <c r="G179" s="32">
        <f t="shared" si="35"/>
        <v>69278.44981037777</v>
      </c>
      <c r="H179" s="134"/>
      <c r="I179" s="59">
        <v>20</v>
      </c>
      <c r="J179" s="79">
        <v>1385568.9962075555</v>
      </c>
      <c r="K179" s="116"/>
      <c r="L179" s="32">
        <f t="shared" si="36"/>
        <v>69278.44981037777</v>
      </c>
      <c r="M179" s="131">
        <v>20</v>
      </c>
      <c r="N179" s="36">
        <f t="shared" si="37"/>
        <v>1385568.9962075555</v>
      </c>
      <c r="O179" s="128"/>
      <c r="P179" s="34"/>
      <c r="Q179" s="32">
        <f t="shared" si="38"/>
        <v>0</v>
      </c>
      <c r="R179" s="59">
        <f t="shared" si="39"/>
        <v>0</v>
      </c>
      <c r="S179" s="36">
        <f t="shared" si="40"/>
        <v>0</v>
      </c>
      <c r="T179" s="34"/>
      <c r="U179" s="34"/>
      <c r="V179" s="33"/>
      <c r="W179" s="33"/>
      <c r="X179" s="2"/>
      <c r="Y179" s="2"/>
      <c r="Z179" s="2"/>
      <c r="AA179" s="2"/>
      <c r="AB179" s="2"/>
      <c r="AC179" s="2"/>
    </row>
    <row r="180" spans="1:29" ht="13.5">
      <c r="A180" s="15">
        <f t="shared" si="41"/>
        <v>54</v>
      </c>
      <c r="B180" s="21" t="s">
        <v>32</v>
      </c>
      <c r="C180" s="34"/>
      <c r="D180" s="34"/>
      <c r="E180" s="34"/>
      <c r="F180" s="34"/>
      <c r="G180" s="32">
        <f t="shared" si="35"/>
        <v>21822.6</v>
      </c>
      <c r="H180" s="32"/>
      <c r="I180" s="59">
        <v>20</v>
      </c>
      <c r="J180" s="79">
        <v>436452</v>
      </c>
      <c r="K180" s="116"/>
      <c r="L180" s="32">
        <f t="shared" si="36"/>
        <v>21822.6</v>
      </c>
      <c r="M180" s="131">
        <v>28</v>
      </c>
      <c r="N180" s="36">
        <f t="shared" si="37"/>
        <v>611032.7999999999</v>
      </c>
      <c r="O180" s="128"/>
      <c r="P180" s="34"/>
      <c r="Q180" s="32">
        <f t="shared" si="38"/>
        <v>0</v>
      </c>
      <c r="R180" s="59">
        <f t="shared" si="39"/>
        <v>8</v>
      </c>
      <c r="S180" s="36">
        <f t="shared" si="40"/>
        <v>174580.79999999993</v>
      </c>
      <c r="T180" s="34"/>
      <c r="U180" s="34"/>
      <c r="V180" s="33"/>
      <c r="W180" s="33"/>
      <c r="X180" s="2"/>
      <c r="Y180" s="2"/>
      <c r="Z180" s="2"/>
      <c r="AA180" s="2"/>
      <c r="AB180" s="2"/>
      <c r="AC180" s="2"/>
    </row>
    <row r="181" spans="1:29" ht="13.5">
      <c r="A181" s="15">
        <f t="shared" si="41"/>
        <v>55</v>
      </c>
      <c r="B181" s="21" t="s">
        <v>39</v>
      </c>
      <c r="C181" s="34"/>
      <c r="D181" s="34"/>
      <c r="E181" s="34"/>
      <c r="F181" s="34"/>
      <c r="G181" s="32">
        <v>0</v>
      </c>
      <c r="H181" s="32"/>
      <c r="I181" s="60" t="s">
        <v>80</v>
      </c>
      <c r="J181" s="79">
        <v>91903</v>
      </c>
      <c r="K181" s="34"/>
      <c r="L181" s="32">
        <v>0</v>
      </c>
      <c r="M181" s="60" t="s">
        <v>80</v>
      </c>
      <c r="N181" s="79">
        <f>+'Plan 2009 New'!D182</f>
        <v>91903.39999999982</v>
      </c>
      <c r="O181" s="128"/>
      <c r="P181" s="34"/>
      <c r="Q181" s="32">
        <f t="shared" si="38"/>
        <v>0</v>
      </c>
      <c r="R181" s="59">
        <f t="shared" si="39"/>
        <v>0</v>
      </c>
      <c r="S181" s="36">
        <f t="shared" si="40"/>
        <v>0.39999999981955625</v>
      </c>
      <c r="T181" s="34"/>
      <c r="U181" s="34"/>
      <c r="V181" s="33"/>
      <c r="W181" s="33"/>
      <c r="X181" s="2"/>
      <c r="Y181" s="2"/>
      <c r="Z181" s="2"/>
      <c r="AA181" s="2"/>
      <c r="AB181" s="2"/>
      <c r="AC181" s="2"/>
    </row>
    <row r="182" spans="1:29" ht="13.5">
      <c r="A182" s="15">
        <f t="shared" si="41"/>
        <v>56</v>
      </c>
      <c r="B182" s="31" t="s">
        <v>76</v>
      </c>
      <c r="C182" s="34"/>
      <c r="D182" s="34"/>
      <c r="E182" s="34"/>
      <c r="F182" s="34"/>
      <c r="G182" s="78">
        <f>+J182/I182</f>
        <v>3527.7777777777646</v>
      </c>
      <c r="H182" s="32"/>
      <c r="I182" s="59">
        <v>144</v>
      </c>
      <c r="J182" s="79">
        <f>+'Plan 2009'!D149</f>
        <v>507999.9999999981</v>
      </c>
      <c r="K182" s="34"/>
      <c r="L182" s="32">
        <f>+N182/M182</f>
        <v>3527.7777777777646</v>
      </c>
      <c r="M182" s="59">
        <v>144</v>
      </c>
      <c r="N182" s="36">
        <f>+'Plan 2009 New'!D187</f>
        <v>507999.9999999981</v>
      </c>
      <c r="O182" s="128"/>
      <c r="P182" s="34"/>
      <c r="Q182" s="32">
        <f t="shared" si="38"/>
        <v>0</v>
      </c>
      <c r="R182" s="59">
        <f t="shared" si="39"/>
        <v>0</v>
      </c>
      <c r="S182" s="36">
        <f t="shared" si="40"/>
        <v>0</v>
      </c>
      <c r="T182" s="34"/>
      <c r="U182" s="34"/>
      <c r="V182" s="33"/>
      <c r="W182" s="33"/>
      <c r="X182" s="2"/>
      <c r="Y182" s="2"/>
      <c r="Z182" s="2"/>
      <c r="AA182" s="2"/>
      <c r="AB182" s="2"/>
      <c r="AC182" s="2"/>
    </row>
    <row r="183" spans="1:29" ht="13.5">
      <c r="A183" s="15">
        <f t="shared" si="41"/>
        <v>57</v>
      </c>
      <c r="B183" s="31" t="s">
        <v>77</v>
      </c>
      <c r="C183" s="34"/>
      <c r="D183" s="34"/>
      <c r="E183" s="34"/>
      <c r="F183" s="34"/>
      <c r="G183" s="32"/>
      <c r="H183" s="32"/>
      <c r="I183" s="60" t="s">
        <v>85</v>
      </c>
      <c r="J183" s="79">
        <f>+'Plan 2009'!D153+'Plan 2009'!D152</f>
        <v>176355.99999999924</v>
      </c>
      <c r="K183" s="34"/>
      <c r="L183" s="32"/>
      <c r="M183" s="60" t="s">
        <v>85</v>
      </c>
      <c r="N183" s="79">
        <f>+'Plan 2009 New'!D190</f>
        <v>174093.99999999924</v>
      </c>
      <c r="O183" s="128"/>
      <c r="P183" s="34"/>
      <c r="Q183" s="32">
        <f t="shared" si="38"/>
        <v>0</v>
      </c>
      <c r="R183" s="59">
        <f t="shared" si="39"/>
        <v>0</v>
      </c>
      <c r="S183" s="36">
        <f t="shared" si="40"/>
        <v>-2262</v>
      </c>
      <c r="T183" s="34"/>
      <c r="U183" s="34"/>
      <c r="V183" s="33"/>
      <c r="W183" s="33"/>
      <c r="X183" s="2"/>
      <c r="Y183" s="2"/>
      <c r="Z183" s="2"/>
      <c r="AA183" s="2"/>
      <c r="AB183" s="2"/>
      <c r="AC183" s="2"/>
    </row>
    <row r="184" spans="1:29" ht="13.5">
      <c r="A184" s="15">
        <f t="shared" si="41"/>
        <v>58</v>
      </c>
      <c r="B184" s="31" t="s">
        <v>78</v>
      </c>
      <c r="C184" s="34"/>
      <c r="D184" s="34"/>
      <c r="E184" s="34"/>
      <c r="F184" s="34"/>
      <c r="G184" s="32"/>
      <c r="H184" s="32"/>
      <c r="I184" s="60" t="s">
        <v>81</v>
      </c>
      <c r="J184" s="79">
        <f>+'Plan 2009'!D139</f>
        <v>862216.8</v>
      </c>
      <c r="K184" s="34"/>
      <c r="L184" s="32"/>
      <c r="M184" s="60" t="s">
        <v>81</v>
      </c>
      <c r="N184" s="79">
        <f>+'Plan 2009 New'!D177</f>
        <v>862216.8</v>
      </c>
      <c r="O184" s="128"/>
      <c r="P184" s="34"/>
      <c r="Q184" s="32">
        <f t="shared" si="38"/>
        <v>0</v>
      </c>
      <c r="R184" s="59">
        <f t="shared" si="39"/>
        <v>0</v>
      </c>
      <c r="S184" s="36">
        <f t="shared" si="40"/>
        <v>0</v>
      </c>
      <c r="T184" s="34"/>
      <c r="U184" s="34"/>
      <c r="V184" s="33"/>
      <c r="W184" s="33"/>
      <c r="X184" s="2"/>
      <c r="Y184" s="2"/>
      <c r="Z184" s="2"/>
      <c r="AA184" s="2"/>
      <c r="AB184" s="2"/>
      <c r="AC184" s="2"/>
    </row>
    <row r="185" spans="1:29" ht="13.5">
      <c r="A185" s="15">
        <f t="shared" si="41"/>
        <v>59</v>
      </c>
      <c r="B185" s="31" t="s">
        <v>79</v>
      </c>
      <c r="C185" s="34"/>
      <c r="D185" s="34"/>
      <c r="E185" s="34"/>
      <c r="F185" s="34"/>
      <c r="G185" s="32"/>
      <c r="H185" s="32"/>
      <c r="I185" s="60" t="s">
        <v>81</v>
      </c>
      <c r="J185" s="79">
        <f>+'Plan 2009'!D154</f>
        <v>367614.12</v>
      </c>
      <c r="K185" s="34"/>
      <c r="L185" s="32"/>
      <c r="M185" s="60" t="s">
        <v>81</v>
      </c>
      <c r="N185" s="79">
        <f>+'Plan 2009 New'!D191</f>
        <v>367614.12</v>
      </c>
      <c r="O185" s="128"/>
      <c r="P185" s="34"/>
      <c r="Q185" s="32">
        <f t="shared" si="38"/>
        <v>0</v>
      </c>
      <c r="R185" s="59">
        <f t="shared" si="39"/>
        <v>0</v>
      </c>
      <c r="S185" s="36">
        <f t="shared" si="40"/>
        <v>0</v>
      </c>
      <c r="T185" s="34"/>
      <c r="U185" s="34"/>
      <c r="V185" s="33"/>
      <c r="W185" s="33"/>
      <c r="X185" s="2"/>
      <c r="Y185" s="2"/>
      <c r="Z185" s="2"/>
      <c r="AA185" s="2"/>
      <c r="AB185" s="2"/>
      <c r="AC185" s="2"/>
    </row>
    <row r="186" spans="1:29" ht="13.5">
      <c r="A186" s="15">
        <f t="shared" si="41"/>
        <v>60</v>
      </c>
      <c r="B186" s="31" t="s">
        <v>82</v>
      </c>
      <c r="C186" s="34"/>
      <c r="D186" s="34"/>
      <c r="E186" s="34"/>
      <c r="F186" s="34"/>
      <c r="G186" s="32">
        <f>+J186/I186</f>
        <v>2630.2</v>
      </c>
      <c r="H186" s="32"/>
      <c r="I186" s="59">
        <v>25</v>
      </c>
      <c r="J186" s="79">
        <v>65755</v>
      </c>
      <c r="K186" s="34"/>
      <c r="L186" s="32">
        <f>+G186</f>
        <v>2630.2</v>
      </c>
      <c r="M186" s="131">
        <v>20</v>
      </c>
      <c r="N186" s="36">
        <f>+M186*L186</f>
        <v>52604</v>
      </c>
      <c r="O186" s="128"/>
      <c r="P186" s="34"/>
      <c r="Q186" s="32">
        <f t="shared" si="38"/>
        <v>0</v>
      </c>
      <c r="R186" s="59"/>
      <c r="S186" s="36">
        <f>+N186-J186</f>
        <v>-13151</v>
      </c>
      <c r="T186" s="34"/>
      <c r="U186" s="34"/>
      <c r="V186" s="33"/>
      <c r="W186" s="33"/>
      <c r="X186" s="2"/>
      <c r="Y186" s="2"/>
      <c r="Z186" s="2"/>
      <c r="AA186" s="2"/>
      <c r="AB186" s="2"/>
      <c r="AC186" s="2"/>
    </row>
    <row r="187" spans="1:29" ht="13.5">
      <c r="A187" s="15">
        <f t="shared" si="41"/>
        <v>61</v>
      </c>
      <c r="B187" s="31" t="s">
        <v>83</v>
      </c>
      <c r="C187" s="34"/>
      <c r="D187" s="34"/>
      <c r="E187" s="34"/>
      <c r="F187" s="34"/>
      <c r="G187" s="78">
        <f>+J187/I187</f>
        <v>4935.2</v>
      </c>
      <c r="H187" s="34"/>
      <c r="I187" s="59">
        <v>15</v>
      </c>
      <c r="J187" s="79">
        <v>74028</v>
      </c>
      <c r="K187" s="34"/>
      <c r="L187" s="32">
        <f>+G187</f>
        <v>4935.2</v>
      </c>
      <c r="M187" s="131">
        <v>25</v>
      </c>
      <c r="N187" s="36">
        <f>+M187*L187</f>
        <v>123380</v>
      </c>
      <c r="O187" s="128"/>
      <c r="P187" s="34"/>
      <c r="Q187" s="32">
        <f t="shared" si="38"/>
        <v>0</v>
      </c>
      <c r="R187" s="34"/>
      <c r="S187" s="36">
        <f>+N187-J187</f>
        <v>49352</v>
      </c>
      <c r="T187" s="34"/>
      <c r="U187" s="34"/>
      <c r="V187" s="34"/>
      <c r="W187" s="34"/>
      <c r="X187" s="2"/>
      <c r="Y187" s="2"/>
      <c r="Z187" s="2"/>
      <c r="AA187" s="2"/>
      <c r="AB187" s="2"/>
      <c r="AC187" s="2"/>
    </row>
    <row r="188" spans="1:29" ht="13.5">
      <c r="A188" s="15">
        <f t="shared" si="41"/>
        <v>62</v>
      </c>
      <c r="B188" s="31"/>
      <c r="C188" s="34"/>
      <c r="D188" s="34"/>
      <c r="E188" s="34"/>
      <c r="F188" s="34"/>
      <c r="G188" s="34"/>
      <c r="H188" s="34"/>
      <c r="I188" s="34"/>
      <c r="J188" s="79">
        <f>+'Plan 2009'!D147</f>
        <v>0</v>
      </c>
      <c r="K188" s="34"/>
      <c r="L188" s="78">
        <v>0</v>
      </c>
      <c r="M188" s="58"/>
      <c r="N188" s="58"/>
      <c r="O188" s="128"/>
      <c r="P188" s="34"/>
      <c r="Q188" s="32">
        <f t="shared" si="38"/>
        <v>0</v>
      </c>
      <c r="R188" s="34"/>
      <c r="S188" s="36">
        <f>+N188-J188</f>
        <v>0</v>
      </c>
      <c r="T188" s="34"/>
      <c r="U188" s="34"/>
      <c r="V188" s="34"/>
      <c r="W188" s="34"/>
      <c r="X188" s="2"/>
      <c r="Y188" s="2"/>
      <c r="Z188" s="2"/>
      <c r="AA188" s="2"/>
      <c r="AB188" s="2"/>
      <c r="AC188" s="2"/>
    </row>
    <row r="189" spans="1:29" ht="14.25" thickBot="1">
      <c r="A189" s="15">
        <f t="shared" si="41"/>
        <v>63</v>
      </c>
      <c r="B189" s="2" t="s">
        <v>4</v>
      </c>
      <c r="C189" s="34"/>
      <c r="D189" s="34"/>
      <c r="E189" s="34"/>
      <c r="F189" s="34"/>
      <c r="G189" s="64">
        <f>SUM(G175:G187)</f>
        <v>159999.0964577719</v>
      </c>
      <c r="H189" s="97"/>
      <c r="I189" s="33"/>
      <c r="J189" s="63">
        <f>SUM(J175:J188)</f>
        <v>6594697.919999997</v>
      </c>
      <c r="K189" s="34"/>
      <c r="L189" s="64">
        <f>SUM(L175:L188)</f>
        <v>159999.0964577719</v>
      </c>
      <c r="M189" s="33"/>
      <c r="N189" s="63">
        <f>SUM(N175:N188)</f>
        <v>7496215.372888428</v>
      </c>
      <c r="O189" s="129"/>
      <c r="P189" s="34"/>
      <c r="Q189" s="65">
        <f>SUM(Q175:Q188)</f>
        <v>0</v>
      </c>
      <c r="R189" s="33"/>
      <c r="S189" s="63">
        <f>SUM(S175:S188)</f>
        <v>901517.4528884313</v>
      </c>
      <c r="T189" s="34"/>
      <c r="U189" s="34"/>
      <c r="V189" s="33"/>
      <c r="W189" s="33"/>
      <c r="X189" s="2"/>
      <c r="Y189" s="2"/>
      <c r="Z189" s="2"/>
      <c r="AA189" s="2"/>
      <c r="AB189" s="2"/>
      <c r="AC189" s="2"/>
    </row>
    <row r="190" spans="1:29" ht="14.25" thickTop="1">
      <c r="A190" s="2"/>
      <c r="B190" s="2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130"/>
      <c r="P190" s="33"/>
      <c r="Q190" s="33"/>
      <c r="R190" s="33"/>
      <c r="S190" s="33"/>
      <c r="T190" s="33"/>
      <c r="U190" s="33"/>
      <c r="V190" s="33"/>
      <c r="W190" s="33"/>
      <c r="X190" s="2"/>
      <c r="Y190" s="2"/>
      <c r="Z190" s="2"/>
      <c r="AA190" s="2"/>
      <c r="AB190" s="2"/>
      <c r="AC190" s="2"/>
    </row>
    <row r="191" spans="1:29" ht="13.5">
      <c r="A191" s="3"/>
      <c r="B191" s="3"/>
      <c r="C191" s="35"/>
      <c r="D191" s="35"/>
      <c r="E191" s="35"/>
      <c r="F191" s="35"/>
      <c r="G191" s="35"/>
      <c r="H191" s="35"/>
      <c r="I191" s="35"/>
      <c r="J191" s="132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3"/>
      <c r="X191" s="2"/>
      <c r="Y191" s="2"/>
      <c r="Z191" s="2"/>
      <c r="AA191" s="2"/>
      <c r="AB191" s="2"/>
      <c r="AC191" s="2"/>
    </row>
    <row r="192" spans="1:29" ht="13.5">
      <c r="A192" s="1" t="s">
        <v>494</v>
      </c>
      <c r="B192" s="2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4"/>
      <c r="S192" s="43" t="s">
        <v>514</v>
      </c>
      <c r="T192" s="33"/>
      <c r="U192" s="33"/>
      <c r="V192" s="33"/>
      <c r="W192" s="33"/>
      <c r="X192" s="2"/>
      <c r="Y192" s="2"/>
      <c r="Z192" s="2"/>
      <c r="AA192" s="2"/>
      <c r="AB192" s="2"/>
      <c r="AC192" s="2"/>
    </row>
    <row r="193" spans="1:29" ht="13.5">
      <c r="A193" s="12"/>
      <c r="B193" s="12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33"/>
      <c r="X193" s="2"/>
      <c r="Y193" s="2"/>
      <c r="Z193" s="2"/>
      <c r="AA193" s="2"/>
      <c r="AB193" s="2"/>
      <c r="AC193" s="2"/>
    </row>
    <row r="194" spans="3:23" ht="12.75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</row>
    <row r="195" spans="3:23" ht="12.75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</row>
    <row r="196" spans="3:23" ht="12.75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</row>
    <row r="197" spans="3:23" ht="12.75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</row>
    <row r="198" spans="3:27" ht="13.5">
      <c r="C198" s="46"/>
      <c r="D198" s="46" t="str">
        <f aca="true" t="shared" si="42" ref="D198:I198">+D136</f>
        <v>New</v>
      </c>
      <c r="E198" s="46" t="str">
        <f t="shared" si="42"/>
        <v>New</v>
      </c>
      <c r="F198" s="46" t="str">
        <f t="shared" si="42"/>
        <v>Residential</v>
      </c>
      <c r="G198" s="46" t="str">
        <f t="shared" si="42"/>
        <v>Comm.</v>
      </c>
      <c r="H198" s="46" t="str">
        <f t="shared" si="42"/>
        <v>Commercial</v>
      </c>
      <c r="I198" s="46" t="str">
        <f t="shared" si="42"/>
        <v>Small</v>
      </c>
      <c r="J198" s="46"/>
      <c r="K198" s="46"/>
      <c r="L198" s="46"/>
      <c r="M198" s="46"/>
      <c r="N198" s="46"/>
      <c r="O198" s="46" t="str">
        <f>+O136</f>
        <v>Small</v>
      </c>
      <c r="P198" s="46"/>
      <c r="Q198" s="46" t="str">
        <f>+Q136</f>
        <v>Interr.</v>
      </c>
      <c r="R198" s="46"/>
      <c r="S198" s="46"/>
      <c r="T198" s="46"/>
      <c r="U198" s="46" t="str">
        <f>+U136</f>
        <v>Other Revenue / </v>
      </c>
      <c r="V198" s="46"/>
      <c r="W198" s="34"/>
      <c r="X198" s="34"/>
      <c r="Y198" s="34"/>
      <c r="Z198" s="34"/>
      <c r="AA198" s="34"/>
    </row>
    <row r="199" spans="3:27" ht="13.5">
      <c r="C199" s="46" t="str">
        <f>+C137</f>
        <v>Residential</v>
      </c>
      <c r="D199" s="46" t="str">
        <f aca="true" t="shared" si="43" ref="D199:U199">+D137</f>
        <v>Residential </v>
      </c>
      <c r="E199" s="46" t="str">
        <f t="shared" si="43"/>
        <v>Residential</v>
      </c>
      <c r="F199" s="46" t="str">
        <f t="shared" si="43"/>
        <v>Standby</v>
      </c>
      <c r="G199" s="46" t="str">
        <f t="shared" si="43"/>
        <v>Street</v>
      </c>
      <c r="H199" s="46" t="str">
        <f t="shared" si="43"/>
        <v>Standby</v>
      </c>
      <c r="I199" s="46" t="str">
        <f t="shared" si="43"/>
        <v>General</v>
      </c>
      <c r="J199" s="46" t="str">
        <f t="shared" si="43"/>
        <v>General</v>
      </c>
      <c r="K199" s="46" t="str">
        <f t="shared" si="43"/>
        <v>General</v>
      </c>
      <c r="L199" s="46" t="str">
        <f t="shared" si="43"/>
        <v>General</v>
      </c>
      <c r="M199" s="46" t="str">
        <f t="shared" si="43"/>
        <v>General</v>
      </c>
      <c r="N199" s="46" t="str">
        <f t="shared" si="43"/>
        <v>General</v>
      </c>
      <c r="O199" s="46" t="str">
        <f t="shared" si="43"/>
        <v>Inter.</v>
      </c>
      <c r="P199" s="46" t="str">
        <f t="shared" si="43"/>
        <v>Inter.</v>
      </c>
      <c r="Q199" s="46" t="str">
        <f t="shared" si="43"/>
        <v>Service</v>
      </c>
      <c r="R199" s="46" t="str">
        <f t="shared" si="43"/>
        <v>Vehicle</v>
      </c>
      <c r="S199" s="46" t="str">
        <f t="shared" si="43"/>
        <v>Wholesale</v>
      </c>
      <c r="T199" s="46" t="str">
        <f t="shared" si="43"/>
        <v>Special</v>
      </c>
      <c r="U199" s="46" t="str">
        <f t="shared" si="43"/>
        <v>Off System</v>
      </c>
      <c r="V199" s="46"/>
      <c r="W199" s="34"/>
      <c r="X199" s="34"/>
      <c r="Y199" s="34"/>
      <c r="Z199" s="34"/>
      <c r="AA199" s="34"/>
    </row>
    <row r="200" spans="3:27" ht="13.5">
      <c r="C200" s="154" t="str">
        <f>+C138</f>
        <v>1</v>
      </c>
      <c r="D200" s="154" t="str">
        <f aca="true" t="shared" si="44" ref="D200:V200">+D138</f>
        <v>2</v>
      </c>
      <c r="E200" s="154" t="str">
        <f t="shared" si="44"/>
        <v>3</v>
      </c>
      <c r="F200" s="154" t="str">
        <f t="shared" si="44"/>
        <v>Generators</v>
      </c>
      <c r="G200" s="154" t="str">
        <f t="shared" si="44"/>
        <v>Lighting</v>
      </c>
      <c r="H200" s="154" t="str">
        <f t="shared" si="44"/>
        <v>Generators</v>
      </c>
      <c r="I200" s="154" t="str">
        <f t="shared" si="44"/>
        <v>Service</v>
      </c>
      <c r="J200" s="154" t="str">
        <f t="shared" si="44"/>
        <v>Service 1</v>
      </c>
      <c r="K200" s="154" t="str">
        <f t="shared" si="44"/>
        <v>Service 2</v>
      </c>
      <c r="L200" s="154" t="str">
        <f t="shared" si="44"/>
        <v>Service 3</v>
      </c>
      <c r="M200" s="154" t="str">
        <f t="shared" si="44"/>
        <v>Service 4</v>
      </c>
      <c r="N200" s="154" t="str">
        <f t="shared" si="44"/>
        <v>Service 5</v>
      </c>
      <c r="O200" s="154" t="str">
        <f t="shared" si="44"/>
        <v>Service</v>
      </c>
      <c r="P200" s="154" t="str">
        <f t="shared" si="44"/>
        <v>Service</v>
      </c>
      <c r="Q200" s="154" t="str">
        <f t="shared" si="44"/>
        <v>Large Vol.</v>
      </c>
      <c r="R200" s="154" t="str">
        <f t="shared" si="44"/>
        <v>Gas Sales</v>
      </c>
      <c r="S200" s="154"/>
      <c r="T200" s="154" t="str">
        <f t="shared" si="44"/>
        <v>Contracts</v>
      </c>
      <c r="U200" s="154" t="str">
        <f t="shared" si="44"/>
        <v>Sales</v>
      </c>
      <c r="V200" s="154" t="str">
        <f t="shared" si="44"/>
        <v>TOTAL</v>
      </c>
      <c r="W200" s="34"/>
      <c r="X200" s="34"/>
      <c r="Y200" s="34"/>
      <c r="Z200" s="34"/>
      <c r="AA200" s="34"/>
    </row>
    <row r="201" spans="3:27" ht="14.25" thickBot="1">
      <c r="C201" s="33"/>
      <c r="D201" s="33"/>
      <c r="E201" s="33"/>
      <c r="F201" s="33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</row>
    <row r="202" spans="2:23" ht="15">
      <c r="B202" s="163" t="s">
        <v>68</v>
      </c>
      <c r="F202" s="156" t="s">
        <v>498</v>
      </c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</row>
    <row r="203" spans="2:23" ht="13.5">
      <c r="B203" s="2" t="s">
        <v>497</v>
      </c>
      <c r="C203" s="189">
        <f>+'[5]SCHH-1'!$E$404</f>
        <v>4448652.082592917</v>
      </c>
      <c r="D203" s="189">
        <f>+'[5]SCHH-1'!$E$405</f>
        <v>27140448.797301374</v>
      </c>
      <c r="E203" s="189">
        <f>+'[5]SCHH-1'!$E$406</f>
        <v>30376835.18073396</v>
      </c>
      <c r="F203" s="158">
        <f>SUM(C203:E203)</f>
        <v>61965936.06062825</v>
      </c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</row>
    <row r="204" spans="2:23" ht="13.5">
      <c r="B204" s="2"/>
      <c r="C204" s="33"/>
      <c r="D204" s="33"/>
      <c r="E204" s="33"/>
      <c r="F204" s="159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</row>
    <row r="205" spans="2:23" ht="13.5">
      <c r="B205" s="2" t="s">
        <v>499</v>
      </c>
      <c r="C205" s="141">
        <f>'Plan 2009 New'!D6</f>
        <v>1389418.3482509821</v>
      </c>
      <c r="D205" s="141">
        <f>'Plan 2009 New'!D11</f>
        <v>28401649.043478973</v>
      </c>
      <c r="E205" s="151">
        <f>'Plan 2009 New'!D16+'Plan 2009 New'!D53+'Plan 2009 New'!D58</f>
        <v>32174868.6688983</v>
      </c>
      <c r="F205" s="158">
        <f>SUM(C205:E205)</f>
        <v>61965936.06062825</v>
      </c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</row>
    <row r="206" spans="2:23" ht="13.5">
      <c r="B206" s="2"/>
      <c r="C206" s="33"/>
      <c r="D206" s="33"/>
      <c r="E206" s="33"/>
      <c r="F206" s="159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</row>
    <row r="207" spans="2:23" ht="14.25" thickBot="1">
      <c r="B207" s="2" t="s">
        <v>500</v>
      </c>
      <c r="C207" s="155">
        <f>+C205-C203</f>
        <v>-3059233.7343419343</v>
      </c>
      <c r="D207" s="155">
        <f>+D205-D203</f>
        <v>1261200.2461775988</v>
      </c>
      <c r="E207" s="155">
        <f>+E205-E203</f>
        <v>1798033.4881643392</v>
      </c>
      <c r="F207" s="157">
        <f>SUM(C207:E207)</f>
        <v>3.725290298461914E-09</v>
      </c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</row>
    <row r="208" spans="2:23" ht="13.5">
      <c r="B208" s="2"/>
      <c r="C208" s="33"/>
      <c r="D208" s="33"/>
      <c r="E208" s="33"/>
      <c r="F208" s="33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</row>
    <row r="209" spans="2:23" ht="13.5">
      <c r="B209" s="167"/>
      <c r="C209" s="168"/>
      <c r="D209" s="168"/>
      <c r="E209" s="168"/>
      <c r="F209" s="168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70"/>
      <c r="U209" s="34"/>
      <c r="V209" s="34"/>
      <c r="W209" s="34"/>
    </row>
    <row r="210" spans="2:23" ht="13.5">
      <c r="B210" s="171" t="s">
        <v>513</v>
      </c>
      <c r="C210" s="172">
        <f>ROUND(+C142/C140,1)</f>
        <v>4.8</v>
      </c>
      <c r="D210" s="172">
        <f>ROUND(+D142/D140,1)</f>
        <v>14.3</v>
      </c>
      <c r="E210" s="172">
        <f>ROUND(+E142/E140,1)</f>
        <v>35.7</v>
      </c>
      <c r="F210" s="172">
        <f>ROUND(+F142/F140,0)</f>
        <v>0</v>
      </c>
      <c r="G210" s="172">
        <f aca="true" t="shared" si="45" ref="G210:T210">ROUND(+G142/G140,0)</f>
        <v>1193</v>
      </c>
      <c r="H210" s="172">
        <f t="shared" si="45"/>
        <v>0</v>
      </c>
      <c r="I210" s="172">
        <f t="shared" si="45"/>
        <v>66</v>
      </c>
      <c r="J210" s="172">
        <f t="shared" si="45"/>
        <v>409</v>
      </c>
      <c r="K210" s="172">
        <f t="shared" si="45"/>
        <v>1710</v>
      </c>
      <c r="L210" s="172">
        <f t="shared" si="45"/>
        <v>7527</v>
      </c>
      <c r="M210" s="172">
        <f t="shared" si="45"/>
        <v>29315</v>
      </c>
      <c r="N210" s="172">
        <f t="shared" si="45"/>
        <v>52167</v>
      </c>
      <c r="O210" s="172">
        <f t="shared" si="45"/>
        <v>156182</v>
      </c>
      <c r="P210" s="172">
        <f t="shared" si="45"/>
        <v>800384</v>
      </c>
      <c r="Q210" s="172">
        <f t="shared" si="45"/>
        <v>4222287</v>
      </c>
      <c r="R210" s="172">
        <f t="shared" si="45"/>
        <v>2381</v>
      </c>
      <c r="S210" s="172">
        <f t="shared" si="45"/>
        <v>11988</v>
      </c>
      <c r="T210" s="173">
        <f t="shared" si="45"/>
        <v>3126760</v>
      </c>
      <c r="U210" s="160"/>
      <c r="V210" s="34"/>
      <c r="W210" s="34"/>
    </row>
    <row r="211" spans="2:23" ht="13.5">
      <c r="B211" s="171"/>
      <c r="C211" s="174"/>
      <c r="D211" s="174"/>
      <c r="E211" s="174"/>
      <c r="F211" s="174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6"/>
      <c r="U211" s="34"/>
      <c r="V211" s="34"/>
      <c r="W211" s="34"/>
    </row>
    <row r="212" spans="2:23" ht="13.5">
      <c r="B212" s="177"/>
      <c r="C212" s="178" t="s">
        <v>501</v>
      </c>
      <c r="D212" s="178"/>
      <c r="E212" s="178"/>
      <c r="F212" s="178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80"/>
      <c r="U212" s="34"/>
      <c r="V212" s="34"/>
      <c r="W212" s="34"/>
    </row>
    <row r="213" spans="2:23" ht="13.5">
      <c r="B213" s="2"/>
      <c r="C213" s="33"/>
      <c r="D213" s="33"/>
      <c r="E213" s="33"/>
      <c r="F213" s="33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</row>
    <row r="214" spans="2:23" ht="14.25" thickBot="1">
      <c r="B214" s="2"/>
      <c r="C214" s="33"/>
      <c r="D214" s="33"/>
      <c r="E214" s="33"/>
      <c r="F214" s="33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</row>
    <row r="215" spans="2:23" ht="15">
      <c r="B215" s="163" t="s">
        <v>507</v>
      </c>
      <c r="C215" s="164">
        <f>+'[5]SCHH-1'!$E$306</f>
        <v>0.3203383736640228</v>
      </c>
      <c r="D215" s="164">
        <f>+'[5]SCHH-1'!$E$306</f>
        <v>0.3203383736640228</v>
      </c>
      <c r="E215" s="164">
        <f>+'[5]SCHH-1'!$E$306</f>
        <v>0.3203383736640228</v>
      </c>
      <c r="F215" s="156" t="s">
        <v>498</v>
      </c>
      <c r="G215" s="165" t="s">
        <v>505</v>
      </c>
      <c r="H215" s="165" t="s">
        <v>506</v>
      </c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</row>
    <row r="216" spans="2:23" ht="13.5">
      <c r="B216" s="2" t="s">
        <v>508</v>
      </c>
      <c r="C216" s="189">
        <f>ROUND(C142*C215,0)</f>
        <v>1425074</v>
      </c>
      <c r="D216" s="189">
        <f>ROUND(D142*D215,0)</f>
        <v>8694127</v>
      </c>
      <c r="E216" s="189">
        <f>ROUND(E142*E215,0)</f>
        <v>9730866</v>
      </c>
      <c r="F216" s="190">
        <f>SUM(C216:E216)</f>
        <v>19850067</v>
      </c>
      <c r="G216" s="189">
        <f>+'[5]SCHH-1'!$E$310</f>
        <v>19850167.957661655</v>
      </c>
      <c r="H216" s="166">
        <f>+F216-G216</f>
        <v>-100.95766165480018</v>
      </c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</row>
    <row r="217" spans="2:6" ht="13.5">
      <c r="B217" s="2"/>
      <c r="C217" s="33"/>
      <c r="D217" s="33"/>
      <c r="E217" s="33"/>
      <c r="F217" s="159"/>
    </row>
    <row r="218" spans="2:6" ht="13.5">
      <c r="B218" s="2" t="s">
        <v>509</v>
      </c>
      <c r="C218" s="141">
        <f>+'Plan 2009 New'!D8</f>
        <v>446281.1734582156</v>
      </c>
      <c r="D218" s="141">
        <f>'Plan 2009 New'!D13</f>
        <v>9122609.67276545</v>
      </c>
      <c r="E218" s="141">
        <f>'Plan 2009 New'!D18+'Plan 2009 New'!D55+'Plan 2009 New'!D60</f>
        <v>10334567.816450134</v>
      </c>
      <c r="F218" s="158">
        <f>SUM(C218:E218)</f>
        <v>19903458.6626738</v>
      </c>
    </row>
    <row r="219" spans="2:6" ht="13.5">
      <c r="B219" s="2"/>
      <c r="C219" s="33"/>
      <c r="D219" s="33"/>
      <c r="E219" s="33"/>
      <c r="F219" s="159"/>
    </row>
    <row r="220" spans="2:6" ht="14.25" thickBot="1">
      <c r="B220" s="2" t="s">
        <v>500</v>
      </c>
      <c r="C220" s="155">
        <f>+C218-C216</f>
        <v>-978792.8265417845</v>
      </c>
      <c r="D220" s="155">
        <f>+D218-D216</f>
        <v>428482.67276545055</v>
      </c>
      <c r="E220" s="155">
        <f>+E218-E216</f>
        <v>603701.8164501339</v>
      </c>
      <c r="F220" s="157">
        <f>SUM(C220:E220)</f>
        <v>53391.66267380002</v>
      </c>
    </row>
    <row r="223" ht="10.5" thickBot="1"/>
    <row r="224" spans="2:6" ht="15">
      <c r="B224" s="163" t="s">
        <v>512</v>
      </c>
      <c r="F224" s="156" t="s">
        <v>498</v>
      </c>
    </row>
    <row r="225" spans="2:6" ht="13.5">
      <c r="B225" s="2" t="s">
        <v>510</v>
      </c>
      <c r="C225" s="189">
        <f>+C203/$F$203*$F$227</f>
        <v>5258400.352156273</v>
      </c>
      <c r="D225" s="189">
        <f>+D203/$F$203*$F$227</f>
        <v>32080581.457884334</v>
      </c>
      <c r="E225" s="189">
        <f>+E203/$F$203*$F$227</f>
        <v>35906058.25004484</v>
      </c>
      <c r="F225" s="158">
        <f>SUM(C225:E225)</f>
        <v>73245040.06008545</v>
      </c>
    </row>
    <row r="226" spans="2:6" ht="13.5">
      <c r="B226" s="2"/>
      <c r="C226" s="33"/>
      <c r="D226" s="33"/>
      <c r="E226" s="33"/>
      <c r="F226" s="159"/>
    </row>
    <row r="227" spans="2:6" ht="13.5">
      <c r="B227" s="2" t="s">
        <v>511</v>
      </c>
      <c r="C227" s="141">
        <f>+'Plan 2009 New'!D9</f>
        <v>1227301.2428577654</v>
      </c>
      <c r="D227" s="141">
        <f>+'Plan 2009 New'!D14</f>
        <v>33652299.33953204</v>
      </c>
      <c r="E227" s="142">
        <f>'Plan 2009 New'!D19+5</f>
        <v>38365439.47769565</v>
      </c>
      <c r="F227" s="158">
        <f>SUM(C227:E227)</f>
        <v>73245040.06008545</v>
      </c>
    </row>
    <row r="228" spans="2:6" ht="13.5">
      <c r="B228" s="2"/>
      <c r="C228" s="33"/>
      <c r="D228" s="33"/>
      <c r="E228" s="33"/>
      <c r="F228" s="159"/>
    </row>
    <row r="229" spans="2:6" ht="14.25" thickBot="1">
      <c r="B229" s="2" t="s">
        <v>500</v>
      </c>
      <c r="C229" s="155">
        <f>+C227-C225</f>
        <v>-4031099.1092985077</v>
      </c>
      <c r="D229" s="155">
        <f>+D227-D225</f>
        <v>1571717.881647706</v>
      </c>
      <c r="E229" s="155">
        <f>+E227-E225</f>
        <v>2459381.2276508138</v>
      </c>
      <c r="F229" s="157">
        <f>SUM(C229:E229)</f>
        <v>1.210719347000122E-08</v>
      </c>
    </row>
  </sheetData>
  <sheetProtection/>
  <printOptions horizontalCentered="1"/>
  <pageMargins left="0" right="0" top="1" bottom="0.75" header="0.5" footer="0.5"/>
  <pageSetup fitToHeight="0" fitToWidth="1" horizontalDpi="600" verticalDpi="600" orientation="landscape" scale="41" r:id="rId3"/>
  <rowBreaks count="2" manualBreakCount="2">
    <brk id="62" max="20" man="1"/>
    <brk id="126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21.25390625" style="0" bestFit="1" customWidth="1"/>
    <col min="2" max="2" width="25.375" style="0" bestFit="1" customWidth="1"/>
    <col min="3" max="3" width="13.00390625" style="0" bestFit="1" customWidth="1"/>
  </cols>
  <sheetData>
    <row r="1" ht="12.75">
      <c r="A1" s="73" t="s">
        <v>105</v>
      </c>
    </row>
    <row r="2" spans="1:2" ht="12" customHeight="1">
      <c r="A2" s="81" t="s">
        <v>41</v>
      </c>
      <c r="B2" s="80" t="s">
        <v>219</v>
      </c>
    </row>
    <row r="3" ht="12.75">
      <c r="C3" t="s">
        <v>225</v>
      </c>
    </row>
    <row r="4" ht="12.75">
      <c r="C4" s="74" t="s">
        <v>238</v>
      </c>
    </row>
    <row r="5" spans="1:3" ht="12.75">
      <c r="A5" s="74" t="s">
        <v>169</v>
      </c>
      <c r="B5" s="74" t="s">
        <v>236</v>
      </c>
      <c r="C5" s="76">
        <v>12</v>
      </c>
    </row>
    <row r="6" spans="1:3" ht="12.75">
      <c r="A6" s="85"/>
      <c r="B6" s="74" t="s">
        <v>454</v>
      </c>
      <c r="C6" s="76">
        <v>12</v>
      </c>
    </row>
    <row r="7" spans="1:3" ht="12.75">
      <c r="A7" s="74" t="s">
        <v>170</v>
      </c>
      <c r="B7" s="74" t="s">
        <v>236</v>
      </c>
      <c r="C7" s="76">
        <v>767000</v>
      </c>
    </row>
    <row r="8" spans="1:3" ht="12.75">
      <c r="A8" s="85"/>
      <c r="B8" s="74" t="s">
        <v>454</v>
      </c>
      <c r="C8" s="76">
        <v>767000</v>
      </c>
    </row>
    <row r="9" spans="1:4" ht="12.75">
      <c r="A9" s="75" t="s">
        <v>171</v>
      </c>
      <c r="B9" s="74" t="s">
        <v>236</v>
      </c>
      <c r="C9" s="76">
        <v>1800</v>
      </c>
      <c r="D9" s="2"/>
    </row>
    <row r="10" spans="1:4" ht="12.75">
      <c r="A10" s="147"/>
      <c r="B10" s="74" t="s">
        <v>454</v>
      </c>
      <c r="C10" s="76">
        <v>3600</v>
      </c>
      <c r="D10" s="150"/>
    </row>
    <row r="11" spans="1:4" ht="12.75">
      <c r="A11" s="75" t="s">
        <v>172</v>
      </c>
      <c r="B11" s="74" t="s">
        <v>236</v>
      </c>
      <c r="C11" s="76">
        <v>77014.47</v>
      </c>
      <c r="D11" s="2"/>
    </row>
    <row r="12" spans="1:4" ht="12.75">
      <c r="A12" s="147"/>
      <c r="B12" s="74" t="s">
        <v>454</v>
      </c>
      <c r="C12" s="76">
        <v>88051.6</v>
      </c>
      <c r="D12" s="150"/>
    </row>
    <row r="13" ht="12.75">
      <c r="C13" s="92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M47" sqref="M47"/>
    </sheetView>
  </sheetViews>
  <sheetFormatPr defaultColWidth="9.00390625" defaultRowHeight="12.75"/>
  <cols>
    <col min="1" max="1" width="5.875" style="0" customWidth="1"/>
    <col min="2" max="13" width="15.00390625" style="0" customWidth="1"/>
    <col min="14" max="14" width="16.00390625" style="0" customWidth="1"/>
  </cols>
  <sheetData>
    <row r="1" ht="12.75">
      <c r="A1" s="73" t="s">
        <v>338</v>
      </c>
    </row>
    <row r="2" spans="1:2" ht="12" customHeight="1">
      <c r="A2" s="99" t="s">
        <v>237</v>
      </c>
      <c r="B2" s="99" t="s">
        <v>41</v>
      </c>
    </row>
    <row r="3" ht="12.75">
      <c r="A3" t="str">
        <f>+A2</f>
        <v>Actual 2007</v>
      </c>
    </row>
    <row r="4" spans="2:14" ht="12.75">
      <c r="B4" s="74" t="s">
        <v>325</v>
      </c>
      <c r="C4" s="74" t="s">
        <v>326</v>
      </c>
      <c r="D4" s="74" t="s">
        <v>327</v>
      </c>
      <c r="E4" s="74" t="s">
        <v>328</v>
      </c>
      <c r="F4" s="74" t="s">
        <v>329</v>
      </c>
      <c r="G4" s="74" t="s">
        <v>330</v>
      </c>
      <c r="H4" s="74" t="s">
        <v>331</v>
      </c>
      <c r="I4" s="74" t="s">
        <v>332</v>
      </c>
      <c r="J4" s="74" t="s">
        <v>333</v>
      </c>
      <c r="K4" s="74" t="s">
        <v>334</v>
      </c>
      <c r="L4" s="74" t="s">
        <v>335</v>
      </c>
      <c r="M4" s="74" t="s">
        <v>336</v>
      </c>
      <c r="N4" s="75" t="s">
        <v>41</v>
      </c>
    </row>
    <row r="5" spans="1:14" ht="12.75">
      <c r="A5" s="74" t="s">
        <v>339</v>
      </c>
      <c r="B5" s="83">
        <v>7713233</v>
      </c>
      <c r="C5" s="83">
        <v>11193389</v>
      </c>
      <c r="D5" s="83">
        <v>8863757</v>
      </c>
      <c r="E5" s="83">
        <v>5343821</v>
      </c>
      <c r="F5" s="83">
        <v>4369866</v>
      </c>
      <c r="G5" s="83">
        <v>3777147</v>
      </c>
      <c r="H5" s="83">
        <v>3415312</v>
      </c>
      <c r="I5" s="83">
        <v>2977791</v>
      </c>
      <c r="J5" s="83">
        <v>3189828</v>
      </c>
      <c r="K5" s="83">
        <v>3537205</v>
      </c>
      <c r="L5" s="83">
        <v>4689887</v>
      </c>
      <c r="M5" s="83">
        <v>7339232</v>
      </c>
      <c r="N5" s="83">
        <v>66410468</v>
      </c>
    </row>
    <row r="6" spans="1:14" ht="12.75">
      <c r="A6" s="74" t="s">
        <v>340</v>
      </c>
      <c r="B6" s="83">
        <v>0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</row>
    <row r="7" spans="1:14" ht="12.75">
      <c r="A7" s="74" t="s">
        <v>341</v>
      </c>
      <c r="B7" s="83">
        <v>1603</v>
      </c>
      <c r="C7" s="83">
        <v>3194</v>
      </c>
      <c r="D7" s="83">
        <v>513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5310</v>
      </c>
    </row>
    <row r="8" spans="1:14" ht="12.75">
      <c r="A8" s="74" t="s">
        <v>342</v>
      </c>
      <c r="B8" s="83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700</v>
      </c>
      <c r="I8" s="83">
        <v>1011</v>
      </c>
      <c r="J8" s="83">
        <v>970</v>
      </c>
      <c r="K8" s="83">
        <v>1204</v>
      </c>
      <c r="L8" s="83">
        <v>1424</v>
      </c>
      <c r="M8" s="83">
        <v>1438</v>
      </c>
      <c r="N8" s="83">
        <v>6747</v>
      </c>
    </row>
    <row r="9" spans="1:14" ht="12.75">
      <c r="A9" s="74" t="s">
        <v>343</v>
      </c>
      <c r="B9" s="83">
        <v>4133059</v>
      </c>
      <c r="C9" s="83">
        <v>4332124</v>
      </c>
      <c r="D9" s="83">
        <v>4210757</v>
      </c>
      <c r="E9" s="83">
        <v>3836771</v>
      </c>
      <c r="F9" s="83">
        <v>3219086</v>
      </c>
      <c r="G9" s="83">
        <v>2999447</v>
      </c>
      <c r="H9" s="83">
        <v>2882525</v>
      </c>
      <c r="I9" s="83">
        <v>2537765</v>
      </c>
      <c r="J9" s="83">
        <v>2664822</v>
      </c>
      <c r="K9" s="83">
        <v>2689991</v>
      </c>
      <c r="L9" s="83">
        <v>2907630</v>
      </c>
      <c r="M9" s="83">
        <v>3750926</v>
      </c>
      <c r="N9" s="83">
        <v>40164903</v>
      </c>
    </row>
    <row r="10" spans="1:14" ht="12.75">
      <c r="A10" s="74" t="s">
        <v>344</v>
      </c>
      <c r="B10" s="83">
        <v>819936</v>
      </c>
      <c r="C10" s="83">
        <v>895245</v>
      </c>
      <c r="D10" s="83">
        <v>718330</v>
      </c>
      <c r="E10" s="83">
        <v>745727</v>
      </c>
      <c r="F10" s="83">
        <v>583474</v>
      </c>
      <c r="G10" s="83">
        <v>516589</v>
      </c>
      <c r="H10" s="83">
        <v>457842</v>
      </c>
      <c r="I10" s="83">
        <v>436951</v>
      </c>
      <c r="J10" s="83">
        <v>400581</v>
      </c>
      <c r="K10" s="83">
        <v>409048</v>
      </c>
      <c r="L10" s="83">
        <v>464541</v>
      </c>
      <c r="M10" s="83">
        <v>590002</v>
      </c>
      <c r="N10" s="83">
        <v>7038266</v>
      </c>
    </row>
    <row r="11" spans="1:14" ht="12.75">
      <c r="A11" s="74" t="s">
        <v>345</v>
      </c>
      <c r="B11" s="83">
        <v>283277</v>
      </c>
      <c r="C11" s="83">
        <v>274852</v>
      </c>
      <c r="D11" s="83">
        <v>285873</v>
      </c>
      <c r="E11" s="83">
        <v>272446</v>
      </c>
      <c r="F11" s="83">
        <v>247472</v>
      </c>
      <c r="G11" s="83">
        <v>168679</v>
      </c>
      <c r="H11" s="83">
        <v>151709</v>
      </c>
      <c r="I11" s="83">
        <v>136391</v>
      </c>
      <c r="J11" s="83">
        <v>108679</v>
      </c>
      <c r="K11" s="83">
        <v>205029</v>
      </c>
      <c r="L11" s="83">
        <v>159541</v>
      </c>
      <c r="M11" s="83">
        <v>224670</v>
      </c>
      <c r="N11" s="83">
        <v>2518618</v>
      </c>
    </row>
    <row r="12" spans="1:14" ht="12.75">
      <c r="A12" s="74" t="s">
        <v>346</v>
      </c>
      <c r="B12" s="83">
        <v>9370</v>
      </c>
      <c r="C12" s="83">
        <v>7606</v>
      </c>
      <c r="D12" s="83">
        <v>10783</v>
      </c>
      <c r="E12" s="83">
        <v>8022</v>
      </c>
      <c r="F12" s="83">
        <v>8209</v>
      </c>
      <c r="G12" s="83">
        <v>8337</v>
      </c>
      <c r="H12" s="83">
        <v>9696</v>
      </c>
      <c r="I12" s="83">
        <v>7929</v>
      </c>
      <c r="J12" s="83">
        <v>9855</v>
      </c>
      <c r="K12" s="83">
        <v>5390</v>
      </c>
      <c r="L12" s="83">
        <v>15709</v>
      </c>
      <c r="M12" s="83">
        <v>209</v>
      </c>
      <c r="N12" s="83">
        <v>101115</v>
      </c>
    </row>
    <row r="13" spans="1:14" ht="12.75">
      <c r="A13" s="74" t="s">
        <v>347</v>
      </c>
      <c r="B13" s="83">
        <v>231821</v>
      </c>
      <c r="C13" s="83">
        <v>289943</v>
      </c>
      <c r="D13" s="83">
        <v>261473</v>
      </c>
      <c r="E13" s="83">
        <v>190599</v>
      </c>
      <c r="F13" s="83">
        <v>173740</v>
      </c>
      <c r="G13" s="83">
        <v>169333</v>
      </c>
      <c r="H13" s="83">
        <v>159889</v>
      </c>
      <c r="I13" s="83">
        <v>149290</v>
      </c>
      <c r="J13" s="83">
        <v>152266</v>
      </c>
      <c r="K13" s="83">
        <v>159299</v>
      </c>
      <c r="L13" s="83">
        <v>149976</v>
      </c>
      <c r="M13" s="83">
        <v>224472</v>
      </c>
      <c r="N13" s="83">
        <v>2312101</v>
      </c>
    </row>
    <row r="14" spans="1:14" ht="12.75">
      <c r="A14" s="74" t="s">
        <v>367</v>
      </c>
      <c r="B14" s="83">
        <v>0</v>
      </c>
      <c r="C14" s="83">
        <v>1150</v>
      </c>
      <c r="D14" s="83">
        <v>44102</v>
      </c>
      <c r="E14" s="83">
        <v>31788</v>
      </c>
      <c r="F14" s="83">
        <v>8641</v>
      </c>
      <c r="G14" s="83">
        <v>11851</v>
      </c>
      <c r="H14" s="83">
        <v>5890</v>
      </c>
      <c r="I14" s="83">
        <v>966</v>
      </c>
      <c r="J14" s="83">
        <v>0</v>
      </c>
      <c r="K14" s="83">
        <v>179</v>
      </c>
      <c r="L14" s="83">
        <v>45793</v>
      </c>
      <c r="M14" s="83">
        <v>78865</v>
      </c>
      <c r="N14" s="83">
        <v>229225</v>
      </c>
    </row>
    <row r="15" spans="1:14" ht="12.75">
      <c r="A15" s="74" t="s">
        <v>368</v>
      </c>
      <c r="B15" s="83">
        <v>0</v>
      </c>
      <c r="C15" s="83">
        <v>9937</v>
      </c>
      <c r="D15" s="83">
        <v>53252</v>
      </c>
      <c r="E15" s="83">
        <v>5471</v>
      </c>
      <c r="F15" s="83">
        <v>40808</v>
      </c>
      <c r="G15" s="83">
        <v>0</v>
      </c>
      <c r="H15" s="83">
        <v>1746</v>
      </c>
      <c r="I15" s="83">
        <v>0</v>
      </c>
      <c r="J15" s="83">
        <v>539869</v>
      </c>
      <c r="K15" s="83">
        <v>0</v>
      </c>
      <c r="L15" s="83">
        <v>66766</v>
      </c>
      <c r="M15" s="83">
        <v>0</v>
      </c>
      <c r="N15" s="83">
        <v>717849</v>
      </c>
    </row>
    <row r="16" spans="1:14" ht="12.75">
      <c r="A16" s="74" t="s">
        <v>369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10330</v>
      </c>
      <c r="I16" s="83">
        <v>0</v>
      </c>
      <c r="J16" s="83">
        <v>0</v>
      </c>
      <c r="K16" s="83">
        <v>0</v>
      </c>
      <c r="L16" s="83">
        <v>0</v>
      </c>
      <c r="M16" s="83">
        <v>192130</v>
      </c>
      <c r="N16" s="83">
        <v>202460</v>
      </c>
    </row>
    <row r="17" spans="1:14" ht="12.75">
      <c r="A17" s="74" t="s">
        <v>370</v>
      </c>
      <c r="B17" s="83">
        <v>12346020</v>
      </c>
      <c r="C17" s="83">
        <v>22243450</v>
      </c>
      <c r="D17" s="83">
        <v>15850530</v>
      </c>
      <c r="E17" s="83">
        <v>14764730</v>
      </c>
      <c r="F17" s="83">
        <v>14013360</v>
      </c>
      <c r="G17" s="83">
        <v>16408970</v>
      </c>
      <c r="H17" s="83">
        <v>26255070</v>
      </c>
      <c r="I17" s="83">
        <v>24891030</v>
      </c>
      <c r="J17" s="83">
        <v>22657660</v>
      </c>
      <c r="K17" s="83">
        <v>31843540</v>
      </c>
      <c r="L17" s="83">
        <v>14733040</v>
      </c>
      <c r="M17" s="83">
        <v>18605390</v>
      </c>
      <c r="N17" s="83">
        <v>234612790</v>
      </c>
    </row>
    <row r="18" spans="1:14" ht="12.75">
      <c r="A18" s="74" t="s">
        <v>371</v>
      </c>
      <c r="B18" s="83">
        <v>4690700</v>
      </c>
      <c r="C18" s="83">
        <v>2802080</v>
      </c>
      <c r="D18" s="83">
        <v>4798580</v>
      </c>
      <c r="E18" s="83">
        <v>4155830</v>
      </c>
      <c r="F18" s="83">
        <v>8425870</v>
      </c>
      <c r="G18" s="83">
        <v>8123950</v>
      </c>
      <c r="H18" s="83">
        <v>8208660</v>
      </c>
      <c r="I18" s="83">
        <v>7883000</v>
      </c>
      <c r="J18" s="83">
        <v>7848890</v>
      </c>
      <c r="K18" s="83">
        <v>3931330</v>
      </c>
      <c r="L18" s="83">
        <v>3476680</v>
      </c>
      <c r="M18" s="83">
        <v>4528820</v>
      </c>
      <c r="N18" s="83">
        <v>68874390</v>
      </c>
    </row>
    <row r="19" spans="1:14" ht="12.75">
      <c r="A19" s="74" t="s">
        <v>348</v>
      </c>
      <c r="B19" s="83">
        <v>1876</v>
      </c>
      <c r="C19" s="83">
        <v>1933</v>
      </c>
      <c r="D19" s="83">
        <v>2907</v>
      </c>
      <c r="E19" s="83">
        <v>2053</v>
      </c>
      <c r="F19" s="83">
        <v>1222</v>
      </c>
      <c r="G19" s="83">
        <v>1661</v>
      </c>
      <c r="H19" s="83">
        <v>2613</v>
      </c>
      <c r="I19" s="83">
        <v>3217</v>
      </c>
      <c r="J19" s="83">
        <v>2065</v>
      </c>
      <c r="K19" s="83">
        <v>1601</v>
      </c>
      <c r="L19" s="83">
        <v>1032</v>
      </c>
      <c r="M19" s="83">
        <v>977</v>
      </c>
      <c r="N19" s="83">
        <v>23157</v>
      </c>
    </row>
    <row r="20" spans="1:14" ht="12.75">
      <c r="A20" s="74" t="s">
        <v>349</v>
      </c>
      <c r="B20" s="83">
        <v>1415518</v>
      </c>
      <c r="C20" s="83">
        <v>1525611</v>
      </c>
      <c r="D20" s="83">
        <v>1150365</v>
      </c>
      <c r="E20" s="83">
        <v>1229246</v>
      </c>
      <c r="F20" s="83">
        <v>1021940</v>
      </c>
      <c r="G20" s="83">
        <v>901899</v>
      </c>
      <c r="H20" s="83">
        <v>891852</v>
      </c>
      <c r="I20" s="83">
        <v>717269</v>
      </c>
      <c r="J20" s="83">
        <v>745812</v>
      </c>
      <c r="K20" s="83">
        <v>902025</v>
      </c>
      <c r="L20" s="83">
        <v>818574</v>
      </c>
      <c r="M20" s="83">
        <v>1109226</v>
      </c>
      <c r="N20" s="83">
        <v>12429337</v>
      </c>
    </row>
    <row r="21" spans="1:14" ht="12.75">
      <c r="A21" s="74" t="s">
        <v>350</v>
      </c>
      <c r="B21" s="83">
        <v>151386</v>
      </c>
      <c r="C21" s="83">
        <v>130648</v>
      </c>
      <c r="D21" s="83">
        <v>138057</v>
      </c>
      <c r="E21" s="83">
        <v>129793</v>
      </c>
      <c r="F21" s="83">
        <v>253207</v>
      </c>
      <c r="G21" s="83">
        <v>147749</v>
      </c>
      <c r="H21" s="83">
        <v>129386</v>
      </c>
      <c r="I21" s="83">
        <v>83259</v>
      </c>
      <c r="J21" s="83">
        <v>88627</v>
      </c>
      <c r="K21" s="83">
        <v>82942</v>
      </c>
      <c r="L21" s="83">
        <v>64414</v>
      </c>
      <c r="M21" s="83">
        <v>159126</v>
      </c>
      <c r="N21" s="83">
        <v>1558594</v>
      </c>
    </row>
    <row r="22" spans="1:14" ht="12.75">
      <c r="A22" s="74" t="s">
        <v>351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</row>
    <row r="23" spans="1:14" ht="12.75">
      <c r="A23" s="74" t="s">
        <v>352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</row>
    <row r="24" spans="1:14" ht="12.75">
      <c r="A24" s="74" t="s">
        <v>353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</row>
    <row r="25" spans="1:14" ht="12.75">
      <c r="A25" s="74" t="s">
        <v>354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</row>
    <row r="26" spans="1:14" ht="12.75">
      <c r="A26" s="74" t="s">
        <v>355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1778</v>
      </c>
      <c r="I26" s="83">
        <v>2629</v>
      </c>
      <c r="J26" s="83">
        <v>2574</v>
      </c>
      <c r="K26" s="83">
        <v>4694</v>
      </c>
      <c r="L26" s="83">
        <v>3855</v>
      </c>
      <c r="M26" s="83">
        <v>3522</v>
      </c>
      <c r="N26" s="83">
        <v>19052</v>
      </c>
    </row>
    <row r="27" spans="1:14" ht="12.75">
      <c r="A27" s="74" t="s">
        <v>356</v>
      </c>
      <c r="B27" s="83">
        <v>45083</v>
      </c>
      <c r="C27" s="83">
        <v>74278</v>
      </c>
      <c r="D27" s="83">
        <v>75156</v>
      </c>
      <c r="E27" s="83">
        <v>64810</v>
      </c>
      <c r="F27" s="83">
        <v>51012</v>
      </c>
      <c r="G27" s="83">
        <v>43861</v>
      </c>
      <c r="H27" s="83">
        <v>43162</v>
      </c>
      <c r="I27" s="83">
        <v>36955</v>
      </c>
      <c r="J27" s="83">
        <v>46596</v>
      </c>
      <c r="K27" s="83">
        <v>51648</v>
      </c>
      <c r="L27" s="83">
        <v>44921</v>
      </c>
      <c r="M27" s="83">
        <v>63393</v>
      </c>
      <c r="N27" s="83">
        <v>640875</v>
      </c>
    </row>
    <row r="30" spans="1:14" ht="12.75">
      <c r="A30" s="74" t="s">
        <v>337</v>
      </c>
      <c r="B30" s="103">
        <v>1.10278</v>
      </c>
      <c r="C30" s="103">
        <v>1.15278</v>
      </c>
      <c r="D30" s="103">
        <v>1.30278</v>
      </c>
      <c r="E30" s="103">
        <v>1.30278</v>
      </c>
      <c r="F30" s="103">
        <v>1.26278</v>
      </c>
      <c r="G30" s="103">
        <v>1.21278</v>
      </c>
      <c r="H30" s="103">
        <v>1.19278</v>
      </c>
      <c r="I30" s="103">
        <v>1.12278</v>
      </c>
      <c r="J30" s="103">
        <v>1.07278</v>
      </c>
      <c r="K30" s="103">
        <v>1.05278</v>
      </c>
      <c r="L30" s="103">
        <v>1.05278</v>
      </c>
      <c r="M30" s="103">
        <v>1.05278</v>
      </c>
      <c r="N30" s="103">
        <v>13.88336</v>
      </c>
    </row>
    <row r="31" spans="1:14" ht="12.75">
      <c r="A31" s="85" t="s">
        <v>366</v>
      </c>
      <c r="B31" s="103">
        <v>1.1009</v>
      </c>
      <c r="C31" s="103">
        <v>1.13625</v>
      </c>
      <c r="D31" s="103">
        <v>1.26179</v>
      </c>
      <c r="E31" s="103">
        <v>1.30231</v>
      </c>
      <c r="F31" s="103">
        <v>1.22555</v>
      </c>
      <c r="G31" s="103">
        <v>1.14251</v>
      </c>
      <c r="H31" s="103">
        <v>1.07656</v>
      </c>
      <c r="I31" s="103">
        <v>1.00667</v>
      </c>
      <c r="J31" s="103">
        <v>0.98045</v>
      </c>
      <c r="K31" s="103">
        <v>0.85619</v>
      </c>
      <c r="L31" s="103">
        <v>0.89054</v>
      </c>
      <c r="M31" s="103">
        <v>1.0332</v>
      </c>
      <c r="N31" s="103">
        <v>13.01292</v>
      </c>
    </row>
    <row r="33" spans="1:15" ht="12.75">
      <c r="A33" t="s">
        <v>359</v>
      </c>
      <c r="B33" s="24">
        <f>(+B7+B5)*B30*$O$33</f>
        <v>9565630.96304525</v>
      </c>
      <c r="C33" s="24">
        <f aca="true" t="shared" si="0" ref="C33:M33">(+C7+C5)*C30*$O$33</f>
        <v>14512090.547478193</v>
      </c>
      <c r="D33" s="24">
        <f t="shared" si="0"/>
        <v>12984107.459362319</v>
      </c>
      <c r="E33" s="24">
        <f t="shared" si="0"/>
        <v>7827463.074522437</v>
      </c>
      <c r="F33" s="24">
        <f t="shared" si="0"/>
        <v>6204315.254037116</v>
      </c>
      <c r="G33" s="24">
        <f t="shared" si="0"/>
        <v>5150435.538297698</v>
      </c>
      <c r="H33" s="24">
        <f t="shared" si="0"/>
        <v>4580245.692942324</v>
      </c>
      <c r="I33" s="24">
        <f t="shared" si="0"/>
        <v>3759126.351550171</v>
      </c>
      <c r="J33" s="24">
        <f t="shared" si="0"/>
        <v>3847476.507283618</v>
      </c>
      <c r="K33" s="24">
        <f t="shared" si="0"/>
        <v>4186931.9139230303</v>
      </c>
      <c r="L33" s="24">
        <f t="shared" si="0"/>
        <v>5551342.812472768</v>
      </c>
      <c r="M33" s="24">
        <f t="shared" si="0"/>
        <v>8687329.31353573</v>
      </c>
      <c r="N33" s="24">
        <f>SUM(B33:M33)</f>
        <v>86856495.42845066</v>
      </c>
      <c r="O33">
        <v>1.1243409861074587</v>
      </c>
    </row>
    <row r="34" spans="1:14" ht="12.75">
      <c r="A34" t="s">
        <v>375</v>
      </c>
      <c r="B34" s="24">
        <f>(+B8)*B30*$O$33</f>
        <v>0</v>
      </c>
      <c r="C34" s="24">
        <f aca="true" t="shared" si="1" ref="C34:M34">(+C8)*C30*$O$33</f>
        <v>0</v>
      </c>
      <c r="D34" s="24">
        <f t="shared" si="1"/>
        <v>0</v>
      </c>
      <c r="E34" s="24">
        <f t="shared" si="1"/>
        <v>0</v>
      </c>
      <c r="F34" s="24">
        <f t="shared" si="1"/>
        <v>0</v>
      </c>
      <c r="G34" s="24">
        <f t="shared" si="1"/>
        <v>0</v>
      </c>
      <c r="H34" s="24">
        <f t="shared" si="1"/>
        <v>938.7640089864781</v>
      </c>
      <c r="I34" s="24">
        <f t="shared" si="1"/>
        <v>1276.2738356779312</v>
      </c>
      <c r="J34" s="24">
        <f t="shared" si="1"/>
        <v>1169.9854073840688</v>
      </c>
      <c r="K34" s="24">
        <f t="shared" si="1"/>
        <v>1425.1551788384693</v>
      </c>
      <c r="L34" s="24">
        <f t="shared" si="1"/>
        <v>1685.5655935763957</v>
      </c>
      <c r="M34" s="24">
        <f t="shared" si="1"/>
        <v>1702.1371654233546</v>
      </c>
      <c r="N34" s="24">
        <f>SUM(B34:M34)</f>
        <v>8197.881189886699</v>
      </c>
    </row>
    <row r="35" spans="1:14" ht="12.75">
      <c r="A35" t="s">
        <v>376</v>
      </c>
      <c r="B35" s="24">
        <f>(+B26)*B31*$O$33</f>
        <v>0</v>
      </c>
      <c r="C35" s="24">
        <f aca="true" t="shared" si="2" ref="C35:M35">(+C26)*C31*$O$33</f>
        <v>0</v>
      </c>
      <c r="D35" s="24">
        <f t="shared" si="2"/>
        <v>0</v>
      </c>
      <c r="E35" s="24">
        <f t="shared" si="2"/>
        <v>0</v>
      </c>
      <c r="F35" s="24">
        <f t="shared" si="2"/>
        <v>0</v>
      </c>
      <c r="G35" s="24">
        <f t="shared" si="2"/>
        <v>0</v>
      </c>
      <c r="H35" s="24">
        <f t="shared" si="2"/>
        <v>2152.1277059028375</v>
      </c>
      <c r="I35" s="24">
        <f t="shared" si="2"/>
        <v>2975.608255134527</v>
      </c>
      <c r="J35" s="24">
        <f t="shared" si="2"/>
        <v>2837.474948439995</v>
      </c>
      <c r="K35" s="24">
        <f t="shared" si="2"/>
        <v>4518.67679475475</v>
      </c>
      <c r="L35" s="24">
        <f t="shared" si="2"/>
        <v>3859.898246916165</v>
      </c>
      <c r="M35" s="24">
        <f t="shared" si="2"/>
        <v>4091.398594312409</v>
      </c>
      <c r="N35" s="24">
        <f>SUM(B35:M35)</f>
        <v>20435.18454546068</v>
      </c>
    </row>
    <row r="36" spans="1:15" ht="10.5">
      <c r="A36" t="s">
        <v>360</v>
      </c>
      <c r="B36" s="105">
        <f>+B13*B31*$O$33</f>
        <v>286945.0181810253</v>
      </c>
      <c r="C36" s="105">
        <f aca="true" t="shared" si="3" ref="C36:M36">+C13*C31*$O$33</f>
        <v>370411.58983534254</v>
      </c>
      <c r="D36" s="105">
        <f t="shared" si="3"/>
        <v>370947.0942432814</v>
      </c>
      <c r="E36" s="105">
        <f t="shared" si="3"/>
        <v>279082.7768926058</v>
      </c>
      <c r="F36" s="105">
        <f t="shared" si="3"/>
        <v>239402.61723633902</v>
      </c>
      <c r="G36" s="105">
        <f t="shared" si="3"/>
        <v>217520.23066943244</v>
      </c>
      <c r="H36" s="105">
        <f t="shared" si="3"/>
        <v>193532.92844156286</v>
      </c>
      <c r="I36" s="105">
        <f t="shared" si="3"/>
        <v>168972.4444309751</v>
      </c>
      <c r="J36" s="105">
        <f t="shared" si="3"/>
        <v>167851.96600589133</v>
      </c>
      <c r="K36" s="105">
        <f t="shared" si="3"/>
        <v>153349.10411751957</v>
      </c>
      <c r="L36" s="105">
        <f t="shared" si="3"/>
        <v>150166.56277029798</v>
      </c>
      <c r="M36" s="105">
        <f t="shared" si="3"/>
        <v>260762.18775198612</v>
      </c>
      <c r="N36" s="24">
        <f aca="true" t="shared" si="4" ref="N36:N44">SUM(B36:M36)</f>
        <v>2858944.52057626</v>
      </c>
      <c r="O36" s="24"/>
    </row>
    <row r="37" spans="1:15" ht="10.5">
      <c r="A37" t="s">
        <v>361</v>
      </c>
      <c r="B37" s="105">
        <f>+B9*B31*$O$33</f>
        <v>5115846.665738868</v>
      </c>
      <c r="C37" s="105">
        <f aca="true" t="shared" si="5" ref="C37:M37">+C9*C31*$O$33</f>
        <v>5534428.967775884</v>
      </c>
      <c r="D37" s="105">
        <f t="shared" si="5"/>
        <v>5973726.058577968</v>
      </c>
      <c r="E37" s="105">
        <f t="shared" si="5"/>
        <v>5617955.524326046</v>
      </c>
      <c r="F37" s="105">
        <f t="shared" si="5"/>
        <v>4435694.793995958</v>
      </c>
      <c r="G37" s="105">
        <f t="shared" si="5"/>
        <v>3853002.0924494164</v>
      </c>
      <c r="H37" s="105">
        <f t="shared" si="5"/>
        <v>3489067.4440143853</v>
      </c>
      <c r="I37" s="105">
        <f t="shared" si="5"/>
        <v>2872344.8016703967</v>
      </c>
      <c r="J37" s="105">
        <f t="shared" si="5"/>
        <v>2937593.49924311</v>
      </c>
      <c r="K37" s="105">
        <f t="shared" si="5"/>
        <v>2589518.5150828985</v>
      </c>
      <c r="L37" s="105">
        <f t="shared" si="5"/>
        <v>2911324.497971686</v>
      </c>
      <c r="M37" s="105">
        <f t="shared" si="5"/>
        <v>4357334.856266288</v>
      </c>
      <c r="N37" s="24">
        <f t="shared" si="4"/>
        <v>49687837.7171129</v>
      </c>
      <c r="O37" s="24"/>
    </row>
    <row r="38" spans="1:15" ht="10.5">
      <c r="A38" t="s">
        <v>362</v>
      </c>
      <c r="B38" s="24">
        <f>+B20*B31*$O$33</f>
        <v>1752109.766783719</v>
      </c>
      <c r="C38" s="24">
        <f aca="true" t="shared" si="6" ref="C38:M38">+C20*C31*$O$33</f>
        <v>1949017.551657694</v>
      </c>
      <c r="D38" s="24">
        <f t="shared" si="6"/>
        <v>1632002.363797304</v>
      </c>
      <c r="E38" s="24">
        <f t="shared" si="6"/>
        <v>1799911.789485402</v>
      </c>
      <c r="F38" s="24">
        <f t="shared" si="6"/>
        <v>1408168.0134597924</v>
      </c>
      <c r="G38" s="24">
        <f t="shared" si="6"/>
        <v>1158553.1380211208</v>
      </c>
      <c r="H38" s="24">
        <f t="shared" si="6"/>
        <v>1079515.972308694</v>
      </c>
      <c r="I38" s="24">
        <f t="shared" si="6"/>
        <v>811833.9891791887</v>
      </c>
      <c r="J38" s="24">
        <f t="shared" si="6"/>
        <v>822153.4056899493</v>
      </c>
      <c r="K38" s="24">
        <f t="shared" si="6"/>
        <v>868333.9232613236</v>
      </c>
      <c r="L38" s="24">
        <f t="shared" si="6"/>
        <v>819614.0979432303</v>
      </c>
      <c r="M38" s="24">
        <f t="shared" si="6"/>
        <v>1288553.5767106123</v>
      </c>
      <c r="N38" s="24">
        <f t="shared" si="4"/>
        <v>15389767.588298028</v>
      </c>
      <c r="O38" s="24"/>
    </row>
    <row r="39" spans="1:15" ht="10.5">
      <c r="A39" t="s">
        <v>363</v>
      </c>
      <c r="B39" s="24">
        <f>+B10*B31*$O$33</f>
        <v>1014906.1147492123</v>
      </c>
      <c r="C39" s="24">
        <f aca="true" t="shared" si="7" ref="C39:M39">+C10*C31*$O$33</f>
        <v>1143704.5341399556</v>
      </c>
      <c r="D39" s="24">
        <f t="shared" si="7"/>
        <v>1019081.9939641047</v>
      </c>
      <c r="E39" s="24">
        <f t="shared" si="7"/>
        <v>1091923.6825156074</v>
      </c>
      <c r="F39" s="24">
        <f t="shared" si="7"/>
        <v>803989.8853997679</v>
      </c>
      <c r="G39" s="24">
        <f t="shared" si="7"/>
        <v>663595.1553524205</v>
      </c>
      <c r="H39" s="24">
        <f t="shared" si="7"/>
        <v>554181.3572137047</v>
      </c>
      <c r="I39" s="24">
        <f t="shared" si="7"/>
        <v>494558.76861517184</v>
      </c>
      <c r="J39" s="24">
        <f t="shared" si="7"/>
        <v>441584.5191612438</v>
      </c>
      <c r="K39" s="24">
        <f t="shared" si="7"/>
        <v>393769.85631462315</v>
      </c>
      <c r="L39" s="24">
        <f t="shared" si="7"/>
        <v>465131.25590679183</v>
      </c>
      <c r="M39" s="24">
        <f t="shared" si="7"/>
        <v>685387.0963774871</v>
      </c>
      <c r="N39" s="24">
        <f t="shared" si="4"/>
        <v>8771814.219710091</v>
      </c>
      <c r="O39" s="24"/>
    </row>
    <row r="40" spans="1:15" ht="10.5">
      <c r="A40" t="s">
        <v>372</v>
      </c>
      <c r="B40" s="24">
        <f>+B21*B31*$O$33</f>
        <v>187383.6215112207</v>
      </c>
      <c r="C40" s="24">
        <f aca="true" t="shared" si="8" ref="C40:M40">+C21*C31*$O$33</f>
        <v>166907.05893505906</v>
      </c>
      <c r="D40" s="24">
        <f t="shared" si="8"/>
        <v>195859.01026088625</v>
      </c>
      <c r="E40" s="24">
        <f t="shared" si="8"/>
        <v>190048.16846479778</v>
      </c>
      <c r="F40" s="24">
        <f t="shared" si="8"/>
        <v>348903.0649393445</v>
      </c>
      <c r="G40" s="24">
        <f t="shared" si="8"/>
        <v>189794.05408974015</v>
      </c>
      <c r="H40" s="24">
        <f t="shared" si="8"/>
        <v>156611.47095384955</v>
      </c>
      <c r="I40" s="24">
        <f t="shared" si="8"/>
        <v>94235.89490842358</v>
      </c>
      <c r="J40" s="24">
        <f t="shared" si="8"/>
        <v>97698.87034008991</v>
      </c>
      <c r="K40" s="24">
        <f t="shared" si="8"/>
        <v>79844.0755667977</v>
      </c>
      <c r="L40" s="24">
        <f t="shared" si="8"/>
        <v>64495.84583057273</v>
      </c>
      <c r="M40" s="24">
        <f t="shared" si="8"/>
        <v>184851.7582960126</v>
      </c>
      <c r="N40" s="24">
        <f t="shared" si="4"/>
        <v>1956632.8940967948</v>
      </c>
      <c r="O40" s="24"/>
    </row>
    <row r="41" spans="1:15" ht="10.5">
      <c r="A41" t="s">
        <v>373</v>
      </c>
      <c r="B41" s="24">
        <f>+B11*B31*$O$33</f>
        <v>350636.5856210882</v>
      </c>
      <c r="C41" s="24">
        <f aca="true" t="shared" si="9" ref="C41:M41">+C11*C31*$O$33</f>
        <v>351132.34770083625</v>
      </c>
      <c r="D41" s="24">
        <f t="shared" si="9"/>
        <v>405562.9402370784</v>
      </c>
      <c r="E41" s="24">
        <f t="shared" si="9"/>
        <v>398926.4698832779</v>
      </c>
      <c r="F41" s="24">
        <f t="shared" si="9"/>
        <v>341000.6014315143</v>
      </c>
      <c r="G41" s="24">
        <f t="shared" si="9"/>
        <v>216680.12135312782</v>
      </c>
      <c r="H41" s="24">
        <f t="shared" si="9"/>
        <v>183631.68848977142</v>
      </c>
      <c r="I41" s="24">
        <f t="shared" si="9"/>
        <v>154372.83587906175</v>
      </c>
      <c r="J41" s="24">
        <f t="shared" si="9"/>
        <v>119803.39546290219</v>
      </c>
      <c r="K41" s="24">
        <f t="shared" si="9"/>
        <v>197371.0661593037</v>
      </c>
      <c r="L41" s="24">
        <f t="shared" si="9"/>
        <v>159743.71626751023</v>
      </c>
      <c r="M41" s="24">
        <f t="shared" si="9"/>
        <v>260992.19823514164</v>
      </c>
      <c r="N41" s="24">
        <f t="shared" si="4"/>
        <v>3139853.966720614</v>
      </c>
      <c r="O41" s="24"/>
    </row>
    <row r="42" spans="1:15" ht="10.5">
      <c r="A42" t="s">
        <v>374</v>
      </c>
      <c r="B42" s="24">
        <f>+B27*B31*$O$33</f>
        <v>55803.150942559834</v>
      </c>
      <c r="C42" s="24">
        <f aca="true" t="shared" si="10" ref="C42:M42">+C27*C31*$O$33</f>
        <v>94892.55498421956</v>
      </c>
      <c r="D42" s="24">
        <f t="shared" si="10"/>
        <v>106622.48038974602</v>
      </c>
      <c r="E42" s="24">
        <f t="shared" si="10"/>
        <v>94897.42742831695</v>
      </c>
      <c r="F42" s="24">
        <f t="shared" si="10"/>
        <v>70291.27610487008</v>
      </c>
      <c r="G42" s="24">
        <f t="shared" si="10"/>
        <v>56342.560737670596</v>
      </c>
      <c r="H42" s="24">
        <f t="shared" si="10"/>
        <v>52244.17100234999</v>
      </c>
      <c r="I42" s="24">
        <f t="shared" si="10"/>
        <v>41827.159782615614</v>
      </c>
      <c r="J42" s="24">
        <f t="shared" si="10"/>
        <v>51365.57214355479</v>
      </c>
      <c r="K42" s="24">
        <f t="shared" si="10"/>
        <v>49718.92183542678</v>
      </c>
      <c r="L42" s="24">
        <f t="shared" si="10"/>
        <v>44978.07760044645</v>
      </c>
      <c r="M42" s="24">
        <f t="shared" si="10"/>
        <v>73641.68969030282</v>
      </c>
      <c r="N42" s="24">
        <f t="shared" si="4"/>
        <v>792625.0426420795</v>
      </c>
      <c r="O42" s="24"/>
    </row>
    <row r="43" spans="1:15" ht="10.5">
      <c r="A43" t="s">
        <v>364</v>
      </c>
      <c r="B43" s="24">
        <f>+B19*B31*$O$33</f>
        <v>2322.0883962522953</v>
      </c>
      <c r="C43" s="24">
        <f aca="true" t="shared" si="11" ref="C43:M43">+C19*C31*$O$33</f>
        <v>2469.470217083072</v>
      </c>
      <c r="D43" s="24">
        <f t="shared" si="11"/>
        <v>4124.109192785561</v>
      </c>
      <c r="E43" s="24">
        <f t="shared" si="11"/>
        <v>3006.0857662449425</v>
      </c>
      <c r="F43" s="24">
        <f t="shared" si="11"/>
        <v>1683.8379087303229</v>
      </c>
      <c r="G43" s="24">
        <f t="shared" si="11"/>
        <v>2133.6721320825077</v>
      </c>
      <c r="H43" s="24">
        <f t="shared" si="11"/>
        <v>3162.8288501260486</v>
      </c>
      <c r="I43" s="24">
        <f t="shared" si="11"/>
        <v>3641.130375339587</v>
      </c>
      <c r="J43" s="24">
        <f t="shared" si="11"/>
        <v>2276.3736474470047</v>
      </c>
      <c r="K43" s="24">
        <f t="shared" si="11"/>
        <v>1541.2018637414474</v>
      </c>
      <c r="L43" s="24">
        <f t="shared" si="11"/>
        <v>1033.3112816647167</v>
      </c>
      <c r="M43" s="24">
        <f t="shared" si="11"/>
        <v>1134.950717388763</v>
      </c>
      <c r="N43" s="24">
        <f t="shared" si="4"/>
        <v>28529.060348886265</v>
      </c>
      <c r="O43" s="24"/>
    </row>
    <row r="44" spans="1:15" ht="10.5">
      <c r="A44" t="s">
        <v>365</v>
      </c>
      <c r="B44" s="104">
        <f>+B12*B31*$O$33</f>
        <v>11598.06411134542</v>
      </c>
      <c r="C44" s="104">
        <f aca="true" t="shared" si="12" ref="C44:M44">+C12*C31*$O$33</f>
        <v>9716.911780203745</v>
      </c>
      <c r="D44" s="104">
        <f t="shared" si="12"/>
        <v>15297.650301275098</v>
      </c>
      <c r="E44" s="104">
        <f t="shared" si="12"/>
        <v>11746.137368152424</v>
      </c>
      <c r="F44" s="104">
        <f t="shared" si="12"/>
        <v>11311.477408156481</v>
      </c>
      <c r="G44" s="104">
        <f t="shared" si="12"/>
        <v>10709.466926653742</v>
      </c>
      <c r="H44" s="104">
        <f t="shared" si="12"/>
        <v>11736.237478309287</v>
      </c>
      <c r="I44" s="104">
        <f t="shared" si="12"/>
        <v>8974.362059703943</v>
      </c>
      <c r="J44" s="104">
        <f t="shared" si="12"/>
        <v>10863.758980915365</v>
      </c>
      <c r="K44" s="104">
        <f t="shared" si="12"/>
        <v>5188.6808529459095</v>
      </c>
      <c r="L44" s="104">
        <f t="shared" si="12"/>
        <v>15728.960197355653</v>
      </c>
      <c r="M44" s="104">
        <f t="shared" si="12"/>
        <v>242.78884333086128</v>
      </c>
      <c r="N44" s="104">
        <f t="shared" si="4"/>
        <v>123114.49630834791</v>
      </c>
      <c r="O44" s="24"/>
    </row>
    <row r="45" spans="2:14" ht="10.5">
      <c r="B45" s="24">
        <f>SUM(B33:B44)</f>
        <v>18343182.03908054</v>
      </c>
      <c r="C45" s="24">
        <f aca="true" t="shared" si="13" ref="C45:N45">SUM(C33:C44)</f>
        <v>24134771.534504473</v>
      </c>
      <c r="D45" s="24">
        <f t="shared" si="13"/>
        <v>22707331.16032675</v>
      </c>
      <c r="E45" s="24">
        <f t="shared" si="13"/>
        <v>17314961.13665289</v>
      </c>
      <c r="F45" s="24">
        <f t="shared" si="13"/>
        <v>13864760.821921587</v>
      </c>
      <c r="G45" s="24">
        <f t="shared" si="13"/>
        <v>11518766.030029362</v>
      </c>
      <c r="H45" s="24">
        <f t="shared" si="13"/>
        <v>10307020.683409965</v>
      </c>
      <c r="I45" s="24">
        <f t="shared" si="13"/>
        <v>8414139.62054186</v>
      </c>
      <c r="J45" s="24">
        <f t="shared" si="13"/>
        <v>8502675.328314546</v>
      </c>
      <c r="K45" s="24">
        <f t="shared" si="13"/>
        <v>8531511.090951202</v>
      </c>
      <c r="L45" s="24">
        <f t="shared" si="13"/>
        <v>10189104.602082813</v>
      </c>
      <c r="M45" s="24">
        <f t="shared" si="13"/>
        <v>15806023.952184014</v>
      </c>
      <c r="N45" s="24">
        <f t="shared" si="13"/>
        <v>169634248</v>
      </c>
    </row>
    <row r="46" ht="10.5">
      <c r="N46" s="24">
        <f>+'Unbilled Fuel'!N36</f>
        <v>-2066480.384160404</v>
      </c>
    </row>
    <row r="47" spans="13:14" ht="10.5">
      <c r="M47" s="24"/>
      <c r="N47" s="24">
        <f>+N45+N46</f>
        <v>167567767.6158396</v>
      </c>
    </row>
    <row r="48" ht="10.5">
      <c r="N48" s="24">
        <f>+N49-N47</f>
        <v>2066480.3841603994</v>
      </c>
    </row>
    <row r="49" ht="10.5">
      <c r="N49" s="106">
        <v>169634248</v>
      </c>
    </row>
    <row r="52" ht="10.5">
      <c r="N52">
        <f>+N46+N48</f>
        <v>-4.6566128730773926E-09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5.875" style="0" customWidth="1"/>
    <col min="2" max="2" width="13.00390625" style="0" bestFit="1" customWidth="1"/>
    <col min="3" max="4" width="11.875" style="0" bestFit="1" customWidth="1"/>
    <col min="5" max="7" width="13.00390625" style="0" bestFit="1" customWidth="1"/>
    <col min="8" max="9" width="11.875" style="0" bestFit="1" customWidth="1"/>
    <col min="10" max="12" width="10.875" style="0" bestFit="1" customWidth="1"/>
    <col min="13" max="13" width="11.875" style="0" bestFit="1" customWidth="1"/>
    <col min="14" max="14" width="14.00390625" style="0" bestFit="1" customWidth="1"/>
  </cols>
  <sheetData>
    <row r="1" ht="12.75">
      <c r="A1" s="73" t="s">
        <v>338</v>
      </c>
    </row>
    <row r="2" spans="1:4" ht="12" customHeight="1">
      <c r="A2" s="99" t="s">
        <v>237</v>
      </c>
      <c r="B2" s="99" t="s">
        <v>320</v>
      </c>
      <c r="D2" t="s">
        <v>358</v>
      </c>
    </row>
    <row r="3" ht="12.75">
      <c r="A3" t="str">
        <f>+A2</f>
        <v>Actual 2007</v>
      </c>
    </row>
    <row r="4" spans="2:14" ht="12.75">
      <c r="B4" s="74" t="s">
        <v>325</v>
      </c>
      <c r="C4" s="74" t="s">
        <v>326</v>
      </c>
      <c r="D4" s="74" t="s">
        <v>327</v>
      </c>
      <c r="E4" s="74" t="s">
        <v>328</v>
      </c>
      <c r="F4" s="74" t="s">
        <v>329</v>
      </c>
      <c r="G4" s="74" t="s">
        <v>330</v>
      </c>
      <c r="H4" s="74" t="s">
        <v>331</v>
      </c>
      <c r="I4" s="74" t="s">
        <v>332</v>
      </c>
      <c r="J4" s="74" t="s">
        <v>333</v>
      </c>
      <c r="K4" s="74" t="s">
        <v>334</v>
      </c>
      <c r="L4" s="74" t="s">
        <v>335</v>
      </c>
      <c r="M4" s="74" t="s">
        <v>336</v>
      </c>
      <c r="N4" s="75" t="s">
        <v>41</v>
      </c>
    </row>
    <row r="5" spans="1:14" ht="12.75">
      <c r="A5" s="74" t="s">
        <v>339</v>
      </c>
      <c r="B5" s="102">
        <v>98661</v>
      </c>
      <c r="C5" s="102">
        <v>1192939</v>
      </c>
      <c r="D5" s="102">
        <v>-378898</v>
      </c>
      <c r="E5" s="102">
        <v>-1299611</v>
      </c>
      <c r="F5" s="102">
        <v>-757856</v>
      </c>
      <c r="G5" s="102">
        <v>-450191</v>
      </c>
      <c r="H5" s="102">
        <v>-270443</v>
      </c>
      <c r="I5" s="102">
        <v>-235884</v>
      </c>
      <c r="J5" s="102">
        <v>-7962</v>
      </c>
      <c r="K5" s="102">
        <v>113216</v>
      </c>
      <c r="L5" s="102">
        <v>422040</v>
      </c>
      <c r="M5" s="102">
        <v>1023799</v>
      </c>
      <c r="N5" s="82">
        <v>-550190</v>
      </c>
    </row>
    <row r="6" spans="1:14" ht="12.75">
      <c r="A6" s="74" t="s">
        <v>340</v>
      </c>
      <c r="B6" s="102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82">
        <v>0</v>
      </c>
    </row>
    <row r="7" spans="1:14" ht="12.75">
      <c r="A7" s="74" t="s">
        <v>341</v>
      </c>
      <c r="B7" s="102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82">
        <v>0</v>
      </c>
    </row>
    <row r="8" spans="1:14" ht="12.75">
      <c r="A8" s="74" t="s">
        <v>342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82">
        <v>0</v>
      </c>
    </row>
    <row r="9" spans="1:14" ht="12.75">
      <c r="A9" s="74" t="s">
        <v>343</v>
      </c>
      <c r="B9" s="102">
        <v>64549</v>
      </c>
      <c r="C9" s="102">
        <v>87872</v>
      </c>
      <c r="D9" s="102">
        <v>-11165</v>
      </c>
      <c r="E9" s="102">
        <v>-128384</v>
      </c>
      <c r="F9" s="102">
        <v>-248689</v>
      </c>
      <c r="G9" s="102">
        <v>-156110</v>
      </c>
      <c r="H9" s="102">
        <v>-91010</v>
      </c>
      <c r="I9" s="102">
        <v>-145257</v>
      </c>
      <c r="J9" s="102">
        <v>-6067</v>
      </c>
      <c r="K9" s="102">
        <v>6367</v>
      </c>
      <c r="L9" s="102">
        <v>74669</v>
      </c>
      <c r="M9" s="102">
        <v>305989</v>
      </c>
      <c r="N9" s="82">
        <v>-247236</v>
      </c>
    </row>
    <row r="10" spans="1:14" ht="12.75">
      <c r="A10" s="74" t="s">
        <v>344</v>
      </c>
      <c r="B10" s="102">
        <v>24144</v>
      </c>
      <c r="C10" s="102">
        <v>33103</v>
      </c>
      <c r="D10" s="102">
        <v>-47889</v>
      </c>
      <c r="E10" s="102">
        <v>-6830</v>
      </c>
      <c r="F10" s="102">
        <v>-56361</v>
      </c>
      <c r="G10" s="102">
        <v>-41083</v>
      </c>
      <c r="H10" s="102">
        <v>-33277</v>
      </c>
      <c r="I10" s="102">
        <v>-18055</v>
      </c>
      <c r="J10" s="102">
        <v>-24340</v>
      </c>
      <c r="K10" s="102">
        <v>907</v>
      </c>
      <c r="L10" s="102">
        <v>18800</v>
      </c>
      <c r="M10" s="102">
        <v>48087</v>
      </c>
      <c r="N10" s="82">
        <v>-102794</v>
      </c>
    </row>
    <row r="11" spans="1:14" ht="12.75">
      <c r="A11" s="74" t="s">
        <v>345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82">
        <v>0</v>
      </c>
    </row>
    <row r="12" spans="1:14" ht="12.75">
      <c r="A12" s="74" t="s">
        <v>346</v>
      </c>
      <c r="B12" s="102">
        <v>-209</v>
      </c>
      <c r="C12" s="102">
        <v>-658</v>
      </c>
      <c r="D12" s="102">
        <v>840</v>
      </c>
      <c r="E12" s="102">
        <v>-640</v>
      </c>
      <c r="F12" s="102">
        <v>-151</v>
      </c>
      <c r="G12" s="102">
        <v>-8</v>
      </c>
      <c r="H12" s="102">
        <v>450</v>
      </c>
      <c r="I12" s="102">
        <v>-438</v>
      </c>
      <c r="J12" s="102">
        <v>495</v>
      </c>
      <c r="K12" s="102">
        <v>-1323</v>
      </c>
      <c r="L12" s="102">
        <v>8348</v>
      </c>
      <c r="M12" s="102">
        <v>-7733</v>
      </c>
      <c r="N12" s="82">
        <v>-1027</v>
      </c>
    </row>
    <row r="13" spans="1:14" ht="12.75">
      <c r="A13" s="74" t="s">
        <v>347</v>
      </c>
      <c r="B13" s="102">
        <v>-8095</v>
      </c>
      <c r="C13" s="102">
        <v>16675</v>
      </c>
      <c r="D13" s="102">
        <v>-3931</v>
      </c>
      <c r="E13" s="102">
        <v>-24935</v>
      </c>
      <c r="F13" s="102">
        <v>-13931</v>
      </c>
      <c r="G13" s="102">
        <v>-6114</v>
      </c>
      <c r="H13" s="102">
        <v>-4593</v>
      </c>
      <c r="I13" s="102">
        <v>-4780</v>
      </c>
      <c r="J13" s="102">
        <v>-619</v>
      </c>
      <c r="K13" s="102">
        <v>2844</v>
      </c>
      <c r="L13" s="102">
        <v>-7789</v>
      </c>
      <c r="M13" s="102">
        <v>27473</v>
      </c>
      <c r="N13" s="82">
        <v>-27795</v>
      </c>
    </row>
    <row r="14" spans="1:14" ht="12.75">
      <c r="A14" s="74" t="s">
        <v>348</v>
      </c>
      <c r="B14" s="102">
        <v>-226</v>
      </c>
      <c r="C14" s="102">
        <v>-56</v>
      </c>
      <c r="D14" s="102">
        <v>306</v>
      </c>
      <c r="E14" s="102">
        <v>-183</v>
      </c>
      <c r="F14" s="102">
        <v>-338</v>
      </c>
      <c r="G14" s="102">
        <v>34</v>
      </c>
      <c r="H14" s="102">
        <v>328</v>
      </c>
      <c r="I14" s="102">
        <v>311</v>
      </c>
      <c r="J14" s="102">
        <v>-280</v>
      </c>
      <c r="K14" s="102">
        <v>-248</v>
      </c>
      <c r="L14" s="102">
        <v>-273</v>
      </c>
      <c r="M14" s="102">
        <v>-109</v>
      </c>
      <c r="N14" s="82">
        <v>-734</v>
      </c>
    </row>
    <row r="15" spans="1:14" ht="12.75">
      <c r="A15" s="74" t="s">
        <v>349</v>
      </c>
      <c r="B15" s="102">
        <v>64077</v>
      </c>
      <c r="C15" s="102">
        <v>58057</v>
      </c>
      <c r="D15" s="102">
        <v>-105730</v>
      </c>
      <c r="E15" s="102">
        <v>-8949</v>
      </c>
      <c r="F15" s="102">
        <v>-72085</v>
      </c>
      <c r="G15" s="102">
        <v>-64043</v>
      </c>
      <c r="H15" s="102">
        <v>-24696</v>
      </c>
      <c r="I15" s="102">
        <v>-66426</v>
      </c>
      <c r="J15" s="102">
        <v>-12628</v>
      </c>
      <c r="K15" s="102">
        <v>47861</v>
      </c>
      <c r="L15" s="102">
        <v>-11863</v>
      </c>
      <c r="M15" s="102">
        <v>92930</v>
      </c>
      <c r="N15" s="82">
        <v>-103495</v>
      </c>
    </row>
    <row r="16" spans="1:14" ht="12.75">
      <c r="A16" s="74" t="s">
        <v>350</v>
      </c>
      <c r="B16" s="102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82">
        <v>0</v>
      </c>
    </row>
    <row r="17" spans="1:14" ht="12.75">
      <c r="A17" s="74" t="s">
        <v>351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82">
        <v>0</v>
      </c>
    </row>
    <row r="18" spans="1:14" ht="12.75">
      <c r="A18" s="74" t="s">
        <v>352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82">
        <v>0</v>
      </c>
    </row>
    <row r="19" spans="1:14" ht="12.75">
      <c r="A19" s="74" t="s">
        <v>353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82">
        <v>0</v>
      </c>
    </row>
    <row r="20" spans="1:14" ht="12.75">
      <c r="A20" s="74" t="s">
        <v>354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82">
        <v>0</v>
      </c>
    </row>
    <row r="21" spans="1:14" ht="12.75">
      <c r="A21" s="74" t="s">
        <v>355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82">
        <v>0</v>
      </c>
    </row>
    <row r="22" spans="1:14" ht="12.75">
      <c r="A22" s="74" t="s">
        <v>356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82">
        <v>0</v>
      </c>
    </row>
    <row r="23" spans="1:14" ht="12.75">
      <c r="A23" s="74" t="s">
        <v>357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82">
        <v>0</v>
      </c>
    </row>
    <row r="26" spans="1:14" ht="12.75">
      <c r="A26" s="74" t="s">
        <v>337</v>
      </c>
      <c r="B26" s="103">
        <v>1.10278</v>
      </c>
      <c r="C26" s="103">
        <v>1.15278</v>
      </c>
      <c r="D26" s="103">
        <v>1.30278</v>
      </c>
      <c r="E26" s="103">
        <v>1.30278</v>
      </c>
      <c r="F26" s="103">
        <v>1.26278</v>
      </c>
      <c r="G26" s="103">
        <v>1.21278</v>
      </c>
      <c r="H26" s="103">
        <v>1.19278</v>
      </c>
      <c r="I26" s="103">
        <v>1.12278</v>
      </c>
      <c r="J26" s="103">
        <v>1.07278</v>
      </c>
      <c r="K26" s="103">
        <v>1.05278</v>
      </c>
      <c r="L26" s="103">
        <v>1.05278</v>
      </c>
      <c r="M26" s="103">
        <v>1.05278</v>
      </c>
      <c r="N26" s="103">
        <v>13.88336</v>
      </c>
    </row>
    <row r="27" spans="1:14" ht="12.75">
      <c r="A27" s="85" t="s">
        <v>366</v>
      </c>
      <c r="B27" s="103">
        <v>1.1009</v>
      </c>
      <c r="C27" s="103">
        <v>1.13625</v>
      </c>
      <c r="D27" s="103">
        <v>1.26179</v>
      </c>
      <c r="E27" s="103">
        <v>1.30231</v>
      </c>
      <c r="F27" s="103">
        <v>1.22555</v>
      </c>
      <c r="G27" s="103">
        <v>1.14251</v>
      </c>
      <c r="H27" s="103">
        <v>1.07656</v>
      </c>
      <c r="I27" s="103">
        <v>1.00667</v>
      </c>
      <c r="J27" s="103">
        <v>0.98045</v>
      </c>
      <c r="K27" s="103">
        <v>0.85619</v>
      </c>
      <c r="L27" s="103">
        <v>0.89054</v>
      </c>
      <c r="M27" s="103">
        <v>1.0332</v>
      </c>
      <c r="N27" s="103">
        <v>13.01292</v>
      </c>
    </row>
    <row r="29" spans="1:14" ht="12.75">
      <c r="A29" t="s">
        <v>359</v>
      </c>
      <c r="B29" s="24">
        <f>+B5*B26*'Fuel Rev'!$O$33</f>
        <v>122329.84815814717</v>
      </c>
      <c r="C29" s="24">
        <f>+C5*C26*'Fuel Rev'!$O$33</f>
        <v>1546189.4745582729</v>
      </c>
      <c r="D29" s="24">
        <f>+D5*D26*'Fuel Rev'!$O$33</f>
        <v>-554998.0255720395</v>
      </c>
      <c r="E29" s="24">
        <f>+E5*E26*'Fuel Rev'!$O$33</f>
        <v>-1903629.839723894</v>
      </c>
      <c r="F29" s="24">
        <f>+F5*F26*'Fuel Rev'!$O$33</f>
        <v>-1076000.394786374</v>
      </c>
      <c r="G29" s="24">
        <f>+G5*G26*'Fuel Rev'!$O$33</f>
        <v>-613870.6609570078</v>
      </c>
      <c r="H29" s="24">
        <f>+H5*H26*'Fuel Rev'!$O$33</f>
        <v>-362688.792689043</v>
      </c>
      <c r="I29" s="24">
        <f>+I5*I26*'Fuel Rev'!$O$33</f>
        <v>-297777.0301236926</v>
      </c>
      <c r="J29" s="24">
        <f>+J5*J26*'Fuel Rev'!$O$33</f>
        <v>-9603.529704733975</v>
      </c>
      <c r="K29" s="24">
        <f>+K5*K26*'Fuel Rev'!$O$33</f>
        <v>134011.9341589503</v>
      </c>
      <c r="L29" s="24">
        <f>+L5*L26*'Fuel Rev'!$O$33</f>
        <v>499561.87016361096</v>
      </c>
      <c r="M29" s="24">
        <f>+M5*M26*'Fuel Rev'!$O$33</f>
        <v>1211854.1918103374</v>
      </c>
      <c r="N29" s="24">
        <f>SUM(B29:M29)</f>
        <v>-1304620.954707466</v>
      </c>
    </row>
    <row r="30" spans="1:14" ht="12.75">
      <c r="A30" t="s">
        <v>360</v>
      </c>
      <c r="B30" s="105">
        <f>+B13*B27*'Fuel Rev'!$O$33</f>
        <v>-10019.885697048152</v>
      </c>
      <c r="C30" s="105">
        <f>+C13*C27*'Fuel Rev'!$O$33</f>
        <v>21302.853528122203</v>
      </c>
      <c r="D30" s="105">
        <f>+D13*D27*'Fuel Rev'!$O$33</f>
        <v>-5576.839778754745</v>
      </c>
      <c r="E30" s="105">
        <f>+E13*E27*'Fuel Rev'!$O$33</f>
        <v>-36510.83710731497</v>
      </c>
      <c r="F30" s="105">
        <f>+F13*F27*'Fuel Rev'!$O$33</f>
        <v>-19196.027746744785</v>
      </c>
      <c r="G30" s="105">
        <f>+G13*G27*'Fuel Rev'!$O$33</f>
        <v>-7853.865993710086</v>
      </c>
      <c r="H30" s="105">
        <f>+H13*H27*'Fuel Rev'!$O$33</f>
        <v>-5559.461503493663</v>
      </c>
      <c r="I30" s="105">
        <f>+I13*I27*'Fuel Rev'!$O$33</f>
        <v>-5410.196827517322</v>
      </c>
      <c r="J30" s="105">
        <f>+J13*J27*'Fuel Rev'!$O$33</f>
        <v>-682.3609141741869</v>
      </c>
      <c r="K30" s="105">
        <f>+K13*K27*'Fuel Rev'!$O$33</f>
        <v>2737.7752032983612</v>
      </c>
      <c r="L30" s="105">
        <f>+L13*L27*'Fuel Rev'!$O$33</f>
        <v>-7798.896872952013</v>
      </c>
      <c r="M30" s="105">
        <f>+M13*M27*'Fuel Rev'!$O$33</f>
        <v>31914.535372386374</v>
      </c>
      <c r="N30" s="105">
        <f aca="true" t="shared" si="0" ref="N30:N35">SUM(B30:M30)</f>
        <v>-42653.208337903</v>
      </c>
    </row>
    <row r="31" spans="1:14" ht="12.75">
      <c r="A31" t="s">
        <v>361</v>
      </c>
      <c r="B31" s="105">
        <f>+B9*B27*'Fuel Rev'!$O$33</f>
        <v>79897.91252115641</v>
      </c>
      <c r="C31" s="105">
        <f>+C9*C27*'Fuel Rev'!$O$33</f>
        <v>112259.33104786533</v>
      </c>
      <c r="D31" s="105">
        <f>+D9*D27*'Fuel Rev'!$O$33</f>
        <v>-15839.586906587821</v>
      </c>
      <c r="E31" s="105">
        <f>+E9*E27*'Fuel Rev'!$O$33</f>
        <v>-187985.05358674654</v>
      </c>
      <c r="F31" s="105">
        <f>+F9*F27*'Fuel Rev'!$O$33</f>
        <v>-342677.549659767</v>
      </c>
      <c r="G31" s="105">
        <f>+G9*G27*'Fuel Rev'!$O$33</f>
        <v>-200534.3507160748</v>
      </c>
      <c r="H31" s="105">
        <f>+H9*H27*'Fuel Rev'!$O$33</f>
        <v>-110160.37261766999</v>
      </c>
      <c r="I31" s="105">
        <f>+I9*I27*'Fuel Rev'!$O$33</f>
        <v>-164407.7323377999</v>
      </c>
      <c r="J31" s="105">
        <f>+J9*J27*'Fuel Rev'!$O$33</f>
        <v>-6688.018847002894</v>
      </c>
      <c r="K31" s="105">
        <f>+K9*K27*'Fuel Rev'!$O$33</f>
        <v>6129.189423136661</v>
      </c>
      <c r="L31" s="105">
        <f>+L9*L27*'Fuel Rev'!$O$33</f>
        <v>74763.87605680496</v>
      </c>
      <c r="M31" s="105">
        <f>+M9*M27*'Fuel Rev'!$O$33</f>
        <v>355457.9683347699</v>
      </c>
      <c r="N31" s="105">
        <f t="shared" si="0"/>
        <v>-399784.3872879156</v>
      </c>
    </row>
    <row r="32" spans="1:14" ht="10.5">
      <c r="A32" t="s">
        <v>362</v>
      </c>
      <c r="B32" s="24">
        <f>+B15*B27*'Fuel Rev'!$O$33</f>
        <v>79313.67706111852</v>
      </c>
      <c r="C32" s="24">
        <f>+C15*C27*'Fuel Rev'!$O$33</f>
        <v>74169.70118633828</v>
      </c>
      <c r="D32" s="24">
        <f>+D15*D27*'Fuel Rev'!$O$33</f>
        <v>-149997.27036574384</v>
      </c>
      <c r="E32" s="24">
        <f>+E15*E27*'Fuel Rev'!$O$33</f>
        <v>-13103.488320567943</v>
      </c>
      <c r="F32" s="24">
        <f>+F15*F27*'Fuel Rev'!$O$33</f>
        <v>-99328.52344584726</v>
      </c>
      <c r="G32" s="24">
        <f>+G15*G27*'Fuel Rev'!$O$33</f>
        <v>-82267.7690276701</v>
      </c>
      <c r="H32" s="24">
        <f>+H15*H27*'Fuel Rev'!$O$33</f>
        <v>-29892.54545836697</v>
      </c>
      <c r="I32" s="24">
        <f>+I15*I27*'Fuel Rev'!$O$33</f>
        <v>-75183.62645704302</v>
      </c>
      <c r="J32" s="24">
        <f>+J15*J27*'Fuel Rev'!$O$33</f>
        <v>-13920.603593201344</v>
      </c>
      <c r="K32" s="24">
        <f>+K15*K27*'Fuel Rev'!$O$33</f>
        <v>46073.36814524011</v>
      </c>
      <c r="L32" s="24">
        <f>+L15*L27*'Fuel Rev'!$O$33</f>
        <v>-11878.073386035401</v>
      </c>
      <c r="M32" s="24">
        <f>+M15*M27*'Fuel Rev'!$O$33</f>
        <v>107953.9100992198</v>
      </c>
      <c r="N32" s="105">
        <f t="shared" si="0"/>
        <v>-168061.24356255916</v>
      </c>
    </row>
    <row r="33" spans="1:14" ht="10.5">
      <c r="A33" t="s">
        <v>363</v>
      </c>
      <c r="B33" s="24">
        <f>+B10*B27*'Fuel Rev'!$O$33</f>
        <v>29885.12912532805</v>
      </c>
      <c r="C33" s="24">
        <f>+C10*C27*'Fuel Rev'!$O$33</f>
        <v>42290.15654221465</v>
      </c>
      <c r="D33" s="24">
        <f>+D10*D27*'Fuel Rev'!$O$33</f>
        <v>-67939.27249167794</v>
      </c>
      <c r="E33" s="24">
        <f>+E10*E27*'Fuel Rev'!$O$33</f>
        <v>-10000.762680688238</v>
      </c>
      <c r="F33" s="24">
        <f>+F10*F27*'Fuel Rev'!$O$33</f>
        <v>-77661.85627982793</v>
      </c>
      <c r="G33" s="24">
        <f>+G10*G27*'Fuel Rev'!$O$33</f>
        <v>-52774.02299960605</v>
      </c>
      <c r="H33" s="24">
        <f>+H10*H27*'Fuel Rev'!$O$33</f>
        <v>-40279.164043491975</v>
      </c>
      <c r="I33" s="24">
        <f>+I10*I27*'Fuel Rev'!$O$33</f>
        <v>-20435.37734745298</v>
      </c>
      <c r="J33" s="24">
        <f>+J10*J27*'Fuel Rev'!$O$33</f>
        <v>-26831.44531663927</v>
      </c>
      <c r="K33" s="24">
        <f>+K10*K27*'Fuel Rev'!$O$33</f>
        <v>873.123104568078</v>
      </c>
      <c r="L33" s="24">
        <f>+L10*L27*'Fuel Rev'!$O$33</f>
        <v>18823.88768924096</v>
      </c>
      <c r="M33" s="24">
        <f>+M10*M27*'Fuel Rev'!$O$33</f>
        <v>55861.18234091448</v>
      </c>
      <c r="N33" s="105">
        <f t="shared" si="0"/>
        <v>-148188.42235711814</v>
      </c>
    </row>
    <row r="34" spans="1:14" ht="10.5">
      <c r="A34" t="s">
        <v>364</v>
      </c>
      <c r="B34" s="24">
        <f>+B14*B27*'Fuel Rev'!$O$33</f>
        <v>-279.7398601028885</v>
      </c>
      <c r="C34" s="24">
        <f>+C14*C27*'Fuel Rev'!$O$33</f>
        <v>-71.54181694601759</v>
      </c>
      <c r="D34" s="24">
        <f>+D14*D27*'Fuel Rev'!$O$33</f>
        <v>434.11675713532225</v>
      </c>
      <c r="E34" s="24">
        <f>+E14*E27*'Fuel Rev'!$O$33</f>
        <v>-267.9560132600216</v>
      </c>
      <c r="F34" s="24">
        <f>+F14*F27*'Fuel Rev'!$O$33</f>
        <v>-465.7424002871106</v>
      </c>
      <c r="G34" s="24">
        <f>+G14*G27*'Fuel Rev'!$O$33</f>
        <v>43.67540788127951</v>
      </c>
      <c r="H34" s="24">
        <f>+H14*H27*'Fuel Rev'!$O$33</f>
        <v>397.01793449726136</v>
      </c>
      <c r="I34" s="24">
        <f>+I14*I27*'Fuel Rev'!$O$33</f>
        <v>352.0023458907714</v>
      </c>
      <c r="J34" s="24">
        <f>+J14*J27*'Fuel Rev'!$O$33</f>
        <v>-308.66083355213624</v>
      </c>
      <c r="K34" s="24">
        <f>+K14*K27*'Fuel Rev'!$O$33</f>
        <v>-238.73707820604557</v>
      </c>
      <c r="L34" s="24">
        <f>+L14*L27*'Fuel Rev'!$O$33</f>
        <v>-273.3468797427012</v>
      </c>
      <c r="M34" s="24">
        <f>+M14*M27*'Fuel Rev'!$O$33</f>
        <v>-126.62193264623866</v>
      </c>
      <c r="N34" s="105">
        <f t="shared" si="0"/>
        <v>-805.5343693385256</v>
      </c>
    </row>
    <row r="35" spans="1:14" ht="10.5">
      <c r="A35" t="s">
        <v>365</v>
      </c>
      <c r="B35" s="104">
        <f>+B12*B27*'Fuel Rev'!$O$33</f>
        <v>-258.6974812455916</v>
      </c>
      <c r="C35" s="104">
        <f>+C12*C27*'Fuel Rev'!$O$33</f>
        <v>-840.6163491157068</v>
      </c>
      <c r="D35" s="104">
        <f>+D12*D27*'Fuel Rev'!$O$33</f>
        <v>1191.6930588028454</v>
      </c>
      <c r="E35" s="104">
        <f>+E12*E27*'Fuel Rev'!$O$33</f>
        <v>-937.113926155267</v>
      </c>
      <c r="F35" s="104">
        <f>+F12*F27*'Fuel Rev'!$O$33</f>
        <v>-208.06835042412337</v>
      </c>
      <c r="G35" s="104">
        <f>+G12*G27*'Fuel Rev'!$O$33</f>
        <v>-10.27656656030106</v>
      </c>
      <c r="H35" s="104">
        <f>+H12*H27*'Fuel Rev'!$O$33</f>
        <v>544.6892394017306</v>
      </c>
      <c r="I35" s="104">
        <f>+I12*I27*'Fuel Rev'!$O$33</f>
        <v>-495.7460691323404</v>
      </c>
      <c r="J35" s="104">
        <f>+J12*J27*'Fuel Rev'!$O$33</f>
        <v>545.6682593153837</v>
      </c>
      <c r="K35" s="104">
        <f>+K12*K27*'Fuel Rev'!$O$33</f>
        <v>-1273.5853002685415</v>
      </c>
      <c r="L35" s="104">
        <f>+L12*L27*'Fuel Rev'!$O$33</f>
        <v>8358.607150520402</v>
      </c>
      <c r="M35" s="104">
        <f>+M12*M27*'Fuel Rev'!$O$33</f>
        <v>-8983.187203241867</v>
      </c>
      <c r="N35" s="104">
        <f t="shared" si="0"/>
        <v>-2366.633538103377</v>
      </c>
    </row>
    <row r="36" spans="2:14" ht="10.5">
      <c r="B36" s="24">
        <f>SUM(B29:B35)</f>
        <v>300868.24382735346</v>
      </c>
      <c r="C36" s="24">
        <f aca="true" t="shared" si="1" ref="C36:N36">SUM(C29:C35)</f>
        <v>1795299.3586967513</v>
      </c>
      <c r="D36" s="24">
        <f t="shared" si="1"/>
        <v>-792725.1852988655</v>
      </c>
      <c r="E36" s="24">
        <f t="shared" si="1"/>
        <v>-2152435.051358627</v>
      </c>
      <c r="F36" s="24">
        <f t="shared" si="1"/>
        <v>-1615538.162669272</v>
      </c>
      <c r="G36" s="24">
        <f t="shared" si="1"/>
        <v>-957267.270852748</v>
      </c>
      <c r="H36" s="24">
        <f t="shared" si="1"/>
        <v>-547638.6291381667</v>
      </c>
      <c r="I36" s="24">
        <f t="shared" si="1"/>
        <v>-563357.7068167474</v>
      </c>
      <c r="J36" s="24">
        <f t="shared" si="1"/>
        <v>-57488.95094998842</v>
      </c>
      <c r="K36" s="24">
        <f t="shared" si="1"/>
        <v>188313.06765671892</v>
      </c>
      <c r="L36" s="24">
        <f t="shared" si="1"/>
        <v>581557.9239214472</v>
      </c>
      <c r="M36" s="24">
        <f t="shared" si="1"/>
        <v>1753931.9788217396</v>
      </c>
      <c r="N36" s="24">
        <f t="shared" si="1"/>
        <v>-2066480.384160404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3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18.125" style="0" customWidth="1"/>
    <col min="2" max="2" width="16.00390625" style="0" bestFit="1" customWidth="1"/>
    <col min="3" max="3" width="14.00390625" style="0" bestFit="1" customWidth="1"/>
    <col min="4" max="4" width="17.125" style="0" bestFit="1" customWidth="1"/>
    <col min="5" max="5" width="3.25390625" style="0" customWidth="1"/>
    <col min="6" max="6" width="16.00390625" style="0" bestFit="1" customWidth="1"/>
    <col min="7" max="7" width="14.00390625" style="0" bestFit="1" customWidth="1"/>
    <col min="8" max="8" width="16.00390625" style="0" bestFit="1" customWidth="1"/>
    <col min="9" max="9" width="17.125" style="0" bestFit="1" customWidth="1"/>
    <col min="10" max="17" width="16.00390625" style="0" bestFit="1" customWidth="1"/>
    <col min="18" max="18" width="17.125" style="0" bestFit="1" customWidth="1"/>
  </cols>
  <sheetData>
    <row r="1" spans="1:8" ht="12.75">
      <c r="A1" s="73" t="s">
        <v>105</v>
      </c>
      <c r="B1" s="148" t="s">
        <v>480</v>
      </c>
      <c r="F1" s="73" t="s">
        <v>256</v>
      </c>
      <c r="H1" s="148" t="s">
        <v>480</v>
      </c>
    </row>
    <row r="2" spans="1:8" ht="12" customHeight="1">
      <c r="A2" s="80" t="s">
        <v>236</v>
      </c>
      <c r="B2" s="81" t="s">
        <v>41</v>
      </c>
      <c r="C2" s="80" t="s">
        <v>237</v>
      </c>
      <c r="F2" s="99" t="s">
        <v>257</v>
      </c>
      <c r="G2" s="99" t="s">
        <v>258</v>
      </c>
      <c r="H2" s="99" t="s">
        <v>41</v>
      </c>
    </row>
    <row r="4" spans="2:9" ht="12.75">
      <c r="B4" s="75" t="s">
        <v>215</v>
      </c>
      <c r="C4" s="75" t="s">
        <v>216</v>
      </c>
      <c r="D4" s="75" t="s">
        <v>106</v>
      </c>
      <c r="G4" s="75" t="s">
        <v>319</v>
      </c>
      <c r="H4" s="74" t="s">
        <v>320</v>
      </c>
      <c r="I4" s="75" t="s">
        <v>106</v>
      </c>
    </row>
    <row r="5" spans="1:9" ht="12.75">
      <c r="A5" s="74" t="s">
        <v>107</v>
      </c>
      <c r="B5" s="76">
        <v>3652049</v>
      </c>
      <c r="C5" s="76">
        <v>0</v>
      </c>
      <c r="D5" s="76">
        <v>3652049</v>
      </c>
      <c r="F5" s="74" t="s">
        <v>88</v>
      </c>
      <c r="G5" s="76">
        <v>25222071.048860006</v>
      </c>
      <c r="H5" s="76">
        <v>-207240.0673</v>
      </c>
      <c r="I5" s="76">
        <v>25014830.98156</v>
      </c>
    </row>
    <row r="6" spans="1:9" ht="12.75">
      <c r="A6" s="74" t="s">
        <v>108</v>
      </c>
      <c r="B6" s="76">
        <v>66960658</v>
      </c>
      <c r="C6" s="76">
        <v>-550190</v>
      </c>
      <c r="D6" s="76">
        <v>66410468</v>
      </c>
      <c r="F6" s="74" t="s">
        <v>259</v>
      </c>
      <c r="G6" s="76">
        <v>1231.73</v>
      </c>
      <c r="H6" s="76">
        <v>0</v>
      </c>
      <c r="I6" s="76">
        <v>1231.73</v>
      </c>
    </row>
    <row r="7" spans="1:9" ht="12.75">
      <c r="A7" s="74" t="s">
        <v>242</v>
      </c>
      <c r="B7" s="82">
        <v>4042</v>
      </c>
      <c r="C7" s="82">
        <v>0</v>
      </c>
      <c r="D7" s="82">
        <v>4042</v>
      </c>
      <c r="F7" s="74" t="s">
        <v>260</v>
      </c>
      <c r="G7" s="76">
        <v>1313787.66967</v>
      </c>
      <c r="H7" s="76">
        <v>68075.56910000001</v>
      </c>
      <c r="I7" s="76">
        <v>1381863.23877</v>
      </c>
    </row>
    <row r="8" spans="1:9" ht="12.75">
      <c r="A8" s="74" t="s">
        <v>243</v>
      </c>
      <c r="B8" s="82">
        <v>6747</v>
      </c>
      <c r="C8" s="82">
        <v>0</v>
      </c>
      <c r="D8" s="82">
        <v>6747</v>
      </c>
      <c r="F8" s="74" t="s">
        <v>261</v>
      </c>
      <c r="G8" s="76">
        <v>98704.14507000003</v>
      </c>
      <c r="H8" s="76">
        <v>-131.75383</v>
      </c>
      <c r="I8" s="76">
        <v>98572.39124</v>
      </c>
    </row>
    <row r="9" spans="1:9" ht="12.75">
      <c r="A9" s="74" t="s">
        <v>112</v>
      </c>
      <c r="B9" s="76">
        <v>0</v>
      </c>
      <c r="C9" s="76">
        <v>0</v>
      </c>
      <c r="D9" s="76">
        <v>0</v>
      </c>
      <c r="F9" s="74" t="s">
        <v>262</v>
      </c>
      <c r="G9" s="76">
        <v>3555.6</v>
      </c>
      <c r="H9" s="76">
        <v>0</v>
      </c>
      <c r="I9" s="76">
        <v>3555.6</v>
      </c>
    </row>
    <row r="10" spans="1:9" ht="12.75">
      <c r="A10" s="74" t="s">
        <v>113</v>
      </c>
      <c r="B10" s="76">
        <v>0</v>
      </c>
      <c r="C10" s="76">
        <v>0</v>
      </c>
      <c r="D10" s="76">
        <v>0</v>
      </c>
      <c r="F10" s="74" t="s">
        <v>263</v>
      </c>
      <c r="G10" s="76">
        <v>794933.9482500002</v>
      </c>
      <c r="H10" s="76">
        <v>-10722.698999999995</v>
      </c>
      <c r="I10" s="76">
        <v>784211.2492499999</v>
      </c>
    </row>
    <row r="11" spans="1:9" ht="12.75">
      <c r="A11" s="74" t="s">
        <v>117</v>
      </c>
      <c r="B11" s="76">
        <v>3402</v>
      </c>
      <c r="C11" s="76">
        <v>0</v>
      </c>
      <c r="D11" s="76">
        <v>3402</v>
      </c>
      <c r="F11" s="74" t="s">
        <v>264</v>
      </c>
      <c r="G11" s="76">
        <v>24497981.94965</v>
      </c>
      <c r="H11" s="76">
        <v>-36030.39660000001</v>
      </c>
      <c r="I11" s="76">
        <v>24461951.553050004</v>
      </c>
    </row>
    <row r="12" spans="1:9" ht="12.75">
      <c r="A12" s="74" t="s">
        <v>118</v>
      </c>
      <c r="B12" s="76">
        <v>3487901</v>
      </c>
      <c r="C12" s="76">
        <v>180730</v>
      </c>
      <c r="D12" s="76">
        <v>3668631</v>
      </c>
      <c r="F12" s="74" t="s">
        <v>265</v>
      </c>
      <c r="G12" s="76">
        <v>16255512.990360003</v>
      </c>
      <c r="H12" s="76">
        <v>-31241.71435000001</v>
      </c>
      <c r="I12" s="76">
        <v>16224271.276010001</v>
      </c>
    </row>
    <row r="13" spans="1:9" ht="12.75">
      <c r="A13" s="74" t="s">
        <v>247</v>
      </c>
      <c r="B13" s="82">
        <v>4060</v>
      </c>
      <c r="C13" s="82">
        <v>0</v>
      </c>
      <c r="D13" s="82">
        <v>4060</v>
      </c>
      <c r="F13" s="74" t="s">
        <v>266</v>
      </c>
      <c r="G13" s="76">
        <v>14191003.43124</v>
      </c>
      <c r="H13" s="76">
        <v>-15788.133239999966</v>
      </c>
      <c r="I13" s="76">
        <v>14175215.298000002</v>
      </c>
    </row>
    <row r="14" spans="1:9" ht="12.75">
      <c r="A14" s="74" t="s">
        <v>248</v>
      </c>
      <c r="B14" s="82">
        <v>19052</v>
      </c>
      <c r="C14" s="82">
        <v>0</v>
      </c>
      <c r="D14" s="82">
        <v>19052</v>
      </c>
      <c r="F14" s="74" t="s">
        <v>267</v>
      </c>
      <c r="G14" s="76">
        <v>8313756.555760001</v>
      </c>
      <c r="H14" s="76">
        <v>0</v>
      </c>
      <c r="I14" s="76">
        <v>8313756.555760001</v>
      </c>
    </row>
    <row r="15" spans="1:9" ht="12.75">
      <c r="A15" s="74" t="s">
        <v>252</v>
      </c>
      <c r="B15" s="82">
        <v>317</v>
      </c>
      <c r="C15" s="82">
        <v>0</v>
      </c>
      <c r="D15" s="82">
        <v>317</v>
      </c>
      <c r="F15" s="74" t="s">
        <v>268</v>
      </c>
      <c r="G15" s="76">
        <v>6738107.033760001</v>
      </c>
      <c r="H15" s="76">
        <v>0</v>
      </c>
      <c r="I15" s="76">
        <v>6738107.033760001</v>
      </c>
    </row>
    <row r="16" spans="1:9" ht="12.75">
      <c r="A16" s="74" t="s">
        <v>253</v>
      </c>
      <c r="B16" s="82">
        <v>4231</v>
      </c>
      <c r="C16" s="82">
        <v>0</v>
      </c>
      <c r="D16" s="82">
        <v>4231</v>
      </c>
      <c r="F16" s="74" t="s">
        <v>269</v>
      </c>
      <c r="G16" s="76">
        <v>65678.09022</v>
      </c>
      <c r="H16" s="76">
        <v>-102.85542000000001</v>
      </c>
      <c r="I16" s="76">
        <v>65575.2348</v>
      </c>
    </row>
    <row r="17" spans="1:9" ht="12.75">
      <c r="A17" s="74" t="s">
        <v>121</v>
      </c>
      <c r="B17" s="76">
        <v>64744</v>
      </c>
      <c r="C17" s="76">
        <v>0</v>
      </c>
      <c r="D17" s="76">
        <v>64744</v>
      </c>
      <c r="F17" s="74" t="s">
        <v>102</v>
      </c>
      <c r="G17" s="76">
        <v>197557.14160000003</v>
      </c>
      <c r="H17" s="76">
        <v>0</v>
      </c>
      <c r="I17" s="76">
        <v>197557.14160000003</v>
      </c>
    </row>
    <row r="18" spans="1:9" ht="12.75">
      <c r="A18" s="74" t="s">
        <v>122</v>
      </c>
      <c r="B18" s="76">
        <v>2339896</v>
      </c>
      <c r="C18" s="76">
        <v>-27795</v>
      </c>
      <c r="D18" s="76">
        <v>2312101</v>
      </c>
      <c r="F18" s="74" t="s">
        <v>270</v>
      </c>
      <c r="G18" s="76">
        <v>3859010.1514799995</v>
      </c>
      <c r="H18" s="76">
        <v>0</v>
      </c>
      <c r="I18" s="76">
        <v>3859010.1514799995</v>
      </c>
    </row>
    <row r="19" spans="1:9" ht="12.75">
      <c r="A19" s="74" t="s">
        <v>126</v>
      </c>
      <c r="B19" s="76">
        <v>5502</v>
      </c>
      <c r="C19" s="76">
        <v>0</v>
      </c>
      <c r="D19" s="76">
        <v>5502</v>
      </c>
      <c r="F19" s="74" t="s">
        <v>271</v>
      </c>
      <c r="G19" s="76">
        <v>5901939.428160001</v>
      </c>
      <c r="H19" s="76">
        <v>0</v>
      </c>
      <c r="I19" s="76">
        <v>5901939.428160001</v>
      </c>
    </row>
    <row r="20" spans="1:9" ht="12.75">
      <c r="A20" s="74" t="s">
        <v>127</v>
      </c>
      <c r="B20" s="76">
        <v>609219</v>
      </c>
      <c r="C20" s="76">
        <v>-11985</v>
      </c>
      <c r="D20" s="76">
        <v>597234</v>
      </c>
      <c r="F20" s="74" t="s">
        <v>272</v>
      </c>
      <c r="G20" s="76">
        <v>2192722.479848</v>
      </c>
      <c r="H20" s="76">
        <v>0</v>
      </c>
      <c r="I20" s="76">
        <v>2192722.479848</v>
      </c>
    </row>
    <row r="21" spans="1:9" ht="12.75">
      <c r="A21" s="74" t="s">
        <v>130</v>
      </c>
      <c r="B21" s="76">
        <v>120332</v>
      </c>
      <c r="C21" s="76">
        <v>0</v>
      </c>
      <c r="D21" s="76">
        <v>120332</v>
      </c>
      <c r="F21" s="74" t="s">
        <v>273</v>
      </c>
      <c r="G21" s="76">
        <v>432000</v>
      </c>
      <c r="H21" s="76">
        <v>0</v>
      </c>
      <c r="I21" s="76">
        <v>432000</v>
      </c>
    </row>
    <row r="22" spans="1:9" ht="12.75">
      <c r="A22" s="74" t="s">
        <v>131</v>
      </c>
      <c r="B22" s="76">
        <v>40412139</v>
      </c>
      <c r="C22" s="76">
        <v>-247236</v>
      </c>
      <c r="D22" s="76">
        <v>40164903</v>
      </c>
      <c r="F22" s="74" t="s">
        <v>274</v>
      </c>
      <c r="G22" s="76">
        <v>558455.5</v>
      </c>
      <c r="H22" s="76">
        <v>0</v>
      </c>
      <c r="I22" s="76">
        <v>558455.5</v>
      </c>
    </row>
    <row r="23" spans="1:9" ht="12.75">
      <c r="A23" s="74" t="s">
        <v>135</v>
      </c>
      <c r="B23" s="76">
        <v>106673</v>
      </c>
      <c r="C23" s="76">
        <v>0</v>
      </c>
      <c r="D23" s="76">
        <v>106673</v>
      </c>
      <c r="F23" s="74" t="s">
        <v>275</v>
      </c>
      <c r="G23" s="76">
        <v>112500</v>
      </c>
      <c r="H23" s="76">
        <v>0</v>
      </c>
      <c r="I23" s="76">
        <v>112500</v>
      </c>
    </row>
    <row r="24" spans="1:9" ht="12.75">
      <c r="A24" s="74" t="s">
        <v>136</v>
      </c>
      <c r="B24" s="76">
        <v>65892838</v>
      </c>
      <c r="C24" s="76">
        <v>90888</v>
      </c>
      <c r="D24" s="76">
        <v>65983726</v>
      </c>
      <c r="F24" s="74" t="s">
        <v>276</v>
      </c>
      <c r="G24" s="76">
        <v>1440000.0012</v>
      </c>
      <c r="H24" s="76">
        <v>0</v>
      </c>
      <c r="I24" s="76">
        <v>1440000.0012</v>
      </c>
    </row>
    <row r="25" spans="1:9" ht="12.75">
      <c r="A25" s="74" t="s">
        <v>139</v>
      </c>
      <c r="B25" s="76">
        <v>7076</v>
      </c>
      <c r="C25" s="76">
        <v>0</v>
      </c>
      <c r="D25" s="76">
        <v>7076</v>
      </c>
      <c r="F25" s="74" t="s">
        <v>277</v>
      </c>
      <c r="G25" s="76">
        <v>431450.90560000006</v>
      </c>
      <c r="H25" s="76">
        <v>0</v>
      </c>
      <c r="I25" s="76">
        <v>431450.90560000006</v>
      </c>
    </row>
    <row r="26" spans="1:9" ht="12.75">
      <c r="A26" s="74" t="s">
        <v>140</v>
      </c>
      <c r="B26" s="76">
        <v>12532832</v>
      </c>
      <c r="C26" s="76">
        <v>-103495</v>
      </c>
      <c r="D26" s="76">
        <v>12429337</v>
      </c>
      <c r="F26" s="74" t="s">
        <v>278</v>
      </c>
      <c r="G26" s="76">
        <v>1597296.9996000004</v>
      </c>
      <c r="H26" s="76">
        <v>0</v>
      </c>
      <c r="I26" s="76">
        <v>1597296.9996000004</v>
      </c>
    </row>
    <row r="27" spans="1:9" ht="12.75">
      <c r="A27" s="74" t="s">
        <v>144</v>
      </c>
      <c r="B27" s="76">
        <v>29520</v>
      </c>
      <c r="C27" s="76">
        <v>0</v>
      </c>
      <c r="D27" s="76">
        <v>29520</v>
      </c>
      <c r="F27" s="74" t="s">
        <v>279</v>
      </c>
      <c r="G27" s="76">
        <v>0</v>
      </c>
      <c r="H27" s="76">
        <v>2990518.86</v>
      </c>
      <c r="I27" s="76">
        <v>2990518.86</v>
      </c>
    </row>
    <row r="28" spans="1:9" ht="12.75">
      <c r="A28" s="74" t="s">
        <v>145</v>
      </c>
      <c r="B28" s="76">
        <v>60469876</v>
      </c>
      <c r="C28" s="76">
        <v>-36810</v>
      </c>
      <c r="D28" s="76">
        <v>60433066</v>
      </c>
      <c r="F28" s="75" t="s">
        <v>280</v>
      </c>
      <c r="G28" s="76">
        <v>114219256.80032802</v>
      </c>
      <c r="H28" s="76">
        <v>2757336.80936</v>
      </c>
      <c r="I28" s="76">
        <v>116976593.609688</v>
      </c>
    </row>
    <row r="29" spans="1:9" ht="12.75">
      <c r="A29" s="74" t="s">
        <v>148</v>
      </c>
      <c r="B29" s="76">
        <v>1310</v>
      </c>
      <c r="C29" s="76">
        <v>0</v>
      </c>
      <c r="D29" s="76">
        <v>1310</v>
      </c>
      <c r="F29" s="74" t="s">
        <v>281</v>
      </c>
      <c r="G29" s="76">
        <v>35619419.69</v>
      </c>
      <c r="H29" s="76">
        <v>0</v>
      </c>
      <c r="I29" s="76">
        <v>35619419.69</v>
      </c>
    </row>
    <row r="30" spans="1:9" ht="12.75">
      <c r="A30" s="74" t="s">
        <v>149</v>
      </c>
      <c r="B30" s="76">
        <v>7141060</v>
      </c>
      <c r="C30" s="76">
        <v>-102794</v>
      </c>
      <c r="D30" s="76">
        <v>7038266</v>
      </c>
      <c r="F30" s="74" t="s">
        <v>282</v>
      </c>
      <c r="G30" s="76">
        <v>63234.27</v>
      </c>
      <c r="H30" s="76">
        <v>0</v>
      </c>
      <c r="I30" s="76">
        <v>63234.27</v>
      </c>
    </row>
    <row r="31" spans="1:9" ht="12.75">
      <c r="A31" s="74" t="s">
        <v>152</v>
      </c>
      <c r="B31" s="76">
        <v>8270</v>
      </c>
      <c r="C31" s="76">
        <v>0</v>
      </c>
      <c r="D31" s="76">
        <v>8270</v>
      </c>
      <c r="F31" s="74" t="s">
        <v>283</v>
      </c>
      <c r="G31" s="76">
        <v>33945</v>
      </c>
      <c r="H31" s="76">
        <v>0</v>
      </c>
      <c r="I31" s="76">
        <v>33945</v>
      </c>
    </row>
    <row r="32" spans="1:9" ht="12.75">
      <c r="A32" s="74" t="s">
        <v>153</v>
      </c>
      <c r="B32" s="76">
        <v>65510368</v>
      </c>
      <c r="C32" s="76">
        <v>21966</v>
      </c>
      <c r="D32" s="76">
        <v>65532334</v>
      </c>
      <c r="F32" s="74" t="s">
        <v>284</v>
      </c>
      <c r="G32" s="76">
        <v>111330.4</v>
      </c>
      <c r="H32" s="76">
        <v>0</v>
      </c>
      <c r="I32" s="76">
        <v>111330.4</v>
      </c>
    </row>
    <row r="33" spans="1:9" ht="12.75">
      <c r="A33" s="74" t="s">
        <v>155</v>
      </c>
      <c r="B33" s="76">
        <v>68</v>
      </c>
      <c r="C33" s="76">
        <v>0</v>
      </c>
      <c r="D33" s="76">
        <v>68</v>
      </c>
      <c r="F33" s="74" t="s">
        <v>285</v>
      </c>
      <c r="G33" s="76">
        <v>1373167</v>
      </c>
      <c r="H33" s="76">
        <v>0</v>
      </c>
      <c r="I33" s="76">
        <v>1373167</v>
      </c>
    </row>
    <row r="34" spans="1:9" ht="12.75">
      <c r="A34" s="74" t="s">
        <v>156</v>
      </c>
      <c r="B34" s="76">
        <v>1558594</v>
      </c>
      <c r="C34" s="76">
        <v>0</v>
      </c>
      <c r="D34" s="76">
        <v>1558594</v>
      </c>
      <c r="F34" s="74" t="s">
        <v>286</v>
      </c>
      <c r="G34" s="76">
        <v>6655172.34</v>
      </c>
      <c r="H34" s="76">
        <v>0</v>
      </c>
      <c r="I34" s="76">
        <v>6655172.34</v>
      </c>
    </row>
    <row r="35" spans="1:9" ht="12.75">
      <c r="A35" s="74" t="s">
        <v>160</v>
      </c>
      <c r="B35" s="76">
        <v>1671</v>
      </c>
      <c r="C35" s="76">
        <v>0</v>
      </c>
      <c r="D35" s="76">
        <v>1671</v>
      </c>
      <c r="F35" s="74" t="s">
        <v>287</v>
      </c>
      <c r="G35" s="76">
        <v>1263727.37</v>
      </c>
      <c r="H35" s="76">
        <v>0</v>
      </c>
      <c r="I35" s="76">
        <v>1263727.37</v>
      </c>
    </row>
    <row r="36" spans="1:9" ht="12.75">
      <c r="A36" s="74" t="s">
        <v>161</v>
      </c>
      <c r="B36" s="76">
        <v>45074548</v>
      </c>
      <c r="C36" s="76">
        <v>0</v>
      </c>
      <c r="D36" s="76">
        <v>45074548</v>
      </c>
      <c r="F36" s="74" t="s">
        <v>288</v>
      </c>
      <c r="G36" s="76">
        <v>425317.5</v>
      </c>
      <c r="H36" s="76">
        <v>0</v>
      </c>
      <c r="I36" s="76">
        <v>425317.5</v>
      </c>
    </row>
    <row r="37" spans="1:9" ht="12.75">
      <c r="A37" s="74" t="s">
        <v>164</v>
      </c>
      <c r="B37" s="76">
        <v>77</v>
      </c>
      <c r="C37" s="76">
        <v>0</v>
      </c>
      <c r="D37" s="76">
        <v>77</v>
      </c>
      <c r="F37" s="74" t="s">
        <v>289</v>
      </c>
      <c r="G37" s="76">
        <v>144797.5</v>
      </c>
      <c r="H37" s="76">
        <v>0</v>
      </c>
      <c r="I37" s="76">
        <v>144797.5</v>
      </c>
    </row>
    <row r="38" spans="1:9" ht="12.75">
      <c r="A38" s="74" t="s">
        <v>165</v>
      </c>
      <c r="B38" s="76">
        <v>2518618</v>
      </c>
      <c r="C38" s="76">
        <v>0</v>
      </c>
      <c r="D38" s="76">
        <v>2518618</v>
      </c>
      <c r="F38" s="74" t="s">
        <v>290</v>
      </c>
      <c r="G38" s="76">
        <v>172575</v>
      </c>
      <c r="H38" s="76">
        <v>0</v>
      </c>
      <c r="I38" s="76">
        <v>172575</v>
      </c>
    </row>
    <row r="39" spans="1:9" ht="12.75">
      <c r="A39" s="74" t="s">
        <v>169</v>
      </c>
      <c r="B39" s="76">
        <v>1110</v>
      </c>
      <c r="C39" s="76">
        <v>0</v>
      </c>
      <c r="D39" s="76">
        <v>1110</v>
      </c>
      <c r="F39" s="74" t="s">
        <v>291</v>
      </c>
      <c r="G39" s="76">
        <v>6737.5</v>
      </c>
      <c r="H39" s="76">
        <v>0</v>
      </c>
      <c r="I39" s="76">
        <v>6737.5</v>
      </c>
    </row>
    <row r="40" spans="1:9" ht="12.75">
      <c r="A40" s="74" t="s">
        <v>170</v>
      </c>
      <c r="B40" s="76">
        <v>64587318</v>
      </c>
      <c r="C40" s="76">
        <v>0</v>
      </c>
      <c r="D40" s="76">
        <v>64587318</v>
      </c>
      <c r="F40" s="74" t="s">
        <v>292</v>
      </c>
      <c r="G40" s="76">
        <v>8800</v>
      </c>
      <c r="H40" s="76">
        <v>0</v>
      </c>
      <c r="I40" s="76">
        <v>8800</v>
      </c>
    </row>
    <row r="41" spans="1:9" ht="12.75">
      <c r="A41" s="74" t="s">
        <v>55</v>
      </c>
      <c r="B41" s="76">
        <v>384</v>
      </c>
      <c r="C41" s="76">
        <v>0</v>
      </c>
      <c r="D41" s="76">
        <v>384</v>
      </c>
      <c r="F41" s="74" t="s">
        <v>293</v>
      </c>
      <c r="G41" s="76">
        <v>51300</v>
      </c>
      <c r="H41" s="76">
        <v>0</v>
      </c>
      <c r="I41" s="76">
        <v>51300</v>
      </c>
    </row>
    <row r="42" spans="1:9" ht="12.75">
      <c r="A42" s="74" t="s">
        <v>56</v>
      </c>
      <c r="B42" s="76">
        <v>102142</v>
      </c>
      <c r="C42" s="76">
        <v>-1027</v>
      </c>
      <c r="D42" s="76">
        <v>101115</v>
      </c>
      <c r="F42" s="74" t="s">
        <v>294</v>
      </c>
      <c r="G42" s="76">
        <v>37800</v>
      </c>
      <c r="H42" s="76">
        <v>0</v>
      </c>
      <c r="I42" s="76">
        <v>37800</v>
      </c>
    </row>
    <row r="43" spans="1:9" ht="12.75">
      <c r="A43" s="74" t="s">
        <v>173</v>
      </c>
      <c r="B43" s="76">
        <v>383</v>
      </c>
      <c r="C43" s="76">
        <v>0</v>
      </c>
      <c r="D43" s="76">
        <v>383</v>
      </c>
      <c r="F43" s="74" t="s">
        <v>295</v>
      </c>
      <c r="G43" s="76">
        <v>5400</v>
      </c>
      <c r="H43" s="76">
        <v>0</v>
      </c>
      <c r="I43" s="76">
        <v>5400</v>
      </c>
    </row>
    <row r="44" spans="1:9" ht="12.75">
      <c r="A44" s="74" t="s">
        <v>174</v>
      </c>
      <c r="B44" s="76">
        <v>667241</v>
      </c>
      <c r="C44" s="76">
        <v>0</v>
      </c>
      <c r="D44" s="76">
        <v>667241</v>
      </c>
      <c r="F44" s="75" t="s">
        <v>296</v>
      </c>
      <c r="G44" s="76">
        <v>45972723.57</v>
      </c>
      <c r="H44" s="76">
        <v>0</v>
      </c>
      <c r="I44" s="76">
        <v>45972723.57</v>
      </c>
    </row>
    <row r="45" spans="1:9" ht="12.75">
      <c r="A45" s="74" t="s">
        <v>59</v>
      </c>
      <c r="B45" s="76">
        <v>60</v>
      </c>
      <c r="C45" s="76">
        <v>0</v>
      </c>
      <c r="D45" s="76">
        <v>60</v>
      </c>
      <c r="F45" s="74" t="s">
        <v>297</v>
      </c>
      <c r="G45" s="76">
        <v>830766</v>
      </c>
      <c r="H45" s="76">
        <v>0</v>
      </c>
      <c r="I45" s="76">
        <v>830766</v>
      </c>
    </row>
    <row r="46" spans="1:9" ht="12.75">
      <c r="A46" s="74" t="s">
        <v>60</v>
      </c>
      <c r="B46" s="76">
        <v>23891</v>
      </c>
      <c r="C46" s="76">
        <v>-734</v>
      </c>
      <c r="D46" s="76">
        <v>23157</v>
      </c>
      <c r="F46" s="74" t="s">
        <v>298</v>
      </c>
      <c r="G46" s="76">
        <v>5408096</v>
      </c>
      <c r="H46" s="76">
        <v>0</v>
      </c>
      <c r="I46" s="76">
        <v>5408096</v>
      </c>
    </row>
    <row r="47" spans="1:9" ht="12.75">
      <c r="A47" s="74" t="s">
        <v>177</v>
      </c>
      <c r="B47" s="76">
        <v>132</v>
      </c>
      <c r="C47" s="76">
        <v>0</v>
      </c>
      <c r="D47" s="76">
        <v>132</v>
      </c>
      <c r="F47" s="74" t="s">
        <v>299</v>
      </c>
      <c r="G47" s="76">
        <v>558144</v>
      </c>
      <c r="H47" s="76">
        <v>0</v>
      </c>
      <c r="I47" s="76">
        <v>558144</v>
      </c>
    </row>
    <row r="48" spans="1:9" ht="12.75">
      <c r="A48" s="74" t="s">
        <v>178</v>
      </c>
      <c r="B48" s="76">
        <v>444803</v>
      </c>
      <c r="C48" s="76">
        <v>0</v>
      </c>
      <c r="D48" s="76">
        <v>444803</v>
      </c>
      <c r="F48" s="74" t="s">
        <v>300</v>
      </c>
      <c r="G48" s="76">
        <v>0</v>
      </c>
      <c r="H48" s="76">
        <v>23721890</v>
      </c>
      <c r="I48" s="76">
        <v>23721890</v>
      </c>
    </row>
    <row r="49" spans="1:9" ht="12.75">
      <c r="A49" s="74" t="s">
        <v>63</v>
      </c>
      <c r="B49" s="76">
        <v>112</v>
      </c>
      <c r="C49" s="76">
        <v>0</v>
      </c>
      <c r="D49" s="76">
        <v>112</v>
      </c>
      <c r="F49" s="74" t="s">
        <v>301</v>
      </c>
      <c r="G49" s="76">
        <v>0</v>
      </c>
      <c r="H49" s="76">
        <v>9892</v>
      </c>
      <c r="I49" s="76">
        <v>9892</v>
      </c>
    </row>
    <row r="50" spans="1:9" ht="12.75">
      <c r="A50" s="74" t="s">
        <v>64</v>
      </c>
      <c r="B50" s="76">
        <v>640875</v>
      </c>
      <c r="C50" s="76">
        <v>0</v>
      </c>
      <c r="D50" s="76">
        <v>640875</v>
      </c>
      <c r="F50" s="74" t="s">
        <v>302</v>
      </c>
      <c r="G50" s="76">
        <v>0</v>
      </c>
      <c r="H50" s="76">
        <v>7366791</v>
      </c>
      <c r="I50" s="76">
        <v>7366791</v>
      </c>
    </row>
    <row r="51" spans="1:9" ht="12.75">
      <c r="A51" s="74" t="s">
        <v>181</v>
      </c>
      <c r="B51" s="76">
        <v>12</v>
      </c>
      <c r="C51" s="76">
        <v>0</v>
      </c>
      <c r="D51" s="76">
        <v>12</v>
      </c>
      <c r="F51" s="75" t="s">
        <v>303</v>
      </c>
      <c r="G51" s="76">
        <v>0</v>
      </c>
      <c r="H51" s="76">
        <v>843951.4856000001</v>
      </c>
      <c r="I51" s="76">
        <v>843951.4856000001</v>
      </c>
    </row>
    <row r="52" spans="1:9" ht="12.75">
      <c r="A52" s="74" t="s">
        <v>182</v>
      </c>
      <c r="B52" s="76">
        <v>809405</v>
      </c>
      <c r="C52" s="76">
        <v>0</v>
      </c>
      <c r="D52" s="76">
        <v>809405</v>
      </c>
      <c r="F52" s="74" t="s">
        <v>304</v>
      </c>
      <c r="G52" s="76">
        <v>0</v>
      </c>
      <c r="H52" s="76">
        <v>0</v>
      </c>
      <c r="I52" s="76">
        <v>0</v>
      </c>
    </row>
    <row r="53" spans="1:9" ht="12.75">
      <c r="A53" s="74" t="s">
        <v>185</v>
      </c>
      <c r="B53" s="76">
        <v>348</v>
      </c>
      <c r="C53" s="76">
        <v>0</v>
      </c>
      <c r="D53" s="76">
        <v>348</v>
      </c>
      <c r="F53" s="74" t="s">
        <v>305</v>
      </c>
      <c r="G53" s="76">
        <v>273834</v>
      </c>
      <c r="H53" s="76">
        <v>968267</v>
      </c>
      <c r="I53" s="76">
        <v>1242101</v>
      </c>
    </row>
    <row r="54" spans="1:9" ht="12.75">
      <c r="A54" s="74" t="s">
        <v>186</v>
      </c>
      <c r="B54" s="76">
        <v>53397124</v>
      </c>
      <c r="C54" s="76">
        <v>0</v>
      </c>
      <c r="D54" s="76">
        <v>53397124</v>
      </c>
      <c r="F54" s="74" t="s">
        <v>306</v>
      </c>
      <c r="G54" s="76">
        <v>261356</v>
      </c>
      <c r="H54" s="76">
        <v>123058</v>
      </c>
      <c r="I54" s="76">
        <v>384414</v>
      </c>
    </row>
    <row r="55" spans="1:9" ht="12.75">
      <c r="A55" s="74" t="s">
        <v>189</v>
      </c>
      <c r="B55" s="76">
        <v>181</v>
      </c>
      <c r="C55" s="76">
        <v>0</v>
      </c>
      <c r="D55" s="76">
        <v>181</v>
      </c>
      <c r="F55" s="74" t="s">
        <v>307</v>
      </c>
      <c r="G55" s="76">
        <v>0</v>
      </c>
      <c r="H55" s="76">
        <v>-51751.11</v>
      </c>
      <c r="I55" s="76">
        <v>-51751.11</v>
      </c>
    </row>
    <row r="56" spans="1:9" ht="12.75">
      <c r="A56" s="74" t="s">
        <v>190</v>
      </c>
      <c r="B56" s="76">
        <v>169266272</v>
      </c>
      <c r="C56" s="76">
        <v>0</v>
      </c>
      <c r="D56" s="76">
        <v>169266272</v>
      </c>
      <c r="F56" s="75" t="s">
        <v>308</v>
      </c>
      <c r="G56" s="76">
        <v>346414.62967199576</v>
      </c>
      <c r="H56" s="76">
        <v>-336868.2149600075</v>
      </c>
      <c r="I56" s="76">
        <v>9546.41471198824</v>
      </c>
    </row>
    <row r="57" spans="1:9" ht="12.75">
      <c r="A57" s="74" t="s">
        <v>193</v>
      </c>
      <c r="B57" s="76">
        <v>85</v>
      </c>
      <c r="C57" s="76">
        <v>0</v>
      </c>
      <c r="D57" s="76">
        <v>85</v>
      </c>
      <c r="F57" s="74" t="s">
        <v>309</v>
      </c>
      <c r="G57" s="76">
        <v>0</v>
      </c>
      <c r="H57" s="76">
        <v>-164263.97</v>
      </c>
      <c r="I57" s="76">
        <v>-164263.97</v>
      </c>
    </row>
    <row r="58" spans="1:9" ht="12.75">
      <c r="A58" s="74" t="s">
        <v>194</v>
      </c>
      <c r="B58" s="76">
        <v>435368210</v>
      </c>
      <c r="C58" s="76">
        <v>0</v>
      </c>
      <c r="D58" s="76">
        <v>435368210</v>
      </c>
      <c r="F58" s="74" t="s">
        <v>310</v>
      </c>
      <c r="G58" s="76">
        <v>0</v>
      </c>
      <c r="H58" s="76">
        <v>0</v>
      </c>
      <c r="I58" s="76">
        <v>0</v>
      </c>
    </row>
    <row r="59" spans="1:9" ht="12.75">
      <c r="A59" s="74" t="s">
        <v>197</v>
      </c>
      <c r="B59" s="76">
        <v>0</v>
      </c>
      <c r="C59" s="76">
        <v>199</v>
      </c>
      <c r="D59" s="76">
        <v>199</v>
      </c>
      <c r="F59" s="75" t="s">
        <v>42</v>
      </c>
      <c r="G59" s="76">
        <v>7678610.6296719955</v>
      </c>
      <c r="H59" s="76">
        <v>32480966.190639995</v>
      </c>
      <c r="I59" s="76">
        <v>40159576.82031199</v>
      </c>
    </row>
    <row r="60" spans="1:9" ht="12.75">
      <c r="A60" s="74" t="s">
        <v>198</v>
      </c>
      <c r="B60" s="76">
        <v>0</v>
      </c>
      <c r="C60" s="76">
        <v>303487180</v>
      </c>
      <c r="D60" s="76">
        <v>303487180</v>
      </c>
      <c r="F60" s="75" t="s">
        <v>311</v>
      </c>
      <c r="G60" s="76">
        <v>167870591</v>
      </c>
      <c r="H60" s="76">
        <v>35238303</v>
      </c>
      <c r="I60" s="76">
        <v>203108894</v>
      </c>
    </row>
    <row r="61" spans="1:9" ht="12.75">
      <c r="A61" s="75" t="s">
        <v>201</v>
      </c>
      <c r="B61" s="76">
        <v>0</v>
      </c>
      <c r="C61" s="76">
        <v>221130749</v>
      </c>
      <c r="D61" s="76">
        <v>221130749</v>
      </c>
      <c r="F61" s="75" t="s">
        <v>312</v>
      </c>
      <c r="G61" s="76">
        <v>0</v>
      </c>
      <c r="H61" s="76">
        <v>168790297.11999997</v>
      </c>
      <c r="I61" s="76">
        <v>168790297.11999997</v>
      </c>
    </row>
    <row r="62" spans="1:9" ht="12.75">
      <c r="A62" s="75" t="s">
        <v>67</v>
      </c>
      <c r="B62" s="76">
        <v>4011920</v>
      </c>
      <c r="C62" s="76">
        <v>199</v>
      </c>
      <c r="D62" s="76">
        <v>4012119</v>
      </c>
      <c r="F62" s="74" t="s">
        <v>313</v>
      </c>
      <c r="G62" s="76">
        <v>0</v>
      </c>
      <c r="H62" s="76">
        <v>0.06</v>
      </c>
      <c r="I62" s="76">
        <v>0.06</v>
      </c>
    </row>
    <row r="63" spans="1:9" ht="12.75">
      <c r="A63" s="75" t="s">
        <v>68</v>
      </c>
      <c r="B63" s="76">
        <v>1099845858</v>
      </c>
      <c r="C63" s="76">
        <v>302698698</v>
      </c>
      <c r="D63" s="76">
        <v>1402544556</v>
      </c>
      <c r="F63" s="74" t="s">
        <v>314</v>
      </c>
      <c r="G63" s="76">
        <v>167870591</v>
      </c>
      <c r="H63" s="76">
        <v>425159349</v>
      </c>
      <c r="I63" s="76">
        <v>593029940</v>
      </c>
    </row>
    <row r="64" spans="1:9" ht="12.75">
      <c r="A64" s="75" t="s">
        <v>75</v>
      </c>
      <c r="B64" s="76">
        <v>153470775.2257796</v>
      </c>
      <c r="C64" s="76">
        <v>219283556.01659465</v>
      </c>
      <c r="D64" s="76">
        <v>372754331.2423743</v>
      </c>
      <c r="F64" s="75" t="s">
        <v>315</v>
      </c>
      <c r="G64" s="76">
        <v>167524176.370328</v>
      </c>
      <c r="H64" s="76">
        <v>35575171.21496</v>
      </c>
      <c r="I64" s="76">
        <v>203099347.585288</v>
      </c>
    </row>
    <row r="65" spans="1:9" ht="12.75">
      <c r="A65" s="74" t="s">
        <v>46</v>
      </c>
      <c r="B65" s="76">
        <v>830766</v>
      </c>
      <c r="C65" s="76">
        <v>0</v>
      </c>
      <c r="D65" s="76">
        <v>830766</v>
      </c>
      <c r="F65" s="74" t="s">
        <v>316</v>
      </c>
      <c r="G65" s="76">
        <v>0</v>
      </c>
      <c r="H65" s="76">
        <v>389921046</v>
      </c>
      <c r="I65" s="76">
        <v>389921046</v>
      </c>
    </row>
    <row r="66" spans="1:9" ht="12.75">
      <c r="A66" s="74" t="s">
        <v>202</v>
      </c>
      <c r="B66" s="76">
        <v>1570333</v>
      </c>
      <c r="C66" s="76">
        <v>0</v>
      </c>
      <c r="D66" s="76">
        <v>1570333</v>
      </c>
      <c r="F66" s="74" t="s">
        <v>317</v>
      </c>
      <c r="G66" s="76">
        <v>0</v>
      </c>
      <c r="H66" s="76">
        <v>221130748.88</v>
      </c>
      <c r="I66" s="76">
        <v>221130748.88</v>
      </c>
    </row>
    <row r="67" spans="1:9" ht="12.75">
      <c r="A67" s="74" t="s">
        <v>203</v>
      </c>
      <c r="B67" s="76">
        <v>185510</v>
      </c>
      <c r="C67" s="76">
        <v>0</v>
      </c>
      <c r="D67" s="76">
        <v>185510</v>
      </c>
      <c r="F67" s="75" t="s">
        <v>318</v>
      </c>
      <c r="G67" s="76">
        <v>167870591</v>
      </c>
      <c r="H67" s="76">
        <v>4149622</v>
      </c>
      <c r="I67" s="76">
        <v>172020213</v>
      </c>
    </row>
    <row r="68" spans="1:4" ht="12.75">
      <c r="A68" s="74" t="s">
        <v>204</v>
      </c>
      <c r="B68" s="76">
        <v>446702</v>
      </c>
      <c r="C68" s="76">
        <v>0</v>
      </c>
      <c r="D68" s="76">
        <v>446702</v>
      </c>
    </row>
    <row r="69" spans="1:9" ht="12.75">
      <c r="A69" s="74" t="s">
        <v>205</v>
      </c>
      <c r="B69" s="76">
        <v>2575469</v>
      </c>
      <c r="C69" s="76">
        <v>0</v>
      </c>
      <c r="D69" s="76">
        <v>2575469</v>
      </c>
      <c r="I69" s="24">
        <f>+I63-I50-I48</f>
        <v>561941259</v>
      </c>
    </row>
    <row r="70" spans="1:9" ht="12.75">
      <c r="A70" s="74" t="s">
        <v>47</v>
      </c>
      <c r="B70" s="76">
        <v>119612</v>
      </c>
      <c r="C70" s="76">
        <v>0</v>
      </c>
      <c r="D70" s="76">
        <v>119612</v>
      </c>
      <c r="H70" s="24"/>
      <c r="I70" s="24">
        <f>+I44+I28-'SCHE-1'!V28</f>
        <v>0</v>
      </c>
    </row>
    <row r="71" spans="1:9" ht="12.75">
      <c r="A71" s="74" t="s">
        <v>206</v>
      </c>
      <c r="B71" s="76">
        <v>76221</v>
      </c>
      <c r="C71" s="76">
        <v>0</v>
      </c>
      <c r="D71" s="76">
        <v>76221</v>
      </c>
      <c r="I71" s="24"/>
    </row>
    <row r="72" spans="1:4" ht="12.75">
      <c r="A72" s="74" t="s">
        <v>207</v>
      </c>
      <c r="B72" s="76">
        <v>74337</v>
      </c>
      <c r="C72" s="76">
        <v>0</v>
      </c>
      <c r="D72" s="76">
        <v>74337</v>
      </c>
    </row>
    <row r="73" spans="1:4" ht="12.75">
      <c r="A73" s="74" t="s">
        <v>208</v>
      </c>
      <c r="B73" s="76">
        <v>359912</v>
      </c>
      <c r="C73" s="76">
        <v>0</v>
      </c>
      <c r="D73" s="76">
        <v>359912</v>
      </c>
    </row>
    <row r="74" spans="1:4" ht="12.75">
      <c r="A74" s="74" t="s">
        <v>209</v>
      </c>
      <c r="B74" s="76">
        <v>0</v>
      </c>
      <c r="C74" s="76">
        <v>0</v>
      </c>
      <c r="D74" s="76">
        <v>0</v>
      </c>
    </row>
    <row r="75" spans="1:4" ht="12.75">
      <c r="A75" s="74" t="s">
        <v>210</v>
      </c>
      <c r="B75" s="76">
        <v>558144</v>
      </c>
      <c r="C75" s="76">
        <v>0</v>
      </c>
      <c r="D75" s="76">
        <v>558144</v>
      </c>
    </row>
    <row r="76" spans="1:4" ht="12.75">
      <c r="A76" s="74" t="s">
        <v>393</v>
      </c>
      <c r="B76" s="76">
        <v>0</v>
      </c>
      <c r="C76" s="76">
        <v>-1382968</v>
      </c>
      <c r="D76" s="76">
        <v>-1382968</v>
      </c>
    </row>
    <row r="77" spans="1:4" ht="12.75">
      <c r="A77" s="74" t="s">
        <v>234</v>
      </c>
      <c r="B77" s="76">
        <v>273834</v>
      </c>
      <c r="C77" s="76">
        <v>0</v>
      </c>
      <c r="D77" s="76">
        <v>273834</v>
      </c>
    </row>
    <row r="78" spans="1:4" ht="12.75">
      <c r="A78" s="74" t="s">
        <v>211</v>
      </c>
      <c r="B78" s="76">
        <v>0</v>
      </c>
      <c r="C78" s="76">
        <v>181140</v>
      </c>
      <c r="D78" s="76">
        <v>181140</v>
      </c>
    </row>
    <row r="79" spans="1:4" ht="12.75">
      <c r="A79" s="74" t="s">
        <v>394</v>
      </c>
      <c r="B79" s="76">
        <v>261356</v>
      </c>
      <c r="C79" s="76">
        <v>123058</v>
      </c>
      <c r="D79" s="76">
        <v>384414</v>
      </c>
    </row>
    <row r="80" spans="1:4" ht="12.75">
      <c r="A80" s="74" t="s">
        <v>212</v>
      </c>
      <c r="B80" s="76">
        <v>0</v>
      </c>
      <c r="C80" s="76">
        <v>9748225</v>
      </c>
      <c r="D80" s="76">
        <v>9748225</v>
      </c>
    </row>
    <row r="81" spans="1:4" ht="12.75">
      <c r="A81" s="74" t="s">
        <v>213</v>
      </c>
      <c r="B81" s="76">
        <v>0</v>
      </c>
      <c r="C81" s="76">
        <v>13973665</v>
      </c>
      <c r="D81" s="76">
        <v>13973665</v>
      </c>
    </row>
    <row r="82" spans="1:4" ht="12.75">
      <c r="A82" s="74" t="s">
        <v>214</v>
      </c>
      <c r="B82" s="76">
        <v>0</v>
      </c>
      <c r="C82" s="76">
        <v>7366791</v>
      </c>
      <c r="D82" s="76">
        <v>7366791</v>
      </c>
    </row>
    <row r="83" spans="1:6" ht="12.75">
      <c r="A83" s="75" t="s">
        <v>42</v>
      </c>
      <c r="B83" s="76">
        <v>7332196</v>
      </c>
      <c r="C83" s="76">
        <v>30037833</v>
      </c>
      <c r="D83" s="76">
        <v>37370029</v>
      </c>
      <c r="F83" s="24">
        <f>SUM(D65:D75)+D78+D79</f>
        <v>7362560</v>
      </c>
    </row>
    <row r="84" spans="1:4" ht="12.75">
      <c r="A84" s="75" t="s">
        <v>49</v>
      </c>
      <c r="B84" s="76">
        <v>321200137.77829856</v>
      </c>
      <c r="C84" s="76">
        <v>252078725.8259547</v>
      </c>
      <c r="D84" s="76">
        <v>573278863.6042533</v>
      </c>
    </row>
    <row r="85" spans="2:4" ht="12.75">
      <c r="B85" s="24"/>
      <c r="C85" s="24"/>
      <c r="D85" s="24"/>
    </row>
    <row r="86" spans="1:4" ht="12.75">
      <c r="A86" t="s">
        <v>323</v>
      </c>
      <c r="B86" s="24">
        <f>+B6+B8+B10</f>
        <v>66967405</v>
      </c>
      <c r="C86" s="24">
        <f>+C6+C8+C10</f>
        <v>-550190</v>
      </c>
      <c r="D86" s="24">
        <f>+C86+B86</f>
        <v>66417215</v>
      </c>
    </row>
    <row r="87" spans="1:4" ht="12.75">
      <c r="A87" t="s">
        <v>324</v>
      </c>
      <c r="B87" s="24">
        <f>+B14+B18+B22+B26+B30+B34+B38+B42+B46+B50</f>
        <v>67289099</v>
      </c>
      <c r="C87" s="24">
        <f>+C14+C18+C22+C26+C30+C34+C38+C42+C46+C50</f>
        <v>-483081</v>
      </c>
      <c r="D87" s="24">
        <f>+C87+B87</f>
        <v>66806018</v>
      </c>
    </row>
    <row r="89" ht="10.5">
      <c r="D89" s="24"/>
    </row>
    <row r="109" spans="6:18" ht="10.5"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6:18" ht="10.5"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6:18" ht="10.5"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3" spans="6:18" ht="10.5"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8"/>
  <sheetViews>
    <sheetView zoomScalePageLayoutView="0" workbookViewId="0" topLeftCell="A26">
      <selection activeCell="A1" sqref="A1"/>
    </sheetView>
  </sheetViews>
  <sheetFormatPr defaultColWidth="9.00390625" defaultRowHeight="12.75"/>
  <cols>
    <col min="1" max="1" width="21.25390625" style="0" bestFit="1" customWidth="1"/>
    <col min="2" max="4" width="19.125" style="0" bestFit="1" customWidth="1"/>
    <col min="5" max="5" width="13.00390625" style="0" bestFit="1" customWidth="1"/>
  </cols>
  <sheetData>
    <row r="1" ht="12.75">
      <c r="A1" s="73" t="s">
        <v>105</v>
      </c>
    </row>
    <row r="2" spans="1:3" ht="12" customHeight="1">
      <c r="A2" s="80" t="s">
        <v>236</v>
      </c>
      <c r="B2" s="81" t="s">
        <v>41</v>
      </c>
      <c r="C2" s="80" t="s">
        <v>238</v>
      </c>
    </row>
    <row r="4" spans="2:4" ht="12.75">
      <c r="B4" s="75" t="s">
        <v>215</v>
      </c>
      <c r="C4" s="75" t="s">
        <v>216</v>
      </c>
      <c r="D4" s="75" t="s">
        <v>106</v>
      </c>
    </row>
    <row r="5" spans="1:4" ht="12.75">
      <c r="A5" s="74" t="s">
        <v>107</v>
      </c>
      <c r="B5" s="76">
        <v>3684965.1503581544</v>
      </c>
      <c r="C5" s="76">
        <v>0</v>
      </c>
      <c r="D5" s="76">
        <v>3684965.1503581544</v>
      </c>
    </row>
    <row r="6" spans="1:4" ht="12.75">
      <c r="A6" s="74" t="s">
        <v>108</v>
      </c>
      <c r="B6" s="76">
        <v>68090248.54579222</v>
      </c>
      <c r="C6" s="76">
        <v>179617.38708358724</v>
      </c>
      <c r="D6" s="76">
        <v>68269865.93287581</v>
      </c>
    </row>
    <row r="7" spans="1:4" ht="12.75">
      <c r="A7" s="75" t="s">
        <v>109</v>
      </c>
      <c r="B7" s="77">
        <v>35928410.21599201</v>
      </c>
      <c r="C7" s="77">
        <v>0</v>
      </c>
      <c r="D7" s="77">
        <v>35928410.21599201</v>
      </c>
    </row>
    <row r="8" spans="1:4" ht="12.75">
      <c r="A8" s="75" t="s">
        <v>110</v>
      </c>
      <c r="B8" s="77">
        <v>25647553.919743557</v>
      </c>
      <c r="C8" s="77">
        <v>67656.48119277495</v>
      </c>
      <c r="D8" s="77">
        <v>25715210.400936335</v>
      </c>
    </row>
    <row r="9" spans="1:4" ht="12.75">
      <c r="A9" s="75" t="s">
        <v>111</v>
      </c>
      <c r="B9" s="76">
        <v>79794667.64212039</v>
      </c>
      <c r="C9" s="76">
        <v>733056.5170147497</v>
      </c>
      <c r="D9" s="76">
        <v>80527724.15913515</v>
      </c>
    </row>
    <row r="10" spans="1:4" ht="12.75">
      <c r="A10" s="74" t="s">
        <v>242</v>
      </c>
      <c r="B10" s="82">
        <v>8592</v>
      </c>
      <c r="C10" s="82">
        <v>0</v>
      </c>
      <c r="D10" s="82">
        <v>8592</v>
      </c>
    </row>
    <row r="11" spans="1:4" ht="12.75">
      <c r="A11" s="74" t="s">
        <v>243</v>
      </c>
      <c r="B11" s="82">
        <v>0</v>
      </c>
      <c r="C11" s="82">
        <v>0</v>
      </c>
      <c r="D11" s="82">
        <v>0</v>
      </c>
    </row>
    <row r="12" spans="1:4" ht="12.75">
      <c r="A12" s="75" t="s">
        <v>244</v>
      </c>
      <c r="B12" s="98">
        <v>153109.44</v>
      </c>
      <c r="C12" s="98">
        <v>0</v>
      </c>
      <c r="D12" s="98">
        <v>153109.44</v>
      </c>
    </row>
    <row r="13" spans="1:4" ht="12.75">
      <c r="A13" s="75" t="s">
        <v>245</v>
      </c>
      <c r="B13" s="98">
        <v>0</v>
      </c>
      <c r="C13" s="98">
        <v>0</v>
      </c>
      <c r="D13" s="98">
        <v>0</v>
      </c>
    </row>
    <row r="14" spans="1:4" ht="12.75">
      <c r="A14" s="75" t="s">
        <v>246</v>
      </c>
      <c r="B14" s="82">
        <v>0</v>
      </c>
      <c r="C14" s="82">
        <v>0</v>
      </c>
      <c r="D14" s="82">
        <v>0</v>
      </c>
    </row>
    <row r="15" spans="1:4" ht="12.75">
      <c r="A15" s="74" t="s">
        <v>112</v>
      </c>
      <c r="B15" s="76">
        <v>4308</v>
      </c>
      <c r="C15" s="76">
        <v>0</v>
      </c>
      <c r="D15" s="76">
        <v>4308</v>
      </c>
    </row>
    <row r="16" spans="1:4" ht="12.75">
      <c r="A16" s="74" t="s">
        <v>113</v>
      </c>
      <c r="B16" s="76">
        <v>1912027.2122512807</v>
      </c>
      <c r="C16" s="76">
        <v>0</v>
      </c>
      <c r="D16" s="76">
        <v>1912027.2122512807</v>
      </c>
    </row>
    <row r="17" spans="1:4" ht="12.75">
      <c r="A17" s="75" t="s">
        <v>114</v>
      </c>
      <c r="B17" s="77">
        <v>43080</v>
      </c>
      <c r="C17" s="77">
        <v>0</v>
      </c>
      <c r="D17" s="77">
        <v>43080</v>
      </c>
    </row>
    <row r="18" spans="1:4" ht="12.75">
      <c r="A18" s="75" t="s">
        <v>115</v>
      </c>
      <c r="B18" s="77">
        <v>720203.29003869</v>
      </c>
      <c r="C18" s="77">
        <v>0</v>
      </c>
      <c r="D18" s="77">
        <v>720203.29003869</v>
      </c>
    </row>
    <row r="19" spans="1:4" ht="12.75">
      <c r="A19" s="75" t="s">
        <v>116</v>
      </c>
      <c r="B19" s="76">
        <v>2260818.5901661348</v>
      </c>
      <c r="C19" s="76">
        <v>0</v>
      </c>
      <c r="D19" s="76">
        <v>2260818.5901661348</v>
      </c>
    </row>
    <row r="20" spans="1:4" ht="12.75">
      <c r="A20" s="74" t="s">
        <v>117</v>
      </c>
      <c r="B20" s="76">
        <v>3204</v>
      </c>
      <c r="C20" s="76">
        <v>0</v>
      </c>
      <c r="D20" s="76">
        <v>3204</v>
      </c>
    </row>
    <row r="21" spans="1:4" ht="12.75">
      <c r="A21" s="74" t="s">
        <v>118</v>
      </c>
      <c r="B21" s="76">
        <v>3203899.3483574213</v>
      </c>
      <c r="C21" s="76">
        <v>-6176.907065319378</v>
      </c>
      <c r="D21" s="76">
        <v>3197722.4412921024</v>
      </c>
    </row>
    <row r="22" spans="1:4" ht="12.75">
      <c r="A22" s="75" t="s">
        <v>119</v>
      </c>
      <c r="B22" s="77">
        <v>32040</v>
      </c>
      <c r="C22" s="77">
        <v>0</v>
      </c>
      <c r="D22" s="77">
        <v>32040</v>
      </c>
    </row>
    <row r="23" spans="1:4" ht="12.75">
      <c r="A23" s="75" t="s">
        <v>120</v>
      </c>
      <c r="B23" s="77">
        <v>1206812.7675457902</v>
      </c>
      <c r="C23" s="77">
        <v>-2326.655584293847</v>
      </c>
      <c r="D23" s="77">
        <v>1204486.111961496</v>
      </c>
    </row>
    <row r="24" spans="1:4" ht="12.75">
      <c r="A24" s="74" t="s">
        <v>247</v>
      </c>
      <c r="B24" s="82">
        <v>8796</v>
      </c>
      <c r="C24" s="82">
        <v>0</v>
      </c>
      <c r="D24" s="82">
        <v>8796</v>
      </c>
    </row>
    <row r="25" spans="1:4" ht="12.75">
      <c r="A25" s="74" t="s">
        <v>248</v>
      </c>
      <c r="B25" s="82">
        <v>0</v>
      </c>
      <c r="C25" s="82">
        <v>0</v>
      </c>
      <c r="D25" s="82">
        <v>0</v>
      </c>
    </row>
    <row r="26" spans="1:4" ht="12.75">
      <c r="A26" s="75" t="s">
        <v>249</v>
      </c>
      <c r="B26" s="98">
        <v>243385.32</v>
      </c>
      <c r="C26" s="98">
        <v>0</v>
      </c>
      <c r="D26" s="98">
        <v>243385.32</v>
      </c>
    </row>
    <row r="27" spans="1:4" ht="12.75">
      <c r="A27" s="75" t="s">
        <v>250</v>
      </c>
      <c r="B27" s="98">
        <v>0</v>
      </c>
      <c r="C27" s="98">
        <v>0</v>
      </c>
      <c r="D27" s="98">
        <v>0</v>
      </c>
    </row>
    <row r="28" spans="1:4" ht="12.75">
      <c r="A28" s="74" t="s">
        <v>252</v>
      </c>
      <c r="B28" s="82">
        <v>708</v>
      </c>
      <c r="C28" s="82">
        <v>0</v>
      </c>
      <c r="D28" s="82">
        <v>708</v>
      </c>
    </row>
    <row r="29" spans="1:4" ht="12.75">
      <c r="A29" s="74" t="s">
        <v>253</v>
      </c>
      <c r="B29" s="82">
        <v>0</v>
      </c>
      <c r="C29" s="82">
        <v>0</v>
      </c>
      <c r="D29" s="82">
        <v>0</v>
      </c>
    </row>
    <row r="30" spans="1:4" ht="12.75">
      <c r="A30" s="75" t="s">
        <v>254</v>
      </c>
      <c r="B30" s="98">
        <v>19590.36</v>
      </c>
      <c r="C30" s="98">
        <v>0</v>
      </c>
      <c r="D30" s="98">
        <v>19590.36</v>
      </c>
    </row>
    <row r="31" spans="1:4" ht="12.75">
      <c r="A31" s="75" t="s">
        <v>255</v>
      </c>
      <c r="B31" s="98">
        <v>0</v>
      </c>
      <c r="C31" s="98">
        <v>0</v>
      </c>
      <c r="D31" s="98">
        <v>0</v>
      </c>
    </row>
    <row r="32" spans="1:4" ht="12.75">
      <c r="A32" s="74" t="s">
        <v>121</v>
      </c>
      <c r="B32" s="76">
        <v>58379.97435897436</v>
      </c>
      <c r="C32" s="76">
        <v>0</v>
      </c>
      <c r="D32" s="76">
        <v>58379.97435897436</v>
      </c>
    </row>
    <row r="33" spans="1:4" ht="12.75">
      <c r="A33" s="74" t="s">
        <v>122</v>
      </c>
      <c r="B33" s="76">
        <v>2200133.1153133037</v>
      </c>
      <c r="C33" s="76">
        <v>-13754.37887198219</v>
      </c>
      <c r="D33" s="76">
        <v>2186378.736441321</v>
      </c>
    </row>
    <row r="34" spans="1:4" ht="12.75">
      <c r="A34" s="75" t="s">
        <v>123</v>
      </c>
      <c r="B34" s="77">
        <v>1153004.4935897435</v>
      </c>
      <c r="C34" s="77">
        <v>0</v>
      </c>
      <c r="D34" s="77">
        <v>1153004.4935897435</v>
      </c>
    </row>
    <row r="35" spans="1:4" ht="12.75">
      <c r="A35" s="75" t="s">
        <v>124</v>
      </c>
      <c r="B35" s="77">
        <v>593045.881232701</v>
      </c>
      <c r="C35" s="77">
        <v>-3707.4928249427985</v>
      </c>
      <c r="D35" s="77">
        <v>589338.3884077581</v>
      </c>
    </row>
    <row r="36" spans="1:4" ht="12.75">
      <c r="A36" s="75" t="s">
        <v>125</v>
      </c>
      <c r="B36" s="76">
        <v>2465131.470653354</v>
      </c>
      <c r="C36" s="76">
        <v>-7304.69810895557</v>
      </c>
      <c r="D36" s="76">
        <v>2457826.7725443984</v>
      </c>
    </row>
    <row r="37" spans="1:4" ht="12.75">
      <c r="A37" s="74" t="s">
        <v>126</v>
      </c>
      <c r="B37" s="76">
        <v>5364</v>
      </c>
      <c r="C37" s="76">
        <v>0</v>
      </c>
      <c r="D37" s="76">
        <v>5364</v>
      </c>
    </row>
    <row r="38" spans="1:4" ht="12.75">
      <c r="A38" s="74" t="s">
        <v>127</v>
      </c>
      <c r="B38" s="76">
        <v>362796.2211315375</v>
      </c>
      <c r="C38" s="76">
        <v>-7112.485797573703</v>
      </c>
      <c r="D38" s="76">
        <v>355683.7353339638</v>
      </c>
    </row>
    <row r="39" spans="1:4" ht="12.75">
      <c r="A39" s="75" t="s">
        <v>128</v>
      </c>
      <c r="B39" s="77">
        <v>105939</v>
      </c>
      <c r="C39" s="77">
        <v>0</v>
      </c>
      <c r="D39" s="77">
        <v>105939</v>
      </c>
    </row>
    <row r="40" spans="1:4" ht="12.75">
      <c r="A40" s="75" t="s">
        <v>129</v>
      </c>
      <c r="B40" s="77">
        <v>97791.72140600593</v>
      </c>
      <c r="C40" s="77">
        <v>-1917.1705467359916</v>
      </c>
      <c r="D40" s="77">
        <v>95874.55085926993</v>
      </c>
    </row>
    <row r="41" spans="1:4" ht="12.75">
      <c r="A41" s="74" t="s">
        <v>130</v>
      </c>
      <c r="B41" s="76">
        <v>124989.17598984629</v>
      </c>
      <c r="C41" s="76">
        <v>0</v>
      </c>
      <c r="D41" s="76">
        <v>124989.17598984629</v>
      </c>
    </row>
    <row r="42" spans="1:4" ht="12.75">
      <c r="A42" s="74" t="s">
        <v>131</v>
      </c>
      <c r="B42" s="76">
        <v>40946149.64728795</v>
      </c>
      <c r="C42" s="76">
        <v>-250337.4451882504</v>
      </c>
      <c r="D42" s="76">
        <v>40695812.202099696</v>
      </c>
    </row>
    <row r="43" spans="1:4" ht="12.75">
      <c r="A43" s="75" t="s">
        <v>132</v>
      </c>
      <c r="B43" s="77">
        <v>3624686.103705543</v>
      </c>
      <c r="C43" s="77">
        <v>0</v>
      </c>
      <c r="D43" s="77">
        <v>3624686.103705543</v>
      </c>
    </row>
    <row r="44" spans="1:4" ht="12.75">
      <c r="A44" s="75" t="s">
        <v>133</v>
      </c>
      <c r="B44" s="77">
        <v>9436040.18621751</v>
      </c>
      <c r="C44" s="77">
        <v>-57690.26424363228</v>
      </c>
      <c r="D44" s="77">
        <v>9378349.921973877</v>
      </c>
    </row>
    <row r="45" spans="1:4" ht="12.75">
      <c r="A45" s="75" t="s">
        <v>134</v>
      </c>
      <c r="B45" s="76">
        <v>45648776.95654594</v>
      </c>
      <c r="C45" s="76">
        <v>-200612.3582661827</v>
      </c>
      <c r="D45" s="76">
        <v>45448164.59827976</v>
      </c>
    </row>
    <row r="46" spans="1:4" ht="12.75">
      <c r="A46" s="74" t="s">
        <v>135</v>
      </c>
      <c r="B46" s="76">
        <v>113634.22348988609</v>
      </c>
      <c r="C46" s="76">
        <v>0</v>
      </c>
      <c r="D46" s="76">
        <v>113634.22348988609</v>
      </c>
    </row>
    <row r="47" spans="1:4" ht="12.75">
      <c r="A47" s="74" t="s">
        <v>136</v>
      </c>
      <c r="B47" s="76">
        <v>69203872.39737777</v>
      </c>
      <c r="C47" s="76">
        <v>-32869.26944919629</v>
      </c>
      <c r="D47" s="76">
        <v>69171003.1279286</v>
      </c>
    </row>
    <row r="48" spans="1:4" ht="12.75">
      <c r="A48" s="75" t="s">
        <v>137</v>
      </c>
      <c r="B48" s="77">
        <v>3295392.481206697</v>
      </c>
      <c r="C48" s="77">
        <v>0</v>
      </c>
      <c r="D48" s="77">
        <v>3295392.481206697</v>
      </c>
    </row>
    <row r="49" spans="1:4" ht="12.75">
      <c r="A49" s="75" t="s">
        <v>138</v>
      </c>
      <c r="B49" s="77">
        <v>15948032.39397571</v>
      </c>
      <c r="C49" s="77">
        <v>-7574.7231445672805</v>
      </c>
      <c r="D49" s="77">
        <v>15940457.670831142</v>
      </c>
    </row>
    <row r="50" spans="1:4" ht="12.75">
      <c r="A50" s="74" t="s">
        <v>139</v>
      </c>
      <c r="B50" s="76">
        <v>6752.0900559519505</v>
      </c>
      <c r="C50" s="76">
        <v>0</v>
      </c>
      <c r="D50" s="76">
        <v>6752.0900559519505</v>
      </c>
    </row>
    <row r="51" spans="1:4" ht="12.75">
      <c r="A51" s="74" t="s">
        <v>140</v>
      </c>
      <c r="B51" s="76">
        <v>11370572.52569867</v>
      </c>
      <c r="C51" s="76">
        <v>-225166.58140268084</v>
      </c>
      <c r="D51" s="76">
        <v>11145405.944295987</v>
      </c>
    </row>
    <row r="52" spans="1:4" ht="12.75">
      <c r="A52" s="75" t="s">
        <v>141</v>
      </c>
      <c r="B52" s="77">
        <v>229571.06190173264</v>
      </c>
      <c r="C52" s="77">
        <v>0</v>
      </c>
      <c r="D52" s="77">
        <v>229571.06190173264</v>
      </c>
    </row>
    <row r="53" spans="1:4" ht="12.75">
      <c r="A53" s="75" t="s">
        <v>142</v>
      </c>
      <c r="B53" s="77">
        <v>2531885.3842973225</v>
      </c>
      <c r="C53" s="77">
        <v>-50137.84268093495</v>
      </c>
      <c r="D53" s="77">
        <v>2481747.5416163877</v>
      </c>
    </row>
    <row r="54" spans="1:4" ht="12.75">
      <c r="A54" s="75" t="s">
        <v>143</v>
      </c>
      <c r="B54" s="76">
        <v>12689636.375466017</v>
      </c>
      <c r="C54" s="76">
        <v>-246912.60683712183</v>
      </c>
      <c r="D54" s="76">
        <v>12442723.768628895</v>
      </c>
    </row>
    <row r="55" spans="1:4" ht="12.75">
      <c r="A55" s="74" t="s">
        <v>144</v>
      </c>
      <c r="B55" s="76">
        <v>31743.64873786408</v>
      </c>
      <c r="C55" s="76">
        <v>0</v>
      </c>
      <c r="D55" s="76">
        <v>31743.64873786408</v>
      </c>
    </row>
    <row r="56" spans="1:4" ht="12.75">
      <c r="A56" s="74" t="s">
        <v>145</v>
      </c>
      <c r="B56" s="76">
        <v>64771195.57732709</v>
      </c>
      <c r="C56" s="76">
        <v>75489.16934014298</v>
      </c>
      <c r="D56" s="76">
        <v>64846684.746667236</v>
      </c>
    </row>
    <row r="57" spans="1:4" ht="12.75">
      <c r="A57" s="75" t="s">
        <v>146</v>
      </c>
      <c r="B57" s="77">
        <v>1079284.0570873788</v>
      </c>
      <c r="C57" s="77">
        <v>0</v>
      </c>
      <c r="D57" s="77">
        <v>1079284.0570873788</v>
      </c>
    </row>
    <row r="58" spans="1:4" ht="12.75">
      <c r="A58" s="75" t="s">
        <v>147</v>
      </c>
      <c r="B58" s="77">
        <v>14422602.119203426</v>
      </c>
      <c r="C58" s="77">
        <v>16809.173336969645</v>
      </c>
      <c r="D58" s="77">
        <v>14439411.292540392</v>
      </c>
    </row>
    <row r="59" spans="1:4" ht="12.75">
      <c r="A59" s="74" t="s">
        <v>148</v>
      </c>
      <c r="B59" s="76">
        <v>1312.04</v>
      </c>
      <c r="C59" s="76">
        <v>0</v>
      </c>
      <c r="D59" s="76">
        <v>1312.04</v>
      </c>
    </row>
    <row r="60" spans="1:4" ht="12.75">
      <c r="A60" s="74" t="s">
        <v>149</v>
      </c>
      <c r="B60" s="76">
        <v>7469811.799490504</v>
      </c>
      <c r="C60" s="76">
        <v>-72367.0850164066</v>
      </c>
      <c r="D60" s="76">
        <v>7397444.714474097</v>
      </c>
    </row>
    <row r="61" spans="1:4" ht="12.75">
      <c r="A61" s="75" t="s">
        <v>71</v>
      </c>
      <c r="B61" s="77">
        <v>59041.8</v>
      </c>
      <c r="C61" s="77">
        <v>0</v>
      </c>
      <c r="D61" s="77">
        <v>59041.8</v>
      </c>
    </row>
    <row r="62" spans="1:4" ht="12.75">
      <c r="A62" s="75" t="s">
        <v>150</v>
      </c>
      <c r="B62" s="77">
        <v>1459078.3387944803</v>
      </c>
      <c r="C62" s="77">
        <v>-14135.462716254697</v>
      </c>
      <c r="D62" s="77">
        <v>1444942.8760782252</v>
      </c>
    </row>
    <row r="63" spans="1:4" ht="12.75">
      <c r="A63" s="75" t="s">
        <v>151</v>
      </c>
      <c r="B63" s="76">
        <v>8305413.281960102</v>
      </c>
      <c r="C63" s="76">
        <v>-76021.74291310873</v>
      </c>
      <c r="D63" s="76">
        <v>8229391.539046996</v>
      </c>
    </row>
    <row r="64" spans="1:4" ht="12.75">
      <c r="A64" s="74" t="s">
        <v>152</v>
      </c>
      <c r="B64" s="76">
        <v>8390.616</v>
      </c>
      <c r="C64" s="76">
        <v>0</v>
      </c>
      <c r="D64" s="76">
        <v>8390.616</v>
      </c>
    </row>
    <row r="65" spans="1:4" ht="12.75">
      <c r="A65" s="74" t="s">
        <v>153</v>
      </c>
      <c r="B65" s="76">
        <v>66046280.82630727</v>
      </c>
      <c r="C65" s="76">
        <v>-332387.7600095286</v>
      </c>
      <c r="D65" s="76">
        <v>65713893.06629774</v>
      </c>
    </row>
    <row r="66" spans="1:4" ht="12.75">
      <c r="A66" s="75" t="s">
        <v>224</v>
      </c>
      <c r="B66" s="77">
        <v>377577.72</v>
      </c>
      <c r="C66" s="77">
        <v>0</v>
      </c>
      <c r="D66" s="77">
        <v>377577.72</v>
      </c>
    </row>
    <row r="67" spans="1:4" ht="12.75">
      <c r="A67" s="75" t="s">
        <v>154</v>
      </c>
      <c r="B67" s="77">
        <v>12900820.033802599</v>
      </c>
      <c r="C67" s="77">
        <v>-64925.30116266124</v>
      </c>
      <c r="D67" s="77">
        <v>12835894.732639937</v>
      </c>
    </row>
    <row r="68" spans="1:4" ht="12.75">
      <c r="A68" s="74" t="s">
        <v>155</v>
      </c>
      <c r="B68" s="76">
        <v>60</v>
      </c>
      <c r="C68" s="76">
        <v>0</v>
      </c>
      <c r="D68" s="76">
        <v>60</v>
      </c>
    </row>
    <row r="69" spans="1:4" ht="12.75">
      <c r="A69" s="74" t="s">
        <v>156</v>
      </c>
      <c r="B69" s="76">
        <v>1611736.4</v>
      </c>
      <c r="C69" s="76">
        <v>0</v>
      </c>
      <c r="D69" s="76">
        <v>1611736.4</v>
      </c>
    </row>
    <row r="70" spans="1:4" ht="12.75">
      <c r="A70" s="75" t="s">
        <v>157</v>
      </c>
      <c r="B70" s="77">
        <v>5100</v>
      </c>
      <c r="C70" s="77">
        <v>0</v>
      </c>
      <c r="D70" s="77">
        <v>5100</v>
      </c>
    </row>
    <row r="71" spans="1:4" ht="12.75">
      <c r="A71" s="75" t="s">
        <v>158</v>
      </c>
      <c r="B71" s="77">
        <v>287340.365392</v>
      </c>
      <c r="C71" s="77">
        <v>0</v>
      </c>
      <c r="D71" s="77">
        <v>287340.365392</v>
      </c>
    </row>
    <row r="72" spans="1:4" ht="12.75">
      <c r="A72" s="75" t="s">
        <v>159</v>
      </c>
      <c r="B72" s="76">
        <v>1781480.5932540651</v>
      </c>
      <c r="C72" s="76">
        <v>0</v>
      </c>
      <c r="D72" s="76">
        <v>1781480.5932540651</v>
      </c>
    </row>
    <row r="73" spans="1:4" ht="12.75">
      <c r="A73" s="74" t="s">
        <v>160</v>
      </c>
      <c r="B73" s="76">
        <v>1416</v>
      </c>
      <c r="C73" s="76">
        <v>0</v>
      </c>
      <c r="D73" s="76">
        <v>1416</v>
      </c>
    </row>
    <row r="74" spans="1:4" ht="12.75">
      <c r="A74" s="74" t="s">
        <v>161</v>
      </c>
      <c r="B74" s="76">
        <v>41657898.99999999</v>
      </c>
      <c r="C74" s="76">
        <v>0</v>
      </c>
      <c r="D74" s="76">
        <v>41657898.99999999</v>
      </c>
    </row>
    <row r="75" spans="1:4" ht="12.75">
      <c r="A75" s="75" t="s">
        <v>162</v>
      </c>
      <c r="B75" s="77">
        <v>120360</v>
      </c>
      <c r="C75" s="77">
        <v>0</v>
      </c>
      <c r="D75" s="77">
        <v>120360</v>
      </c>
    </row>
    <row r="76" spans="1:4" ht="12.75">
      <c r="A76" s="75" t="s">
        <v>163</v>
      </c>
      <c r="B76" s="77">
        <v>7426770.233720001</v>
      </c>
      <c r="C76" s="77">
        <v>0</v>
      </c>
      <c r="D76" s="77">
        <v>7426770.233720001</v>
      </c>
    </row>
    <row r="77" spans="1:4" ht="12.75">
      <c r="A77" s="74" t="s">
        <v>164</v>
      </c>
      <c r="B77" s="76">
        <v>114</v>
      </c>
      <c r="C77" s="76">
        <v>0</v>
      </c>
      <c r="D77" s="76">
        <v>114</v>
      </c>
    </row>
    <row r="78" spans="1:4" ht="12.75">
      <c r="A78" s="74" t="s">
        <v>165</v>
      </c>
      <c r="B78" s="76">
        <v>2292275.3</v>
      </c>
      <c r="C78" s="76">
        <v>0</v>
      </c>
      <c r="D78" s="76">
        <v>2292275.3</v>
      </c>
    </row>
    <row r="79" spans="1:4" ht="12.75">
      <c r="A79" s="75" t="s">
        <v>166</v>
      </c>
      <c r="B79" s="77">
        <v>17100</v>
      </c>
      <c r="C79" s="77">
        <v>0</v>
      </c>
      <c r="D79" s="77">
        <v>17100</v>
      </c>
    </row>
    <row r="80" spans="1:4" ht="12.75">
      <c r="A80" s="75" t="s">
        <v>167</v>
      </c>
      <c r="B80" s="77">
        <v>230167.36287300003</v>
      </c>
      <c r="C80" s="77">
        <v>0</v>
      </c>
      <c r="D80" s="77">
        <v>230167.36287300003</v>
      </c>
    </row>
    <row r="81" spans="1:4" ht="12.75">
      <c r="A81" s="75" t="s">
        <v>168</v>
      </c>
      <c r="B81" s="76">
        <v>2533100.0063183373</v>
      </c>
      <c r="C81" s="76">
        <v>0</v>
      </c>
      <c r="D81" s="76">
        <v>2533100.0063183373</v>
      </c>
    </row>
    <row r="82" spans="1:4" ht="12.75">
      <c r="A82" s="74" t="s">
        <v>169</v>
      </c>
      <c r="B82" s="76">
        <v>1140</v>
      </c>
      <c r="C82" s="76">
        <v>0</v>
      </c>
      <c r="D82" s="76">
        <v>1140</v>
      </c>
    </row>
    <row r="83" spans="1:4" ht="12.75">
      <c r="A83" s="74" t="s">
        <v>170</v>
      </c>
      <c r="B83" s="76">
        <v>63265639.99999999</v>
      </c>
      <c r="C83" s="76">
        <v>0</v>
      </c>
      <c r="D83" s="76">
        <v>63265639.99999999</v>
      </c>
    </row>
    <row r="84" spans="1:4" ht="12.75">
      <c r="A84" s="75" t="s">
        <v>171</v>
      </c>
      <c r="B84" s="77">
        <v>171000</v>
      </c>
      <c r="C84" s="77">
        <v>0</v>
      </c>
      <c r="D84" s="77">
        <v>171000</v>
      </c>
    </row>
    <row r="85" spans="1:4" ht="12.75">
      <c r="A85" s="75" t="s">
        <v>172</v>
      </c>
      <c r="B85" s="77">
        <v>6352502.9124</v>
      </c>
      <c r="C85" s="77">
        <v>0</v>
      </c>
      <c r="D85" s="77">
        <v>6352502.9124</v>
      </c>
    </row>
    <row r="86" spans="1:4" ht="12.75">
      <c r="A86" s="74" t="s">
        <v>55</v>
      </c>
      <c r="B86" s="76">
        <v>372</v>
      </c>
      <c r="C86" s="76">
        <v>0</v>
      </c>
      <c r="D86" s="76">
        <v>372</v>
      </c>
    </row>
    <row r="87" spans="1:4" ht="12.75">
      <c r="A87" s="74" t="s">
        <v>56</v>
      </c>
      <c r="B87" s="76">
        <v>146323.33532876484</v>
      </c>
      <c r="C87" s="76">
        <v>1060.3428252404792</v>
      </c>
      <c r="D87" s="76">
        <v>147383.67815400532</v>
      </c>
    </row>
    <row r="88" spans="1:4" ht="12.75">
      <c r="A88" s="75" t="s">
        <v>57</v>
      </c>
      <c r="B88" s="77">
        <v>0</v>
      </c>
      <c r="C88" s="77">
        <v>0</v>
      </c>
      <c r="D88" s="77">
        <v>0</v>
      </c>
    </row>
    <row r="89" spans="1:4" ht="12.75">
      <c r="A89" s="75" t="s">
        <v>58</v>
      </c>
      <c r="B89" s="77">
        <v>18771.820689327244</v>
      </c>
      <c r="C89" s="77">
        <v>136.0313810501011</v>
      </c>
      <c r="D89" s="77">
        <v>18907.852070377343</v>
      </c>
    </row>
    <row r="90" spans="1:4" ht="12.75">
      <c r="A90" s="75" t="s">
        <v>72</v>
      </c>
      <c r="B90" s="76">
        <v>161717.62712423186</v>
      </c>
      <c r="C90" s="76">
        <v>965.9433585276188</v>
      </c>
      <c r="D90" s="76">
        <v>162683.57048275947</v>
      </c>
    </row>
    <row r="91" spans="1:4" ht="12.75">
      <c r="A91" s="74" t="s">
        <v>173</v>
      </c>
      <c r="B91" s="76">
        <v>384</v>
      </c>
      <c r="C91" s="76">
        <v>0</v>
      </c>
      <c r="D91" s="76">
        <v>384</v>
      </c>
    </row>
    <row r="92" spans="1:4" ht="12.75">
      <c r="A92" s="74" t="s">
        <v>174</v>
      </c>
      <c r="B92" s="76">
        <v>753527.8756417715</v>
      </c>
      <c r="C92" s="76">
        <v>639.9990266273126</v>
      </c>
      <c r="D92" s="76">
        <v>754167.8746683988</v>
      </c>
    </row>
    <row r="93" spans="1:4" ht="12.75">
      <c r="A93" s="75" t="s">
        <v>175</v>
      </c>
      <c r="B93" s="77">
        <v>0</v>
      </c>
      <c r="C93" s="77">
        <v>0</v>
      </c>
      <c r="D93" s="77">
        <v>0</v>
      </c>
    </row>
    <row r="94" spans="1:4" ht="12.75">
      <c r="A94" s="75" t="s">
        <v>176</v>
      </c>
      <c r="B94" s="77">
        <v>96670.09116608289</v>
      </c>
      <c r="C94" s="77">
        <v>82.10547512601786</v>
      </c>
      <c r="D94" s="77">
        <v>96752.19664120891</v>
      </c>
    </row>
    <row r="95" spans="1:4" ht="12.75">
      <c r="A95" s="74" t="s">
        <v>59</v>
      </c>
      <c r="B95" s="76">
        <v>48</v>
      </c>
      <c r="C95" s="76">
        <v>0</v>
      </c>
      <c r="D95" s="76">
        <v>48</v>
      </c>
    </row>
    <row r="96" spans="1:4" ht="12.75">
      <c r="A96" s="74" t="s">
        <v>60</v>
      </c>
      <c r="B96" s="76">
        <v>45336.4</v>
      </c>
      <c r="C96" s="76">
        <v>-100.01857878152487</v>
      </c>
      <c r="D96" s="76">
        <v>45236.38142121848</v>
      </c>
    </row>
    <row r="97" spans="1:4" ht="12.75">
      <c r="A97" s="75" t="s">
        <v>61</v>
      </c>
      <c r="B97" s="77">
        <v>1680</v>
      </c>
      <c r="C97" s="77">
        <v>0</v>
      </c>
      <c r="D97" s="77">
        <v>1680</v>
      </c>
    </row>
    <row r="98" spans="1:4" ht="12.75">
      <c r="A98" s="75" t="s">
        <v>62</v>
      </c>
      <c r="B98" s="77">
        <v>6352.989732000001</v>
      </c>
      <c r="C98" s="77">
        <v>-14.01560344465508</v>
      </c>
      <c r="D98" s="77">
        <v>6338.974128555346</v>
      </c>
    </row>
    <row r="99" spans="1:4" ht="12.75">
      <c r="A99" s="75" t="s">
        <v>73</v>
      </c>
      <c r="B99" s="76">
        <v>49822.020429597025</v>
      </c>
      <c r="C99" s="76">
        <v>-166.47989216345232</v>
      </c>
      <c r="D99" s="76">
        <v>49655.540537433575</v>
      </c>
    </row>
    <row r="100" spans="1:4" ht="12.75">
      <c r="A100" s="74" t="s">
        <v>177</v>
      </c>
      <c r="B100" s="76">
        <v>132</v>
      </c>
      <c r="C100" s="76">
        <v>0</v>
      </c>
      <c r="D100" s="76">
        <v>132</v>
      </c>
    </row>
    <row r="101" spans="1:4" ht="12.75">
      <c r="A101" s="74" t="s">
        <v>178</v>
      </c>
      <c r="B101" s="76">
        <v>385544.1444444444</v>
      </c>
      <c r="C101" s="76">
        <v>-2112.1833333333325</v>
      </c>
      <c r="D101" s="76">
        <v>383431.9611111111</v>
      </c>
    </row>
    <row r="102" spans="1:4" ht="12.75">
      <c r="A102" s="75" t="s">
        <v>179</v>
      </c>
      <c r="B102" s="77">
        <v>4620</v>
      </c>
      <c r="C102" s="77">
        <v>0</v>
      </c>
      <c r="D102" s="77">
        <v>4620</v>
      </c>
    </row>
    <row r="103" spans="1:4" ht="12.75">
      <c r="A103" s="75" t="s">
        <v>180</v>
      </c>
      <c r="B103" s="77">
        <v>54026.30096099999</v>
      </c>
      <c r="C103" s="77">
        <v>-295.9802504999999</v>
      </c>
      <c r="D103" s="77">
        <v>53730.320710500004</v>
      </c>
    </row>
    <row r="104" spans="1:4" ht="12.75">
      <c r="A104" s="74" t="s">
        <v>63</v>
      </c>
      <c r="B104" s="76">
        <v>108</v>
      </c>
      <c r="C104" s="76">
        <v>0</v>
      </c>
      <c r="D104" s="76">
        <v>108</v>
      </c>
    </row>
    <row r="105" spans="1:4" ht="12.75">
      <c r="A105" s="74" t="s">
        <v>64</v>
      </c>
      <c r="B105" s="76">
        <v>440200.3833333335</v>
      </c>
      <c r="C105" s="76">
        <v>0</v>
      </c>
      <c r="D105" s="76">
        <v>440200.3833333335</v>
      </c>
    </row>
    <row r="106" spans="1:4" ht="12.75">
      <c r="A106" s="75" t="s">
        <v>65</v>
      </c>
      <c r="B106" s="77">
        <v>10800</v>
      </c>
      <c r="C106" s="77">
        <v>0</v>
      </c>
      <c r="D106" s="77">
        <v>10800</v>
      </c>
    </row>
    <row r="107" spans="1:4" ht="12.75">
      <c r="A107" s="75" t="s">
        <v>66</v>
      </c>
      <c r="B107" s="77">
        <v>59964.09621766669</v>
      </c>
      <c r="C107" s="77">
        <v>0</v>
      </c>
      <c r="D107" s="77">
        <v>59964.09621766669</v>
      </c>
    </row>
    <row r="108" spans="1:4" ht="12.75">
      <c r="A108" s="75" t="s">
        <v>74</v>
      </c>
      <c r="B108" s="76">
        <v>477985.38628333353</v>
      </c>
      <c r="C108" s="76">
        <v>0</v>
      </c>
      <c r="D108" s="76">
        <v>477985.38628333353</v>
      </c>
    </row>
    <row r="109" spans="1:4" ht="12.75">
      <c r="A109" s="74" t="s">
        <v>181</v>
      </c>
      <c r="B109" s="76">
        <v>24</v>
      </c>
      <c r="C109" s="76">
        <v>0</v>
      </c>
      <c r="D109" s="76">
        <v>24</v>
      </c>
    </row>
    <row r="110" spans="1:4" ht="12.75">
      <c r="A110" s="74" t="s">
        <v>182</v>
      </c>
      <c r="B110" s="76">
        <v>1142229.6</v>
      </c>
      <c r="C110" s="76">
        <v>0</v>
      </c>
      <c r="D110" s="76">
        <v>1142229.6</v>
      </c>
    </row>
    <row r="111" spans="1:4" ht="12.75">
      <c r="A111" s="75" t="s">
        <v>183</v>
      </c>
      <c r="B111" s="77">
        <v>2400</v>
      </c>
      <c r="C111" s="77">
        <v>0</v>
      </c>
      <c r="D111" s="77">
        <v>2400</v>
      </c>
    </row>
    <row r="112" spans="1:4" ht="12.75">
      <c r="A112" s="75" t="s">
        <v>184</v>
      </c>
      <c r="B112" s="77">
        <v>155594.51611199995</v>
      </c>
      <c r="C112" s="77">
        <v>0</v>
      </c>
      <c r="D112" s="77">
        <v>155594.51611199995</v>
      </c>
    </row>
    <row r="113" spans="1:4" ht="12.75">
      <c r="A113" s="74" t="s">
        <v>185</v>
      </c>
      <c r="B113" s="76">
        <v>312</v>
      </c>
      <c r="C113" s="76">
        <v>0</v>
      </c>
      <c r="D113" s="76">
        <v>312</v>
      </c>
    </row>
    <row r="114" spans="1:4" ht="12.75">
      <c r="A114" s="74" t="s">
        <v>186</v>
      </c>
      <c r="B114" s="76">
        <v>48728719</v>
      </c>
      <c r="C114" s="76">
        <v>0</v>
      </c>
      <c r="D114" s="76">
        <v>48728719</v>
      </c>
    </row>
    <row r="115" spans="1:4" ht="12.75">
      <c r="A115" s="75" t="s">
        <v>187</v>
      </c>
      <c r="B115" s="77">
        <v>46800</v>
      </c>
      <c r="C115" s="77">
        <v>0</v>
      </c>
      <c r="D115" s="77">
        <v>46800</v>
      </c>
    </row>
    <row r="116" spans="1:4" ht="12.75">
      <c r="A116" s="75" t="s">
        <v>188</v>
      </c>
      <c r="B116" s="77">
        <v>3521624.5221300004</v>
      </c>
      <c r="C116" s="77">
        <v>0</v>
      </c>
      <c r="D116" s="77">
        <v>3521624.5221300004</v>
      </c>
    </row>
    <row r="117" spans="1:4" ht="12.75">
      <c r="A117" s="74" t="s">
        <v>189</v>
      </c>
      <c r="B117" s="76">
        <v>168</v>
      </c>
      <c r="C117" s="76">
        <v>0</v>
      </c>
      <c r="D117" s="76">
        <v>168</v>
      </c>
    </row>
    <row r="118" spans="1:4" ht="12.75">
      <c r="A118" s="74" t="s">
        <v>190</v>
      </c>
      <c r="B118" s="76">
        <v>134464513</v>
      </c>
      <c r="C118" s="76">
        <v>0</v>
      </c>
      <c r="D118" s="76">
        <v>134464513</v>
      </c>
    </row>
    <row r="119" spans="1:4" ht="12.75">
      <c r="A119" s="75" t="s">
        <v>191</v>
      </c>
      <c r="B119" s="77">
        <v>37800</v>
      </c>
      <c r="C119" s="77">
        <v>0</v>
      </c>
      <c r="D119" s="77">
        <v>37800</v>
      </c>
    </row>
    <row r="120" spans="1:4" ht="12.75">
      <c r="A120" s="75" t="s">
        <v>192</v>
      </c>
      <c r="B120" s="77">
        <v>4735840.14786</v>
      </c>
      <c r="C120" s="77">
        <v>0</v>
      </c>
      <c r="D120" s="77">
        <v>4735840.14786</v>
      </c>
    </row>
    <row r="121" spans="1:4" ht="12.75">
      <c r="A121" s="74" t="s">
        <v>193</v>
      </c>
      <c r="B121" s="76">
        <v>36</v>
      </c>
      <c r="C121" s="76">
        <v>0</v>
      </c>
      <c r="D121" s="76">
        <v>36</v>
      </c>
    </row>
    <row r="122" spans="1:4" ht="12.75">
      <c r="A122" s="74" t="s">
        <v>194</v>
      </c>
      <c r="B122" s="76">
        <v>152002324.00399998</v>
      </c>
      <c r="C122" s="76">
        <v>0</v>
      </c>
      <c r="D122" s="76">
        <v>152002324.00399998</v>
      </c>
    </row>
    <row r="123" spans="1:4" ht="12.75">
      <c r="A123" s="75" t="s">
        <v>195</v>
      </c>
      <c r="B123" s="77">
        <v>8100</v>
      </c>
      <c r="C123" s="77">
        <v>0</v>
      </c>
      <c r="D123" s="77">
        <v>8100</v>
      </c>
    </row>
    <row r="124" spans="1:4" ht="12.75">
      <c r="A124" s="75" t="s">
        <v>196</v>
      </c>
      <c r="B124" s="77">
        <v>1523063.2865200804</v>
      </c>
      <c r="C124" s="77">
        <v>0</v>
      </c>
      <c r="D124" s="77">
        <v>1523063.2865200804</v>
      </c>
    </row>
    <row r="125" spans="1:4" ht="12.75">
      <c r="A125" s="74" t="s">
        <v>387</v>
      </c>
      <c r="B125" s="82">
        <v>84</v>
      </c>
      <c r="C125" s="82">
        <v>0</v>
      </c>
      <c r="D125" s="82">
        <v>84</v>
      </c>
    </row>
    <row r="126" spans="1:4" ht="12.75">
      <c r="A126" s="74" t="s">
        <v>388</v>
      </c>
      <c r="B126" s="82">
        <v>299401991.9996</v>
      </c>
      <c r="C126" s="82">
        <v>0</v>
      </c>
      <c r="D126" s="82">
        <v>299401991.9996</v>
      </c>
    </row>
    <row r="127" spans="1:4" ht="12.75">
      <c r="A127" s="75" t="s">
        <v>389</v>
      </c>
      <c r="B127" s="98">
        <v>2879868</v>
      </c>
      <c r="C127" s="98">
        <v>0</v>
      </c>
      <c r="D127" s="98">
        <v>2879868</v>
      </c>
    </row>
    <row r="128" spans="1:4" ht="12.75">
      <c r="A128" s="75" t="s">
        <v>390</v>
      </c>
      <c r="B128" s="98">
        <v>3597172.5152088576</v>
      </c>
      <c r="C128" s="98">
        <v>0</v>
      </c>
      <c r="D128" s="98">
        <v>3597172.5152088576</v>
      </c>
    </row>
    <row r="129" spans="1:4" ht="12.75">
      <c r="A129" s="74" t="s">
        <v>197</v>
      </c>
      <c r="B129" s="76">
        <v>0.9488638002273387</v>
      </c>
      <c r="C129" s="76">
        <v>0</v>
      </c>
      <c r="D129" s="76">
        <v>0.9488638002273387</v>
      </c>
    </row>
    <row r="130" spans="1:4" ht="12.75">
      <c r="A130" s="74" t="s">
        <v>198</v>
      </c>
      <c r="B130" s="76">
        <v>0</v>
      </c>
      <c r="C130" s="76">
        <v>210000000</v>
      </c>
      <c r="D130" s="76">
        <v>210000000</v>
      </c>
    </row>
    <row r="131" spans="1:4" ht="12.75">
      <c r="A131" s="75" t="s">
        <v>199</v>
      </c>
      <c r="B131" s="77">
        <v>0</v>
      </c>
      <c r="C131" s="77">
        <v>0</v>
      </c>
      <c r="D131" s="77">
        <v>0</v>
      </c>
    </row>
    <row r="132" spans="1:4" ht="12.75">
      <c r="A132" s="75" t="s">
        <v>200</v>
      </c>
      <c r="B132" s="77">
        <v>0</v>
      </c>
      <c r="C132" s="77">
        <v>500000</v>
      </c>
      <c r="D132" s="77">
        <v>500000</v>
      </c>
    </row>
    <row r="133" spans="1:4" ht="12.75">
      <c r="A133" s="75" t="s">
        <v>201</v>
      </c>
      <c r="B133" s="76">
        <v>0</v>
      </c>
      <c r="C133" s="76">
        <v>195300000</v>
      </c>
      <c r="D133" s="76">
        <v>195300000</v>
      </c>
    </row>
    <row r="134" spans="1:4" ht="12.75">
      <c r="A134" s="75" t="s">
        <v>67</v>
      </c>
      <c r="B134" s="76">
        <v>4065537.867854478</v>
      </c>
      <c r="C134" s="76">
        <v>0</v>
      </c>
      <c r="D134" s="76">
        <v>4065537.867854478</v>
      </c>
    </row>
    <row r="135" spans="1:5" ht="12.75">
      <c r="A135" s="75" t="s">
        <v>68</v>
      </c>
      <c r="B135" s="76">
        <v>1081915247.6586835</v>
      </c>
      <c r="C135" s="76">
        <v>209314422.78356254</v>
      </c>
      <c r="D135" s="76">
        <v>1291229670.4422457</v>
      </c>
      <c r="E135" s="76"/>
    </row>
    <row r="136" spans="1:5" ht="12.75">
      <c r="A136" s="75" t="s">
        <v>69</v>
      </c>
      <c r="B136" s="77">
        <v>49649740.053483106</v>
      </c>
      <c r="C136" s="77">
        <v>0</v>
      </c>
      <c r="D136" s="77">
        <v>49649740.053483106</v>
      </c>
      <c r="E136" s="76"/>
    </row>
    <row r="137" spans="1:5" ht="12.75">
      <c r="A137" s="75" t="s">
        <v>70</v>
      </c>
      <c r="B137" s="77">
        <v>113029727.19723983</v>
      </c>
      <c r="C137" s="77">
        <v>381958.8826279534</v>
      </c>
      <c r="D137" s="77">
        <v>113411686.07986777</v>
      </c>
      <c r="E137" s="76"/>
    </row>
    <row r="138" spans="1:5" ht="12.75">
      <c r="A138" s="75" t="s">
        <v>75</v>
      </c>
      <c r="B138" s="76">
        <v>156168549.95032147</v>
      </c>
      <c r="C138" s="76">
        <v>195503004.57435578</v>
      </c>
      <c r="D138" s="76">
        <v>351671554.5246773</v>
      </c>
      <c r="E138" s="76"/>
    </row>
    <row r="139" spans="1:5" ht="12.75">
      <c r="A139" s="74" t="s">
        <v>46</v>
      </c>
      <c r="B139" s="76">
        <v>862216.8</v>
      </c>
      <c r="C139" s="76">
        <v>0</v>
      </c>
      <c r="D139" s="76">
        <v>862216.8</v>
      </c>
      <c r="E139" s="76"/>
    </row>
    <row r="140" spans="1:5" ht="12.75">
      <c r="A140" s="74" t="s">
        <v>202</v>
      </c>
      <c r="B140" s="76">
        <v>1284801.4</v>
      </c>
      <c r="C140" s="76">
        <v>0</v>
      </c>
      <c r="D140" s="76">
        <v>1284801.4</v>
      </c>
      <c r="E140" s="76"/>
    </row>
    <row r="141" spans="1:5" ht="12.75">
      <c r="A141" s="74" t="s">
        <v>203</v>
      </c>
      <c r="B141" s="76">
        <v>182886.2</v>
      </c>
      <c r="C141" s="76">
        <v>0</v>
      </c>
      <c r="D141" s="76">
        <v>182886.2</v>
      </c>
      <c r="E141" s="76"/>
    </row>
    <row r="142" spans="1:5" ht="12.75">
      <c r="A142" s="74" t="s">
        <v>204</v>
      </c>
      <c r="B142" s="76">
        <v>436452.2</v>
      </c>
      <c r="C142" s="76">
        <v>0</v>
      </c>
      <c r="D142" s="76">
        <v>436452.2</v>
      </c>
      <c r="E142" s="76"/>
    </row>
    <row r="143" spans="1:5" ht="12.75">
      <c r="A143" s="74" t="s">
        <v>205</v>
      </c>
      <c r="B143" s="76">
        <v>2544685.8</v>
      </c>
      <c r="C143" s="76">
        <v>0</v>
      </c>
      <c r="D143" s="76">
        <v>2544685.8</v>
      </c>
      <c r="E143" s="76"/>
    </row>
    <row r="144" spans="1:5" ht="12.75">
      <c r="A144" s="74" t="s">
        <v>47</v>
      </c>
      <c r="B144" s="76">
        <v>91903.39999999982</v>
      </c>
      <c r="C144" s="76">
        <v>0</v>
      </c>
      <c r="D144" s="76">
        <v>91903.39999999982</v>
      </c>
      <c r="E144" s="76"/>
    </row>
    <row r="145" spans="1:5" ht="12.75">
      <c r="A145" s="74" t="s">
        <v>206</v>
      </c>
      <c r="B145" s="76">
        <v>74028.40000000005</v>
      </c>
      <c r="C145" s="76">
        <v>0</v>
      </c>
      <c r="D145" s="76">
        <v>74028.40000000005</v>
      </c>
      <c r="E145" s="76"/>
    </row>
    <row r="146" spans="1:5" ht="12.75">
      <c r="A146" s="74" t="s">
        <v>207</v>
      </c>
      <c r="B146" s="76">
        <v>65755.19999999975</v>
      </c>
      <c r="C146" s="76">
        <v>0</v>
      </c>
      <c r="D146" s="76">
        <v>65755.19999999975</v>
      </c>
      <c r="E146" s="76"/>
    </row>
    <row r="147" spans="1:5" ht="12.75">
      <c r="A147" s="74" t="s">
        <v>208</v>
      </c>
      <c r="B147" s="76">
        <v>0</v>
      </c>
      <c r="C147" s="76">
        <v>0</v>
      </c>
      <c r="D147" s="76">
        <v>0</v>
      </c>
      <c r="E147" s="76"/>
    </row>
    <row r="148" spans="1:5" ht="12.75">
      <c r="A148" s="74" t="s">
        <v>209</v>
      </c>
      <c r="B148" s="76">
        <v>0</v>
      </c>
      <c r="C148" s="76">
        <v>0</v>
      </c>
      <c r="D148" s="76">
        <v>0</v>
      </c>
      <c r="E148" s="76"/>
    </row>
    <row r="149" spans="1:5" ht="12.75">
      <c r="A149" s="74" t="s">
        <v>210</v>
      </c>
      <c r="B149" s="76">
        <v>507999.9999999981</v>
      </c>
      <c r="C149" s="76">
        <v>0</v>
      </c>
      <c r="D149" s="76">
        <v>507999.9999999981</v>
      </c>
      <c r="E149" s="76"/>
    </row>
    <row r="150" spans="1:4" ht="12.75">
      <c r="A150" s="74" t="s">
        <v>393</v>
      </c>
      <c r="B150" s="76">
        <v>0</v>
      </c>
      <c r="C150" s="76">
        <v>0</v>
      </c>
      <c r="D150" s="76">
        <v>0</v>
      </c>
    </row>
    <row r="151" spans="1:4" ht="12.75">
      <c r="A151" s="74" t="s">
        <v>234</v>
      </c>
      <c r="B151" s="82">
        <v>250000</v>
      </c>
      <c r="C151" s="82">
        <v>0</v>
      </c>
      <c r="D151" s="76">
        <v>250000</v>
      </c>
    </row>
    <row r="152" spans="1:4" ht="12.75">
      <c r="A152" s="74" t="s">
        <v>474</v>
      </c>
      <c r="B152" s="82">
        <v>0</v>
      </c>
      <c r="C152" s="82">
        <v>2262</v>
      </c>
      <c r="D152" s="76">
        <v>2262</v>
      </c>
    </row>
    <row r="153" spans="1:4" ht="12.75">
      <c r="A153" s="74" t="s">
        <v>211</v>
      </c>
      <c r="B153" s="76">
        <v>0</v>
      </c>
      <c r="C153" s="76">
        <v>174093.99999999924</v>
      </c>
      <c r="D153" s="76">
        <v>174093.99999999924</v>
      </c>
    </row>
    <row r="154" spans="1:4" ht="12.75">
      <c r="A154" s="74" t="s">
        <v>394</v>
      </c>
      <c r="B154" s="76">
        <v>249318.12</v>
      </c>
      <c r="C154" s="76">
        <v>118296</v>
      </c>
      <c r="D154" s="76">
        <v>367614.12</v>
      </c>
    </row>
    <row r="155" ht="12.75">
      <c r="D155" s="24"/>
    </row>
    <row r="156" spans="3:4" ht="12.75">
      <c r="C156" t="s">
        <v>217</v>
      </c>
      <c r="D156" s="24">
        <f>SUM(D139:D154)</f>
        <v>6844699.519999998</v>
      </c>
    </row>
    <row r="157" spans="3:4" ht="12.75">
      <c r="C157" t="s">
        <v>218</v>
      </c>
      <c r="D157" s="24">
        <f>+D156+D136+D137</f>
        <v>169906125.65335086</v>
      </c>
    </row>
    <row r="158" ht="12.75">
      <c r="D158" s="24">
        <f>+D157-'SCHE-1'!V95</f>
        <v>0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6"/>
  <sheetViews>
    <sheetView zoomScalePageLayoutView="0" workbookViewId="0" topLeftCell="A145">
      <selection activeCell="A1" sqref="A1"/>
    </sheetView>
  </sheetViews>
  <sheetFormatPr defaultColWidth="9.00390625" defaultRowHeight="12.75"/>
  <cols>
    <col min="1" max="1" width="21.25390625" style="0" bestFit="1" customWidth="1"/>
    <col min="2" max="2" width="24.25390625" style="0" bestFit="1" customWidth="1"/>
    <col min="3" max="3" width="23.375" style="0" bestFit="1" customWidth="1"/>
    <col min="4" max="4" width="24.25390625" style="0" bestFit="1" customWidth="1"/>
    <col min="5" max="5" width="11.875" style="0" bestFit="1" customWidth="1"/>
    <col min="6" max="6" width="21.625" style="0" bestFit="1" customWidth="1"/>
    <col min="7" max="7" width="13.00390625" style="0" bestFit="1" customWidth="1"/>
  </cols>
  <sheetData>
    <row r="1" spans="1:4" ht="12.75">
      <c r="A1" s="73" t="s">
        <v>105</v>
      </c>
      <c r="D1" s="96"/>
    </row>
    <row r="2" spans="1:3" ht="12" customHeight="1">
      <c r="A2" s="80" t="s">
        <v>454</v>
      </c>
      <c r="B2" s="81" t="s">
        <v>41</v>
      </c>
      <c r="C2" s="80" t="s">
        <v>238</v>
      </c>
    </row>
    <row r="4" spans="2:4" ht="12.75">
      <c r="B4" s="75" t="s">
        <v>215</v>
      </c>
      <c r="C4" s="75" t="s">
        <v>216</v>
      </c>
      <c r="D4" s="75" t="s">
        <v>106</v>
      </c>
    </row>
    <row r="5" spans="1:4" ht="12.75">
      <c r="A5" s="74" t="s">
        <v>107</v>
      </c>
      <c r="B5" s="76">
        <v>924113</v>
      </c>
      <c r="C5" s="76">
        <v>0</v>
      </c>
      <c r="D5" s="76">
        <v>924113</v>
      </c>
    </row>
    <row r="6" spans="1:4" ht="12.75">
      <c r="A6" s="74" t="s">
        <v>108</v>
      </c>
      <c r="B6" s="76">
        <v>4448650.96</v>
      </c>
      <c r="C6" s="76">
        <v>-3059232.611749017</v>
      </c>
      <c r="D6" s="76">
        <v>1389418.3482509821</v>
      </c>
    </row>
    <row r="7" spans="1:4" ht="12.75">
      <c r="A7" s="75" t="s">
        <v>109</v>
      </c>
      <c r="B7" s="77">
        <v>10812122.1</v>
      </c>
      <c r="C7" s="77">
        <v>0</v>
      </c>
      <c r="D7" s="77">
        <v>10812122.1</v>
      </c>
    </row>
    <row r="8" spans="1:5" ht="12.75">
      <c r="A8" s="75" t="s">
        <v>110</v>
      </c>
      <c r="B8" s="77">
        <v>1428906.6883520004</v>
      </c>
      <c r="C8" s="77">
        <v>-982625.5148937848</v>
      </c>
      <c r="D8" s="77">
        <v>446281.1734582156</v>
      </c>
      <c r="E8">
        <f>+C6+C11+C16</f>
        <v>-235893.8193717394</v>
      </c>
    </row>
    <row r="9" spans="1:4" ht="12.75">
      <c r="A9" s="75" t="s">
        <v>111</v>
      </c>
      <c r="B9" s="76">
        <v>5213352.161979902</v>
      </c>
      <c r="C9" s="76">
        <v>-3986050.919122137</v>
      </c>
      <c r="D9" s="76">
        <v>1227301.2428577654</v>
      </c>
    </row>
    <row r="10" spans="1:4" ht="12.75">
      <c r="A10" s="74" t="s">
        <v>395</v>
      </c>
      <c r="B10" s="76">
        <v>1900910</v>
      </c>
      <c r="C10" s="76">
        <v>0</v>
      </c>
      <c r="D10" s="76">
        <v>1900910</v>
      </c>
    </row>
    <row r="11" spans="1:4" ht="12.75">
      <c r="A11" s="74" t="s">
        <v>396</v>
      </c>
      <c r="B11" s="76">
        <v>27140448.96</v>
      </c>
      <c r="C11" s="76">
        <v>1261200.0834789798</v>
      </c>
      <c r="D11" s="76">
        <v>28401649.043478973</v>
      </c>
    </row>
    <row r="12" spans="1:4" ht="12.75">
      <c r="A12" s="75" t="s">
        <v>397</v>
      </c>
      <c r="B12" s="77">
        <v>27800808.749999996</v>
      </c>
      <c r="C12" s="77">
        <v>0</v>
      </c>
      <c r="D12" s="77">
        <v>27800808.749999996</v>
      </c>
    </row>
    <row r="13" spans="1:4" ht="12.75">
      <c r="A13" s="75" t="s">
        <v>398</v>
      </c>
      <c r="B13" s="77">
        <v>8717512.205952002</v>
      </c>
      <c r="C13" s="77">
        <v>405097.46681344835</v>
      </c>
      <c r="D13" s="77">
        <v>9122609.67276545</v>
      </c>
    </row>
    <row r="14" spans="1:4" ht="12.75">
      <c r="A14" s="75" t="s">
        <v>399</v>
      </c>
      <c r="B14" s="76">
        <v>31821034.835903037</v>
      </c>
      <c r="C14" s="76">
        <v>1831264.5036290074</v>
      </c>
      <c r="D14" s="76">
        <v>33652299.33953204</v>
      </c>
    </row>
    <row r="15" spans="1:4" ht="12.75">
      <c r="A15" s="74" t="s">
        <v>438</v>
      </c>
      <c r="B15" s="76">
        <v>850266</v>
      </c>
      <c r="C15" s="76">
        <v>0</v>
      </c>
      <c r="D15" s="76">
        <v>850266</v>
      </c>
    </row>
    <row r="16" spans="1:4" ht="12.75">
      <c r="A16" s="74" t="s">
        <v>439</v>
      </c>
      <c r="B16" s="76">
        <v>30793017.96</v>
      </c>
      <c r="C16" s="76">
        <v>1562138.708898298</v>
      </c>
      <c r="D16" s="76">
        <v>32355156.6688983</v>
      </c>
    </row>
    <row r="17" spans="1:4" ht="12.75">
      <c r="A17" s="75" t="s">
        <v>440</v>
      </c>
      <c r="B17" s="77">
        <v>16580187.000000002</v>
      </c>
      <c r="C17" s="77">
        <v>0</v>
      </c>
      <c r="D17" s="77">
        <v>16580187.000000002</v>
      </c>
    </row>
    <row r="18" spans="1:4" ht="12.75">
      <c r="A18" s="75" t="s">
        <v>441</v>
      </c>
      <c r="B18" s="77">
        <v>9890717.368752</v>
      </c>
      <c r="C18" s="77">
        <v>501758.95329813345</v>
      </c>
      <c r="D18" s="77">
        <v>10392476.322050134</v>
      </c>
    </row>
    <row r="19" spans="1:4" ht="12.75">
      <c r="A19" s="75" t="s">
        <v>442</v>
      </c>
      <c r="B19" s="76">
        <v>36087977.782540835</v>
      </c>
      <c r="C19" s="76">
        <v>2277456.6951548173</v>
      </c>
      <c r="D19" s="76">
        <v>38365434.47769565</v>
      </c>
    </row>
    <row r="20" spans="1:4" ht="12.75">
      <c r="A20" s="74" t="s">
        <v>428</v>
      </c>
      <c r="B20" s="76">
        <v>12132</v>
      </c>
      <c r="C20" s="76">
        <v>0</v>
      </c>
      <c r="D20" s="76">
        <v>12132</v>
      </c>
    </row>
    <row r="21" spans="1:4" ht="12.75">
      <c r="A21" s="74" t="s">
        <v>429</v>
      </c>
      <c r="B21" s="76">
        <v>4068613.12</v>
      </c>
      <c r="C21" s="76">
        <v>222508.27663332966</v>
      </c>
      <c r="D21" s="76">
        <v>4291121.39663333</v>
      </c>
    </row>
    <row r="22" spans="1:4" ht="12.75">
      <c r="A22" s="75" t="s">
        <v>430</v>
      </c>
      <c r="B22" s="77">
        <v>410480.15399999986</v>
      </c>
      <c r="C22" s="77">
        <v>0</v>
      </c>
      <c r="D22" s="77">
        <v>410480.15399999986</v>
      </c>
    </row>
    <row r="23" spans="1:4" ht="12.75">
      <c r="A23" s="75" t="s">
        <v>431</v>
      </c>
      <c r="B23" s="77">
        <v>1144053.3232127998</v>
      </c>
      <c r="C23" s="77">
        <v>62567.102306525965</v>
      </c>
      <c r="D23" s="77">
        <v>1206620.4255193258</v>
      </c>
    </row>
    <row r="24" spans="1:4" ht="12.75">
      <c r="A24" s="75" t="s">
        <v>432</v>
      </c>
      <c r="B24" s="76">
        <v>4769964.212820862</v>
      </c>
      <c r="C24" s="76">
        <v>326864.74247127527</v>
      </c>
      <c r="D24" s="76">
        <v>5096828.955292139</v>
      </c>
    </row>
    <row r="25" spans="1:4" ht="12.75">
      <c r="A25" s="74" t="s">
        <v>462</v>
      </c>
      <c r="B25" s="82">
        <v>2052</v>
      </c>
      <c r="C25" s="82">
        <v>0</v>
      </c>
      <c r="D25" s="82">
        <v>2052</v>
      </c>
    </row>
    <row r="26" spans="1:4" ht="12.75">
      <c r="A26" s="74" t="s">
        <v>463</v>
      </c>
      <c r="B26" s="82">
        <v>791095</v>
      </c>
      <c r="C26" s="82">
        <v>42990.862843170995</v>
      </c>
      <c r="D26" s="82">
        <v>834085.862843171</v>
      </c>
    </row>
    <row r="27" spans="1:4" ht="12.75">
      <c r="A27" s="75" t="s">
        <v>464</v>
      </c>
      <c r="B27" s="98">
        <v>69428.394</v>
      </c>
      <c r="C27" s="98">
        <v>0</v>
      </c>
      <c r="D27" s="98">
        <v>69428.394</v>
      </c>
    </row>
    <row r="28" spans="1:4" ht="12.75">
      <c r="A28" s="75" t="s">
        <v>465</v>
      </c>
      <c r="B28" s="98">
        <v>222448.00305000003</v>
      </c>
      <c r="C28" s="98">
        <v>12088.600722871251</v>
      </c>
      <c r="D28" s="98">
        <v>234536.60377287123</v>
      </c>
    </row>
    <row r="29" spans="1:4" ht="12.75">
      <c r="A29" s="74" t="s">
        <v>433</v>
      </c>
      <c r="B29" s="76">
        <v>1716</v>
      </c>
      <c r="C29" s="76">
        <v>0</v>
      </c>
      <c r="D29" s="76">
        <v>1716</v>
      </c>
    </row>
    <row r="30" spans="1:4" ht="12.75">
      <c r="A30" s="74" t="s">
        <v>434</v>
      </c>
      <c r="B30" s="76">
        <v>2672677</v>
      </c>
      <c r="C30" s="76">
        <v>145242.59454439447</v>
      </c>
      <c r="D30" s="76">
        <v>2817919.594544395</v>
      </c>
    </row>
    <row r="31" spans="1:4" ht="12.75">
      <c r="A31" s="75" t="s">
        <v>435</v>
      </c>
      <c r="B31" s="77">
        <v>83346.12</v>
      </c>
      <c r="C31" s="77">
        <v>0</v>
      </c>
      <c r="D31" s="77">
        <v>83346.12</v>
      </c>
    </row>
    <row r="32" spans="1:4" ht="12.75">
      <c r="A32" s="75" t="s">
        <v>436</v>
      </c>
      <c r="B32" s="77">
        <v>653015.1714100002</v>
      </c>
      <c r="C32" s="77">
        <v>35487.123125031896</v>
      </c>
      <c r="D32" s="77">
        <v>688502.294535032</v>
      </c>
    </row>
    <row r="33" spans="1:4" ht="12.75">
      <c r="A33" s="75" t="s">
        <v>437</v>
      </c>
      <c r="B33" s="76">
        <v>3132939.8434140934</v>
      </c>
      <c r="C33" s="76">
        <v>213361.42628009588</v>
      </c>
      <c r="D33" s="76">
        <v>3346301.26969419</v>
      </c>
    </row>
    <row r="34" spans="1:4" ht="12.75">
      <c r="A34" s="74" t="s">
        <v>466</v>
      </c>
      <c r="B34" s="82">
        <v>1056</v>
      </c>
      <c r="C34" s="82">
        <v>0</v>
      </c>
      <c r="D34" s="82">
        <v>1056</v>
      </c>
    </row>
    <row r="35" spans="1:4" ht="12.75">
      <c r="A35" s="74" t="s">
        <v>467</v>
      </c>
      <c r="B35" s="82">
        <v>1743244</v>
      </c>
      <c r="C35" s="82">
        <v>94733.96204777024</v>
      </c>
      <c r="D35" s="82">
        <v>1837977.9620477706</v>
      </c>
    </row>
    <row r="36" spans="1:4" ht="12.75">
      <c r="A36" s="75" t="s">
        <v>468</v>
      </c>
      <c r="B36" s="98">
        <v>51289.92</v>
      </c>
      <c r="C36" s="98">
        <v>0</v>
      </c>
      <c r="D36" s="98">
        <v>51289.92</v>
      </c>
    </row>
    <row r="37" spans="1:4" ht="12.75">
      <c r="A37" s="75" t="s">
        <v>469</v>
      </c>
      <c r="B37" s="98">
        <v>425926.8065200001</v>
      </c>
      <c r="C37" s="98">
        <v>23146.348947131708</v>
      </c>
      <c r="D37" s="98">
        <v>449073.1554671319</v>
      </c>
    </row>
    <row r="38" spans="1:4" ht="12.75">
      <c r="A38" s="74" t="s">
        <v>443</v>
      </c>
      <c r="B38" s="76">
        <v>132</v>
      </c>
      <c r="C38" s="76">
        <v>0</v>
      </c>
      <c r="D38" s="76">
        <v>132</v>
      </c>
    </row>
    <row r="39" spans="1:4" ht="12.75">
      <c r="A39" s="74" t="s">
        <v>444</v>
      </c>
      <c r="B39" s="76">
        <v>878867</v>
      </c>
      <c r="C39" s="76">
        <v>47760.69960546984</v>
      </c>
      <c r="D39" s="76">
        <v>926627.6996054699</v>
      </c>
    </row>
    <row r="40" spans="1:4" ht="12.75">
      <c r="A40" s="75" t="s">
        <v>445</v>
      </c>
      <c r="B40" s="77">
        <v>19800</v>
      </c>
      <c r="C40" s="77">
        <v>0</v>
      </c>
      <c r="D40" s="77">
        <v>19800</v>
      </c>
    </row>
    <row r="41" spans="1:4" ht="12.75">
      <c r="A41" s="75" t="s">
        <v>446</v>
      </c>
      <c r="B41" s="77">
        <v>185941.89119000005</v>
      </c>
      <c r="C41" s="77">
        <v>10104.731215529253</v>
      </c>
      <c r="D41" s="77">
        <v>196046.62240552928</v>
      </c>
    </row>
    <row r="42" spans="1:4" ht="12.75">
      <c r="A42" s="75" t="s">
        <v>447</v>
      </c>
      <c r="B42" s="76">
        <v>1030217.0600344951</v>
      </c>
      <c r="C42" s="76">
        <v>70160.48577157246</v>
      </c>
      <c r="D42" s="76">
        <v>1100377.5458060678</v>
      </c>
    </row>
    <row r="43" spans="1:4" ht="12.75">
      <c r="A43" s="74" t="s">
        <v>470</v>
      </c>
      <c r="B43" s="82">
        <v>96</v>
      </c>
      <c r="C43" s="82">
        <v>0</v>
      </c>
      <c r="D43" s="82">
        <v>96</v>
      </c>
    </row>
    <row r="44" spans="1:4" ht="12.75">
      <c r="A44" s="74" t="s">
        <v>471</v>
      </c>
      <c r="B44" s="82">
        <v>669560</v>
      </c>
      <c r="C44" s="82">
        <v>36386.22684415093</v>
      </c>
      <c r="D44" s="82">
        <v>705946.226844151</v>
      </c>
    </row>
    <row r="45" spans="1:4" ht="12.75">
      <c r="A45" s="75" t="s">
        <v>472</v>
      </c>
      <c r="B45" s="98">
        <v>14400</v>
      </c>
      <c r="C45" s="98">
        <v>0</v>
      </c>
      <c r="D45" s="98">
        <v>14400</v>
      </c>
    </row>
    <row r="46" spans="1:4" ht="12.75">
      <c r="A46" s="75" t="s">
        <v>473</v>
      </c>
      <c r="B46" s="98">
        <v>141658.80920000002</v>
      </c>
      <c r="C46" s="98">
        <v>7698.234013417012</v>
      </c>
      <c r="D46" s="98">
        <v>149357.04321341703</v>
      </c>
    </row>
    <row r="47" spans="1:4" ht="12.75">
      <c r="A47" s="74" t="s">
        <v>242</v>
      </c>
      <c r="B47" s="76">
        <v>8592</v>
      </c>
      <c r="C47" s="76">
        <v>0</v>
      </c>
      <c r="D47" s="76">
        <v>8592</v>
      </c>
    </row>
    <row r="48" spans="1:4" ht="12.75">
      <c r="A48" s="74" t="s">
        <v>243</v>
      </c>
      <c r="B48" s="76">
        <v>0</v>
      </c>
      <c r="C48" s="76">
        <v>0</v>
      </c>
      <c r="D48" s="76">
        <v>0</v>
      </c>
    </row>
    <row r="49" spans="1:4" ht="12.75">
      <c r="A49" s="75" t="s">
        <v>244</v>
      </c>
      <c r="B49" s="77">
        <v>171840</v>
      </c>
      <c r="C49" s="77">
        <v>0</v>
      </c>
      <c r="D49" s="77">
        <v>171840</v>
      </c>
    </row>
    <row r="50" spans="1:4" ht="12.75">
      <c r="A50" s="75" t="s">
        <v>245</v>
      </c>
      <c r="B50" s="77">
        <v>0</v>
      </c>
      <c r="C50" s="77">
        <v>0</v>
      </c>
      <c r="D50" s="77">
        <v>0</v>
      </c>
    </row>
    <row r="51" spans="1:4" ht="12.75">
      <c r="A51" s="75" t="s">
        <v>246</v>
      </c>
      <c r="B51" s="76">
        <v>0</v>
      </c>
      <c r="C51" s="76">
        <v>0</v>
      </c>
      <c r="D51" s="76">
        <v>0</v>
      </c>
    </row>
    <row r="52" spans="1:4" ht="12.75">
      <c r="A52" s="74" t="s">
        <v>112</v>
      </c>
      <c r="B52" s="76">
        <v>0</v>
      </c>
      <c r="C52" s="76">
        <v>0</v>
      </c>
      <c r="D52" s="76">
        <v>0</v>
      </c>
    </row>
    <row r="53" spans="1:4" ht="12.75">
      <c r="A53" s="74" t="s">
        <v>113</v>
      </c>
      <c r="B53" s="76">
        <v>0</v>
      </c>
      <c r="C53" s="76">
        <v>0</v>
      </c>
      <c r="D53" s="76">
        <v>0</v>
      </c>
    </row>
    <row r="54" spans="1:4" ht="12.75">
      <c r="A54" s="75" t="s">
        <v>114</v>
      </c>
      <c r="B54" s="77">
        <v>0</v>
      </c>
      <c r="C54" s="77">
        <v>0</v>
      </c>
      <c r="D54" s="77">
        <v>0</v>
      </c>
    </row>
    <row r="55" spans="1:4" ht="12.75">
      <c r="A55" s="75" t="s">
        <v>115</v>
      </c>
      <c r="B55" s="77">
        <v>0</v>
      </c>
      <c r="C55" s="77">
        <v>0</v>
      </c>
      <c r="D55" s="77">
        <v>0</v>
      </c>
    </row>
    <row r="56" spans="1:4" ht="12.75">
      <c r="A56" s="75" t="s">
        <v>116</v>
      </c>
      <c r="B56" s="76">
        <v>0</v>
      </c>
      <c r="C56" s="76">
        <v>0</v>
      </c>
      <c r="D56" s="76">
        <v>0</v>
      </c>
    </row>
    <row r="57" spans="1:4" ht="12.75">
      <c r="A57" s="74" t="s">
        <v>117</v>
      </c>
      <c r="B57" s="76">
        <v>0</v>
      </c>
      <c r="C57" s="76">
        <v>0</v>
      </c>
      <c r="D57" s="76">
        <v>0</v>
      </c>
    </row>
    <row r="58" spans="1:5" ht="12.75">
      <c r="A58" s="74" t="s">
        <v>118</v>
      </c>
      <c r="B58" s="76">
        <v>0</v>
      </c>
      <c r="C58" s="76">
        <v>-180288</v>
      </c>
      <c r="D58" s="76">
        <v>-180288</v>
      </c>
      <c r="E58">
        <f>+C58+E8</f>
        <v>-416181.8193717394</v>
      </c>
    </row>
    <row r="59" spans="1:4" ht="12.75">
      <c r="A59" s="75" t="s">
        <v>119</v>
      </c>
      <c r="B59" s="77">
        <v>0</v>
      </c>
      <c r="C59" s="77">
        <v>0</v>
      </c>
      <c r="D59" s="77">
        <v>0</v>
      </c>
    </row>
    <row r="60" spans="1:4" ht="12.75">
      <c r="A60" s="75" t="s">
        <v>120</v>
      </c>
      <c r="B60" s="77">
        <v>0</v>
      </c>
      <c r="C60" s="77">
        <v>-57908.505600000004</v>
      </c>
      <c r="D60" s="77">
        <v>-57908.505600000004</v>
      </c>
    </row>
    <row r="61" spans="1:4" ht="12.75">
      <c r="A61" s="74" t="s">
        <v>247</v>
      </c>
      <c r="B61" s="76">
        <v>8796</v>
      </c>
      <c r="C61" s="76">
        <v>0</v>
      </c>
      <c r="D61" s="76">
        <v>8796</v>
      </c>
    </row>
    <row r="62" spans="1:4" ht="12.75">
      <c r="A62" s="74" t="s">
        <v>248</v>
      </c>
      <c r="B62" s="76">
        <v>0</v>
      </c>
      <c r="C62" s="76">
        <v>0</v>
      </c>
      <c r="D62" s="76">
        <v>0</v>
      </c>
    </row>
    <row r="63" spans="1:4" ht="12.75">
      <c r="A63" s="75" t="s">
        <v>249</v>
      </c>
      <c r="B63" s="77">
        <v>307860</v>
      </c>
      <c r="C63" s="77">
        <v>0</v>
      </c>
      <c r="D63" s="77">
        <v>307860</v>
      </c>
    </row>
    <row r="64" spans="1:4" ht="12.75">
      <c r="A64" s="75" t="s">
        <v>250</v>
      </c>
      <c r="B64" s="77">
        <v>0</v>
      </c>
      <c r="C64" s="77">
        <v>0</v>
      </c>
      <c r="D64" s="77">
        <v>0</v>
      </c>
    </row>
    <row r="65" spans="1:4" ht="12.75">
      <c r="A65" s="75" t="s">
        <v>251</v>
      </c>
      <c r="B65" s="76">
        <v>0</v>
      </c>
      <c r="C65" s="76">
        <v>0</v>
      </c>
      <c r="D65" s="76">
        <v>0</v>
      </c>
    </row>
    <row r="66" spans="1:4" ht="12.75">
      <c r="A66" s="74" t="s">
        <v>252</v>
      </c>
      <c r="B66" s="76">
        <v>708</v>
      </c>
      <c r="C66" s="76">
        <v>0</v>
      </c>
      <c r="D66" s="76">
        <v>708</v>
      </c>
    </row>
    <row r="67" spans="1:4" ht="12.75">
      <c r="A67" s="74" t="s">
        <v>253</v>
      </c>
      <c r="B67" s="76">
        <v>0</v>
      </c>
      <c r="C67" s="76">
        <v>0</v>
      </c>
      <c r="D67" s="76">
        <v>0</v>
      </c>
    </row>
    <row r="68" spans="1:4" ht="12.75">
      <c r="A68" s="75" t="s">
        <v>254</v>
      </c>
      <c r="B68" s="77">
        <v>24780</v>
      </c>
      <c r="C68" s="77">
        <v>0</v>
      </c>
      <c r="D68" s="77">
        <v>24780</v>
      </c>
    </row>
    <row r="69" spans="1:4" ht="12.75">
      <c r="A69" s="75" t="s">
        <v>255</v>
      </c>
      <c r="B69" s="77">
        <v>0</v>
      </c>
      <c r="C69" s="77">
        <v>0</v>
      </c>
      <c r="D69" s="77">
        <v>0</v>
      </c>
    </row>
    <row r="70" spans="1:4" ht="12.75">
      <c r="A70" s="74" t="s">
        <v>121</v>
      </c>
      <c r="B70" s="76">
        <v>104438</v>
      </c>
      <c r="C70" s="76">
        <v>0</v>
      </c>
      <c r="D70" s="76">
        <v>104438</v>
      </c>
    </row>
    <row r="71" spans="1:4" ht="12.75">
      <c r="A71" s="74" t="s">
        <v>122</v>
      </c>
      <c r="B71" s="76">
        <v>6248138.999999999</v>
      </c>
      <c r="C71" s="76">
        <v>170535.75772880536</v>
      </c>
      <c r="D71" s="76">
        <v>6418674.757728805</v>
      </c>
    </row>
    <row r="72" spans="1:4" ht="12.75">
      <c r="A72" s="75" t="s">
        <v>123</v>
      </c>
      <c r="B72" s="77">
        <v>2578313.1250000005</v>
      </c>
      <c r="C72" s="77">
        <v>0</v>
      </c>
      <c r="D72" s="77">
        <v>2578313.1250000005</v>
      </c>
    </row>
    <row r="73" spans="1:4" ht="12.75">
      <c r="A73" s="75" t="s">
        <v>124</v>
      </c>
      <c r="B73" s="77">
        <v>2274572.52156</v>
      </c>
      <c r="C73" s="77">
        <v>62081.83724359431</v>
      </c>
      <c r="D73" s="77">
        <v>2336654.358803594</v>
      </c>
    </row>
    <row r="74" spans="1:4" ht="12.75">
      <c r="A74" s="75" t="s">
        <v>125</v>
      </c>
      <c r="B74" s="76">
        <v>6996805.545791486</v>
      </c>
      <c r="C74" s="76">
        <v>245725.09885871448</v>
      </c>
      <c r="D74" s="76">
        <v>7242530.6446502</v>
      </c>
    </row>
    <row r="75" spans="1:4" ht="12.75">
      <c r="A75" s="74" t="s">
        <v>126</v>
      </c>
      <c r="B75" s="76">
        <v>20675</v>
      </c>
      <c r="C75" s="76">
        <v>0</v>
      </c>
      <c r="D75" s="76">
        <v>20675</v>
      </c>
    </row>
    <row r="76" spans="1:4" ht="12.75">
      <c r="A76" s="74" t="s">
        <v>127</v>
      </c>
      <c r="B76" s="76">
        <v>1814966</v>
      </c>
      <c r="C76" s="76">
        <v>62809.47053064125</v>
      </c>
      <c r="D76" s="76">
        <v>1877775.470530641</v>
      </c>
    </row>
    <row r="77" spans="1:4" ht="12.75">
      <c r="A77" s="75" t="s">
        <v>128</v>
      </c>
      <c r="B77" s="77">
        <v>510414.0625</v>
      </c>
      <c r="C77" s="77">
        <v>0</v>
      </c>
      <c r="D77" s="77">
        <v>510414.0625</v>
      </c>
    </row>
    <row r="78" spans="1:4" ht="12.75">
      <c r="A78" s="75" t="s">
        <v>129</v>
      </c>
      <c r="B78" s="77">
        <v>660720.2226399999</v>
      </c>
      <c r="C78" s="77">
        <v>22865.159651974645</v>
      </c>
      <c r="D78" s="77">
        <v>683585.3822919747</v>
      </c>
    </row>
    <row r="79" spans="1:4" ht="12.75">
      <c r="A79" s="74" t="s">
        <v>130</v>
      </c>
      <c r="B79" s="76">
        <v>71644</v>
      </c>
      <c r="C79" s="76">
        <v>0</v>
      </c>
      <c r="D79" s="76">
        <v>71644</v>
      </c>
    </row>
    <row r="80" spans="1:4" ht="12.75">
      <c r="A80" s="74" t="s">
        <v>131</v>
      </c>
      <c r="B80" s="76">
        <v>26285175.999999996</v>
      </c>
      <c r="C80" s="76">
        <v>-917430.5325245727</v>
      </c>
      <c r="D80" s="76">
        <v>25367745.467475425</v>
      </c>
    </row>
    <row r="81" spans="1:4" ht="12.75">
      <c r="A81" s="75" t="s">
        <v>132</v>
      </c>
      <c r="B81" s="77">
        <v>2424038.918</v>
      </c>
      <c r="C81" s="77">
        <v>0</v>
      </c>
      <c r="D81" s="77">
        <v>2424038.918</v>
      </c>
    </row>
    <row r="82" spans="1:4" ht="12.75">
      <c r="A82" s="75" t="s">
        <v>133</v>
      </c>
      <c r="B82" s="77">
        <v>7391128.63944</v>
      </c>
      <c r="C82" s="77">
        <v>-257972.29144058446</v>
      </c>
      <c r="D82" s="77">
        <v>7133156.347999414</v>
      </c>
    </row>
    <row r="83" spans="1:4" ht="12.75">
      <c r="A83" s="75" t="s">
        <v>134</v>
      </c>
      <c r="B83" s="76">
        <v>29272958.674072392</v>
      </c>
      <c r="C83" s="76">
        <v>-1105586.3294941375</v>
      </c>
      <c r="D83" s="76">
        <v>28167372.344578255</v>
      </c>
    </row>
    <row r="84" spans="1:4" ht="12.75">
      <c r="A84" s="74" t="s">
        <v>135</v>
      </c>
      <c r="B84" s="76">
        <v>74114</v>
      </c>
      <c r="C84" s="76">
        <v>0</v>
      </c>
      <c r="D84" s="76">
        <v>74114</v>
      </c>
    </row>
    <row r="85" spans="1:4" ht="12.75">
      <c r="A85" s="74" t="s">
        <v>136</v>
      </c>
      <c r="B85" s="76">
        <v>36491525.00000001</v>
      </c>
      <c r="C85" s="76">
        <v>-1553645.0511105985</v>
      </c>
      <c r="D85" s="76">
        <v>34937879.948889405</v>
      </c>
    </row>
    <row r="86" spans="1:4" ht="12.75">
      <c r="A86" s="75" t="s">
        <v>137</v>
      </c>
      <c r="B86" s="77">
        <v>2507610.1329999994</v>
      </c>
      <c r="C86" s="77">
        <v>0</v>
      </c>
      <c r="D86" s="77">
        <v>2507610.1329999994</v>
      </c>
    </row>
    <row r="87" spans="1:4" ht="12.75">
      <c r="A87" s="75" t="s">
        <v>138</v>
      </c>
      <c r="B87" s="77">
        <v>10261051.91475</v>
      </c>
      <c r="C87" s="77">
        <v>-436869.4519217891</v>
      </c>
      <c r="D87" s="77">
        <v>9824182.462828213</v>
      </c>
    </row>
    <row r="88" spans="1:4" ht="12.75">
      <c r="A88" s="74" t="s">
        <v>139</v>
      </c>
      <c r="B88" s="76">
        <v>14040</v>
      </c>
      <c r="C88" s="76">
        <v>0</v>
      </c>
      <c r="D88" s="76">
        <v>14040</v>
      </c>
    </row>
    <row r="89" spans="1:4" ht="12.75">
      <c r="A89" s="74" t="s">
        <v>140</v>
      </c>
      <c r="B89" s="76">
        <v>21983536.000000004</v>
      </c>
      <c r="C89" s="76">
        <v>257636.04072911304</v>
      </c>
      <c r="D89" s="76">
        <v>22241172.040729105</v>
      </c>
    </row>
    <row r="90" spans="1:4" ht="12.75">
      <c r="A90" s="75" t="s">
        <v>141</v>
      </c>
      <c r="B90" s="77">
        <v>681922.7999981177</v>
      </c>
      <c r="C90" s="77">
        <v>0</v>
      </c>
      <c r="D90" s="77">
        <v>681922.7999981177</v>
      </c>
    </row>
    <row r="91" spans="1:4" ht="12.75">
      <c r="A91" s="75" t="s">
        <v>142</v>
      </c>
      <c r="B91" s="77">
        <v>5371237.35088</v>
      </c>
      <c r="C91" s="77">
        <v>62948.213831344205</v>
      </c>
      <c r="D91" s="77">
        <v>5434185.564711345</v>
      </c>
    </row>
    <row r="92" spans="1:4" ht="12.75">
      <c r="A92" s="75" t="s">
        <v>143</v>
      </c>
      <c r="B92" s="76">
        <v>24533775.89004259</v>
      </c>
      <c r="C92" s="76">
        <v>405031.2683138087</v>
      </c>
      <c r="D92" s="76">
        <v>24938807.158356402</v>
      </c>
    </row>
    <row r="93" spans="1:4" ht="12.75">
      <c r="A93" s="74" t="s">
        <v>144</v>
      </c>
      <c r="B93" s="76">
        <v>55956</v>
      </c>
      <c r="C93" s="76">
        <v>0</v>
      </c>
      <c r="D93" s="76">
        <v>55956</v>
      </c>
    </row>
    <row r="94" spans="1:4" ht="12.75">
      <c r="A94" s="74" t="s">
        <v>145</v>
      </c>
      <c r="B94" s="76">
        <v>96031372</v>
      </c>
      <c r="C94" s="76">
        <v>1526342.8960270975</v>
      </c>
      <c r="D94" s="76">
        <v>97557714.8960271</v>
      </c>
    </row>
    <row r="95" spans="1:4" ht="12.75">
      <c r="A95" s="75" t="s">
        <v>146</v>
      </c>
      <c r="B95" s="77">
        <v>2717782.92</v>
      </c>
      <c r="C95" s="77">
        <v>0</v>
      </c>
      <c r="D95" s="77">
        <v>2717782.92</v>
      </c>
    </row>
    <row r="96" spans="1:4" ht="12.75">
      <c r="A96" s="75" t="s">
        <v>147</v>
      </c>
      <c r="B96" s="77">
        <v>23463345.12076</v>
      </c>
      <c r="C96" s="77">
        <v>372931.3597863008</v>
      </c>
      <c r="D96" s="77">
        <v>23836276.480546303</v>
      </c>
    </row>
    <row r="97" spans="1:4" ht="12.75">
      <c r="A97" s="74" t="s">
        <v>148</v>
      </c>
      <c r="B97" s="76">
        <v>1312.04</v>
      </c>
      <c r="C97" s="76">
        <v>0</v>
      </c>
      <c r="D97" s="76">
        <v>1312.04</v>
      </c>
    </row>
    <row r="98" spans="1:4" ht="12.75">
      <c r="A98" s="74" t="s">
        <v>149</v>
      </c>
      <c r="B98" s="76">
        <v>7469811.799490504</v>
      </c>
      <c r="C98" s="76">
        <v>-72367.0850164066</v>
      </c>
      <c r="D98" s="76">
        <v>7397444.714474097</v>
      </c>
    </row>
    <row r="99" spans="1:4" ht="12.75">
      <c r="A99" s="75" t="s">
        <v>71</v>
      </c>
      <c r="B99" s="77">
        <v>196806</v>
      </c>
      <c r="C99" s="77">
        <v>0</v>
      </c>
      <c r="D99" s="77">
        <v>196806</v>
      </c>
    </row>
    <row r="100" spans="1:4" ht="12.75">
      <c r="A100" s="75" t="s">
        <v>150</v>
      </c>
      <c r="B100" s="77">
        <v>1580388.082418206</v>
      </c>
      <c r="C100" s="77">
        <v>-15310.70417692115</v>
      </c>
      <c r="D100" s="77">
        <v>1565077.3782412852</v>
      </c>
    </row>
    <row r="101" spans="1:4" ht="12.75">
      <c r="A101" s="75" t="s">
        <v>151</v>
      </c>
      <c r="B101" s="76">
        <v>8305413.281960102</v>
      </c>
      <c r="C101" s="76">
        <v>-76021.74291310873</v>
      </c>
      <c r="D101" s="76">
        <v>8229391.539046996</v>
      </c>
    </row>
    <row r="102" spans="1:4" ht="12.75">
      <c r="A102" s="74" t="s">
        <v>152</v>
      </c>
      <c r="B102" s="76">
        <v>8390.616</v>
      </c>
      <c r="C102" s="76">
        <v>0</v>
      </c>
      <c r="D102" s="76">
        <v>8390.616</v>
      </c>
    </row>
    <row r="103" spans="1:4" ht="12.75">
      <c r="A103" s="74" t="s">
        <v>153</v>
      </c>
      <c r="B103" s="76">
        <v>66046280.82630727</v>
      </c>
      <c r="C103" s="76">
        <v>-332387.76000952814</v>
      </c>
      <c r="D103" s="76">
        <v>65713893.06629774</v>
      </c>
    </row>
    <row r="104" spans="1:4" ht="12.75">
      <c r="A104" s="75" t="s">
        <v>224</v>
      </c>
      <c r="B104" s="77">
        <v>1258592.4</v>
      </c>
      <c r="C104" s="77">
        <v>0</v>
      </c>
      <c r="D104" s="77">
        <v>1258592.4</v>
      </c>
    </row>
    <row r="105" spans="1:4" ht="12.75">
      <c r="A105" s="75" t="s">
        <v>154</v>
      </c>
      <c r="B105" s="77">
        <v>13973411.634421825</v>
      </c>
      <c r="C105" s="77">
        <v>-70323.27838521588</v>
      </c>
      <c r="D105" s="77">
        <v>13903088.356036613</v>
      </c>
    </row>
    <row r="106" spans="1:4" ht="12.75">
      <c r="A106" s="74" t="s">
        <v>155</v>
      </c>
      <c r="B106" s="76">
        <v>60</v>
      </c>
      <c r="C106" s="76">
        <v>0</v>
      </c>
      <c r="D106" s="76">
        <v>60</v>
      </c>
    </row>
    <row r="107" spans="1:4" ht="12.75">
      <c r="A107" s="74" t="s">
        <v>156</v>
      </c>
      <c r="B107" s="76">
        <v>1611736.4</v>
      </c>
      <c r="C107" s="76">
        <v>0</v>
      </c>
      <c r="D107" s="76">
        <v>1611736.4</v>
      </c>
    </row>
    <row r="108" spans="1:4" ht="12.75">
      <c r="A108" s="75" t="s">
        <v>157</v>
      </c>
      <c r="B108" s="77">
        <v>15000</v>
      </c>
      <c r="C108" s="77">
        <v>0</v>
      </c>
      <c r="D108" s="77">
        <v>15000</v>
      </c>
    </row>
    <row r="109" spans="1:4" ht="12.75">
      <c r="A109" s="75" t="s">
        <v>158</v>
      </c>
      <c r="B109" s="77">
        <v>247788.35413600004</v>
      </c>
      <c r="C109" s="77">
        <v>0</v>
      </c>
      <c r="D109" s="77">
        <v>247788.35413600004</v>
      </c>
    </row>
    <row r="110" spans="1:4" ht="12.75">
      <c r="A110" s="75" t="s">
        <v>159</v>
      </c>
      <c r="B110" s="76">
        <v>1781480.5932540651</v>
      </c>
      <c r="C110" s="76">
        <v>0</v>
      </c>
      <c r="D110" s="76">
        <v>1781480.5932540651</v>
      </c>
    </row>
    <row r="111" spans="1:4" ht="12.75">
      <c r="A111" s="74" t="s">
        <v>160</v>
      </c>
      <c r="B111" s="76">
        <v>1416</v>
      </c>
      <c r="C111" s="76">
        <v>0</v>
      </c>
      <c r="D111" s="76">
        <v>1416</v>
      </c>
    </row>
    <row r="112" spans="1:4" ht="12.75">
      <c r="A112" s="74" t="s">
        <v>161</v>
      </c>
      <c r="B112" s="76">
        <v>41657898.99999999</v>
      </c>
      <c r="C112" s="76">
        <v>0</v>
      </c>
      <c r="D112" s="76">
        <v>41657898.99999999</v>
      </c>
    </row>
    <row r="113" spans="1:4" ht="12.75">
      <c r="A113" s="75" t="s">
        <v>162</v>
      </c>
      <c r="B113" s="77">
        <v>354000</v>
      </c>
      <c r="C113" s="77">
        <v>0</v>
      </c>
      <c r="D113" s="77">
        <v>354000</v>
      </c>
    </row>
    <row r="114" spans="1:4" ht="12.75">
      <c r="A114" s="75" t="s">
        <v>163</v>
      </c>
      <c r="B114" s="77">
        <v>6404485.39226</v>
      </c>
      <c r="C114" s="77">
        <v>0</v>
      </c>
      <c r="D114" s="77">
        <v>6404485.39226</v>
      </c>
    </row>
    <row r="115" spans="1:4" ht="12.75">
      <c r="A115" s="74" t="s">
        <v>164</v>
      </c>
      <c r="B115" s="76">
        <v>114</v>
      </c>
      <c r="C115" s="76">
        <v>0</v>
      </c>
      <c r="D115" s="76">
        <v>114</v>
      </c>
    </row>
    <row r="116" spans="1:4" ht="12.75">
      <c r="A116" s="74" t="s">
        <v>165</v>
      </c>
      <c r="B116" s="76">
        <v>2292275.3</v>
      </c>
      <c r="C116" s="76">
        <v>0</v>
      </c>
      <c r="D116" s="76">
        <v>2292275.3</v>
      </c>
    </row>
    <row r="117" spans="1:4" ht="12.75">
      <c r="A117" s="75" t="s">
        <v>166</v>
      </c>
      <c r="B117" s="77">
        <v>34200</v>
      </c>
      <c r="C117" s="77">
        <v>0</v>
      </c>
      <c r="D117" s="77">
        <v>34200</v>
      </c>
    </row>
    <row r="118" spans="1:4" ht="12.75">
      <c r="A118" s="75" t="s">
        <v>167</v>
      </c>
      <c r="B118" s="77">
        <v>263153.20444</v>
      </c>
      <c r="C118" s="77">
        <v>0</v>
      </c>
      <c r="D118" s="77">
        <v>263153.20444</v>
      </c>
    </row>
    <row r="119" spans="1:4" ht="12.75">
      <c r="A119" s="75" t="s">
        <v>168</v>
      </c>
      <c r="B119" s="76">
        <v>2533100.0063183373</v>
      </c>
      <c r="C119" s="76">
        <v>0</v>
      </c>
      <c r="D119" s="76">
        <v>2533100.0063183373</v>
      </c>
    </row>
    <row r="120" spans="1:4" ht="12.75">
      <c r="A120" s="74" t="s">
        <v>169</v>
      </c>
      <c r="B120" s="76">
        <v>1140</v>
      </c>
      <c r="C120" s="76">
        <v>0</v>
      </c>
      <c r="D120" s="76">
        <v>1140</v>
      </c>
    </row>
    <row r="121" spans="1:4" ht="12.75">
      <c r="A121" s="74" t="s">
        <v>170</v>
      </c>
      <c r="B121" s="76">
        <v>63265639.99999999</v>
      </c>
      <c r="C121" s="76">
        <v>0</v>
      </c>
      <c r="D121" s="76">
        <v>63265639.99999999</v>
      </c>
    </row>
    <row r="122" spans="1:4" ht="12.75">
      <c r="A122" s="75" t="s">
        <v>171</v>
      </c>
      <c r="B122" s="77">
        <v>342000</v>
      </c>
      <c r="C122" s="77">
        <v>0</v>
      </c>
      <c r="D122" s="77">
        <v>342000</v>
      </c>
    </row>
    <row r="123" spans="1:4" ht="12.75">
      <c r="A123" s="75" t="s">
        <v>172</v>
      </c>
      <c r="B123" s="77">
        <v>7262895.471999999</v>
      </c>
      <c r="C123" s="77">
        <v>0</v>
      </c>
      <c r="D123" s="77">
        <v>7262895.471999999</v>
      </c>
    </row>
    <row r="124" spans="1:4" ht="12.75">
      <c r="A124" s="74" t="s">
        <v>55</v>
      </c>
      <c r="B124" s="76">
        <v>372</v>
      </c>
      <c r="C124" s="76">
        <v>0</v>
      </c>
      <c r="D124" s="76">
        <v>372</v>
      </c>
    </row>
    <row r="125" spans="1:4" ht="12.75">
      <c r="A125" s="74" t="s">
        <v>56</v>
      </c>
      <c r="B125" s="76">
        <v>146323.33532876484</v>
      </c>
      <c r="C125" s="76">
        <v>1060.3428252404792</v>
      </c>
      <c r="D125" s="76">
        <v>147383.67815400532</v>
      </c>
    </row>
    <row r="126" spans="1:4" ht="12.75">
      <c r="A126" s="75" t="s">
        <v>57</v>
      </c>
      <c r="B126" s="77">
        <v>0</v>
      </c>
      <c r="C126" s="77">
        <v>0</v>
      </c>
      <c r="D126" s="77">
        <v>0</v>
      </c>
    </row>
    <row r="127" spans="1:4" ht="12.75">
      <c r="A127" s="75" t="s">
        <v>58</v>
      </c>
      <c r="B127" s="77">
        <v>28925.196927790235</v>
      </c>
      <c r="C127" s="77">
        <v>209.60856969353796</v>
      </c>
      <c r="D127" s="77">
        <v>29134.80549748378</v>
      </c>
    </row>
    <row r="128" spans="1:4" ht="12.75">
      <c r="A128" s="75" t="s">
        <v>72</v>
      </c>
      <c r="B128" s="76">
        <v>161717.62712423186</v>
      </c>
      <c r="C128" s="76">
        <v>965.9433585276188</v>
      </c>
      <c r="D128" s="76">
        <v>162683.57048275947</v>
      </c>
    </row>
    <row r="129" spans="1:4" ht="12.75">
      <c r="A129" s="74" t="s">
        <v>173</v>
      </c>
      <c r="B129" s="76">
        <v>384</v>
      </c>
      <c r="C129" s="76">
        <v>0</v>
      </c>
      <c r="D129" s="76">
        <v>384</v>
      </c>
    </row>
    <row r="130" spans="1:4" ht="12.75">
      <c r="A130" s="74" t="s">
        <v>174</v>
      </c>
      <c r="B130" s="76">
        <v>753527.8756417715</v>
      </c>
      <c r="C130" s="76">
        <v>639.9990266273126</v>
      </c>
      <c r="D130" s="76">
        <v>754167.8746683988</v>
      </c>
    </row>
    <row r="131" spans="1:4" ht="12.75">
      <c r="A131" s="75" t="s">
        <v>175</v>
      </c>
      <c r="B131" s="77">
        <v>0</v>
      </c>
      <c r="C131" s="77">
        <v>0</v>
      </c>
      <c r="D131" s="77">
        <v>0</v>
      </c>
    </row>
    <row r="132" spans="1:4" ht="12.75">
      <c r="A132" s="75" t="s">
        <v>176</v>
      </c>
      <c r="B132" s="77">
        <v>148957.3904568654</v>
      </c>
      <c r="C132" s="77">
        <v>126.51500758368718</v>
      </c>
      <c r="D132" s="77">
        <v>149083.90546444908</v>
      </c>
    </row>
    <row r="133" spans="1:4" ht="12.75">
      <c r="A133" s="74" t="s">
        <v>59</v>
      </c>
      <c r="B133" s="76">
        <v>48</v>
      </c>
      <c r="C133" s="76">
        <v>0</v>
      </c>
      <c r="D133" s="76">
        <v>48</v>
      </c>
    </row>
    <row r="134" spans="1:4" ht="12.75">
      <c r="A134" s="74" t="s">
        <v>60</v>
      </c>
      <c r="B134" s="76">
        <v>45336.4</v>
      </c>
      <c r="C134" s="76">
        <v>-100.01857878152532</v>
      </c>
      <c r="D134" s="76">
        <v>45236.38142121847</v>
      </c>
    </row>
    <row r="135" spans="1:4" ht="12.75">
      <c r="A135" s="75" t="s">
        <v>61</v>
      </c>
      <c r="B135" s="77">
        <v>2160</v>
      </c>
      <c r="C135" s="77">
        <v>0</v>
      </c>
      <c r="D135" s="77">
        <v>2160</v>
      </c>
    </row>
    <row r="136" spans="1:4" ht="12.75">
      <c r="A136" s="75" t="s">
        <v>62</v>
      </c>
      <c r="B136" s="77">
        <v>8550.44504</v>
      </c>
      <c r="C136" s="77">
        <v>-18.863503958195693</v>
      </c>
      <c r="D136" s="77">
        <v>8531.581536041806</v>
      </c>
    </row>
    <row r="137" spans="1:4" ht="12.75">
      <c r="A137" s="75" t="s">
        <v>73</v>
      </c>
      <c r="B137" s="76">
        <v>49822.020429597025</v>
      </c>
      <c r="C137" s="76">
        <v>-166.4798921634529</v>
      </c>
      <c r="D137" s="76">
        <v>49655.540537433575</v>
      </c>
    </row>
    <row r="138" spans="1:4" ht="12.75">
      <c r="A138" s="74" t="s">
        <v>177</v>
      </c>
      <c r="B138" s="76">
        <v>132</v>
      </c>
      <c r="C138" s="76">
        <v>0</v>
      </c>
      <c r="D138" s="76">
        <v>132</v>
      </c>
    </row>
    <row r="139" spans="1:4" ht="12.75">
      <c r="A139" s="74" t="s">
        <v>178</v>
      </c>
      <c r="B139" s="76">
        <v>385544.1444444444</v>
      </c>
      <c r="C139" s="76">
        <v>-2112.1833333333325</v>
      </c>
      <c r="D139" s="76">
        <v>383431.9611111111</v>
      </c>
    </row>
    <row r="140" spans="1:4" ht="12.75">
      <c r="A140" s="75" t="s">
        <v>179</v>
      </c>
      <c r="B140" s="77">
        <v>5940</v>
      </c>
      <c r="C140" s="77">
        <v>0</v>
      </c>
      <c r="D140" s="77">
        <v>5940</v>
      </c>
    </row>
    <row r="141" spans="1:4" ht="12.75">
      <c r="A141" s="75" t="s">
        <v>180</v>
      </c>
      <c r="B141" s="77">
        <v>72713.62564222224</v>
      </c>
      <c r="C141" s="77">
        <v>-398.3577766666665</v>
      </c>
      <c r="D141" s="77">
        <v>72315.26786555556</v>
      </c>
    </row>
    <row r="142" spans="1:4" ht="12.75">
      <c r="A142" s="74" t="s">
        <v>63</v>
      </c>
      <c r="B142" s="76">
        <v>108</v>
      </c>
      <c r="C142" s="76">
        <v>0</v>
      </c>
      <c r="D142" s="76">
        <v>108</v>
      </c>
    </row>
    <row r="143" spans="1:4" ht="12.75">
      <c r="A143" s="74" t="s">
        <v>64</v>
      </c>
      <c r="B143" s="76">
        <v>440200.3833333335</v>
      </c>
      <c r="C143" s="76">
        <v>0</v>
      </c>
      <c r="D143" s="76">
        <v>440200.3833333335</v>
      </c>
    </row>
    <row r="144" spans="1:4" ht="12.75">
      <c r="A144" s="75" t="s">
        <v>65</v>
      </c>
      <c r="B144" s="77">
        <v>16200</v>
      </c>
      <c r="C144" s="77">
        <v>0</v>
      </c>
      <c r="D144" s="77">
        <v>16200</v>
      </c>
    </row>
    <row r="145" spans="1:4" ht="12.75">
      <c r="A145" s="75" t="s">
        <v>66</v>
      </c>
      <c r="B145" s="77">
        <v>68741.69186133335</v>
      </c>
      <c r="C145" s="77">
        <v>0</v>
      </c>
      <c r="D145" s="77">
        <v>68741.69186133335</v>
      </c>
    </row>
    <row r="146" spans="1:4" ht="12.75">
      <c r="A146" s="75" t="s">
        <v>74</v>
      </c>
      <c r="B146" s="76">
        <v>477985.38628333353</v>
      </c>
      <c r="C146" s="76">
        <v>0</v>
      </c>
      <c r="D146" s="76">
        <v>477985.38628333353</v>
      </c>
    </row>
    <row r="147" spans="1:4" ht="12.75">
      <c r="A147" s="74" t="s">
        <v>181</v>
      </c>
      <c r="B147" s="76">
        <v>24</v>
      </c>
      <c r="C147" s="76">
        <v>0</v>
      </c>
      <c r="D147" s="76">
        <v>24</v>
      </c>
    </row>
    <row r="148" spans="1:4" ht="12.75">
      <c r="A148" s="74" t="s">
        <v>182</v>
      </c>
      <c r="B148" s="76">
        <v>1142229.6</v>
      </c>
      <c r="C148" s="76">
        <v>0</v>
      </c>
      <c r="D148" s="76">
        <v>1142229.6</v>
      </c>
    </row>
    <row r="149" spans="1:4" ht="12.75">
      <c r="A149" s="75" t="s">
        <v>183</v>
      </c>
      <c r="B149" s="77">
        <v>3600</v>
      </c>
      <c r="C149" s="77">
        <v>0</v>
      </c>
      <c r="D149" s="77">
        <v>3600</v>
      </c>
    </row>
    <row r="150" spans="1:4" ht="12.75">
      <c r="A150" s="75" t="s">
        <v>184</v>
      </c>
      <c r="B150" s="77">
        <v>178370.57433600002</v>
      </c>
      <c r="C150" s="77">
        <v>0</v>
      </c>
      <c r="D150" s="77">
        <v>178370.57433600002</v>
      </c>
    </row>
    <row r="151" spans="1:4" ht="12.75">
      <c r="A151" s="74" t="s">
        <v>185</v>
      </c>
      <c r="B151" s="76">
        <v>312</v>
      </c>
      <c r="C151" s="76">
        <v>0</v>
      </c>
      <c r="D151" s="76">
        <v>312</v>
      </c>
    </row>
    <row r="152" spans="1:4" ht="12.75">
      <c r="A152" s="74" t="s">
        <v>186</v>
      </c>
      <c r="B152" s="76">
        <v>48728719</v>
      </c>
      <c r="C152" s="76">
        <v>0</v>
      </c>
      <c r="D152" s="76">
        <v>48728719</v>
      </c>
    </row>
    <row r="153" spans="1:4" ht="12.75">
      <c r="A153" s="75" t="s">
        <v>187</v>
      </c>
      <c r="B153" s="77">
        <v>93600</v>
      </c>
      <c r="C153" s="77">
        <v>0</v>
      </c>
      <c r="D153" s="77">
        <v>93600</v>
      </c>
    </row>
    <row r="154" spans="1:4" ht="12.75">
      <c r="A154" s="75" t="s">
        <v>188</v>
      </c>
      <c r="B154" s="77">
        <v>3519675.3733699997</v>
      </c>
      <c r="C154" s="77">
        <v>0</v>
      </c>
      <c r="D154" s="77">
        <v>3519675.3733699997</v>
      </c>
    </row>
    <row r="155" spans="1:4" ht="12.75">
      <c r="A155" s="74" t="s">
        <v>189</v>
      </c>
      <c r="B155" s="76">
        <v>168</v>
      </c>
      <c r="C155" s="76">
        <v>0</v>
      </c>
      <c r="D155" s="76">
        <v>168</v>
      </c>
    </row>
    <row r="156" spans="1:4" ht="12.75">
      <c r="A156" s="74" t="s">
        <v>190</v>
      </c>
      <c r="B156" s="76">
        <v>134464513</v>
      </c>
      <c r="C156" s="76">
        <v>0</v>
      </c>
      <c r="D156" s="76">
        <v>134464513</v>
      </c>
    </row>
    <row r="157" spans="1:4" ht="12.75">
      <c r="A157" s="75" t="s">
        <v>191</v>
      </c>
      <c r="B157" s="77">
        <v>79800</v>
      </c>
      <c r="C157" s="77">
        <v>0</v>
      </c>
      <c r="D157" s="77">
        <v>79800</v>
      </c>
    </row>
    <row r="158" spans="1:6" ht="12.75">
      <c r="A158" s="75" t="s">
        <v>192</v>
      </c>
      <c r="B158" s="77">
        <v>4522041.572190001</v>
      </c>
      <c r="C158" s="77">
        <v>0</v>
      </c>
      <c r="D158" s="77">
        <v>4522041.572190001</v>
      </c>
      <c r="F158" t="s">
        <v>452</v>
      </c>
    </row>
    <row r="159" spans="1:6" ht="12.75">
      <c r="A159" s="74" t="s">
        <v>193</v>
      </c>
      <c r="B159" s="76">
        <v>36</v>
      </c>
      <c r="C159" s="76">
        <v>0</v>
      </c>
      <c r="D159" s="76">
        <v>36</v>
      </c>
      <c r="F159" t="s">
        <v>451</v>
      </c>
    </row>
    <row r="160" spans="1:7" ht="12.75">
      <c r="A160" s="74" t="s">
        <v>194</v>
      </c>
      <c r="B160" s="76">
        <v>152002324.00399998</v>
      </c>
      <c r="C160" s="76">
        <v>0</v>
      </c>
      <c r="D160" s="76">
        <v>152002324.00399998</v>
      </c>
      <c r="F160" s="76">
        <f>'SCHE-1'!V140</f>
        <v>4065536.656</v>
      </c>
      <c r="G160" s="76">
        <f>D172-F160</f>
        <v>0.948863800149411</v>
      </c>
    </row>
    <row r="161" spans="1:7" ht="12.75">
      <c r="A161" s="75" t="s">
        <v>195</v>
      </c>
      <c r="B161" s="77">
        <v>17100</v>
      </c>
      <c r="C161" s="77">
        <v>0</v>
      </c>
      <c r="D161" s="77">
        <v>17100</v>
      </c>
      <c r="F161" s="76">
        <f>'SCHE-1'!V142</f>
        <v>1291229663.7475867</v>
      </c>
      <c r="G161" s="76">
        <f>D173-F161</f>
        <v>0</v>
      </c>
    </row>
    <row r="162" spans="1:7" ht="12.75">
      <c r="A162" s="75" t="s">
        <v>196</v>
      </c>
      <c r="B162" s="77">
        <v>1288979.7075539203</v>
      </c>
      <c r="C162" s="77">
        <v>0</v>
      </c>
      <c r="D162" s="77">
        <v>1288979.7075539203</v>
      </c>
      <c r="F162" s="76">
        <f>'SCHE-1'!V144</f>
        <v>70181822.7965</v>
      </c>
      <c r="G162" s="76">
        <f>D174-F162</f>
        <v>2886467.9999981225</v>
      </c>
    </row>
    <row r="163" spans="1:7" ht="12.75">
      <c r="A163" s="74" t="s">
        <v>387</v>
      </c>
      <c r="B163" s="76">
        <v>84</v>
      </c>
      <c r="C163" s="76">
        <v>0</v>
      </c>
      <c r="D163" s="76">
        <v>84</v>
      </c>
      <c r="F163" s="76">
        <f>'SCHE-1'!V146</f>
        <v>118465689.4804202</v>
      </c>
      <c r="G163" s="76">
        <f>D175-F163</f>
        <v>-2885536.5178478807</v>
      </c>
    </row>
    <row r="164" spans="1:6" ht="12.75">
      <c r="A164" s="74" t="s">
        <v>388</v>
      </c>
      <c r="B164" s="76">
        <v>299401991.9996</v>
      </c>
      <c r="C164" s="76">
        <v>0</v>
      </c>
      <c r="D164" s="76">
        <v>299401991.9996</v>
      </c>
      <c r="F164" s="76"/>
    </row>
    <row r="165" spans="1:4" ht="12.75">
      <c r="A165" s="75" t="s">
        <v>389</v>
      </c>
      <c r="B165" s="77">
        <v>2882868</v>
      </c>
      <c r="C165" s="77">
        <v>0</v>
      </c>
      <c r="D165" s="77">
        <v>2882868</v>
      </c>
    </row>
    <row r="166" spans="1:4" ht="12.75">
      <c r="A166" s="75" t="s">
        <v>390</v>
      </c>
      <c r="B166" s="77">
        <v>3521154.9210156975</v>
      </c>
      <c r="C166" s="77">
        <v>0</v>
      </c>
      <c r="D166" s="77">
        <v>3521154.9210156975</v>
      </c>
    </row>
    <row r="167" spans="1:4" ht="12.75">
      <c r="A167" s="74" t="s">
        <v>197</v>
      </c>
      <c r="B167" s="76">
        <v>0.9488638002273387</v>
      </c>
      <c r="C167" s="76">
        <v>0</v>
      </c>
      <c r="D167" s="76">
        <v>0.9488638002273387</v>
      </c>
    </row>
    <row r="168" spans="1:4" ht="12.75">
      <c r="A168" s="74" t="s">
        <v>198</v>
      </c>
      <c r="B168" s="76">
        <v>0</v>
      </c>
      <c r="C168" s="76">
        <v>210000000</v>
      </c>
      <c r="D168" s="76">
        <v>210000000</v>
      </c>
    </row>
    <row r="169" spans="1:4" ht="12.75">
      <c r="A169" s="75" t="s">
        <v>199</v>
      </c>
      <c r="B169" s="77">
        <v>0</v>
      </c>
      <c r="C169" s="77">
        <v>0</v>
      </c>
      <c r="D169" s="77">
        <v>0</v>
      </c>
    </row>
    <row r="170" spans="1:4" ht="12.75">
      <c r="A170" s="75" t="s">
        <v>200</v>
      </c>
      <c r="B170" s="77">
        <v>0</v>
      </c>
      <c r="C170" s="77">
        <v>500000</v>
      </c>
      <c r="D170" s="77">
        <v>500000</v>
      </c>
    </row>
    <row r="171" spans="1:4" ht="12.75">
      <c r="A171" s="75" t="s">
        <v>201</v>
      </c>
      <c r="B171" s="76">
        <v>0</v>
      </c>
      <c r="C171" s="76">
        <v>195300000</v>
      </c>
      <c r="D171" s="76">
        <v>195300000</v>
      </c>
    </row>
    <row r="172" spans="1:4" ht="12.75">
      <c r="A172" s="75" t="s">
        <v>67</v>
      </c>
      <c r="B172" s="76">
        <v>4065537.6048638</v>
      </c>
      <c r="C172" s="76">
        <v>0</v>
      </c>
      <c r="D172" s="76">
        <v>4065537.6048638</v>
      </c>
    </row>
    <row r="173" spans="1:4" ht="12.75">
      <c r="A173" s="75" t="s">
        <v>68</v>
      </c>
      <c r="B173" s="76">
        <v>1081915241.0681462</v>
      </c>
      <c r="C173" s="76">
        <v>209314422.67944086</v>
      </c>
      <c r="D173" s="76">
        <v>1291229663.747587</v>
      </c>
    </row>
    <row r="174" spans="1:4" ht="12.75">
      <c r="A174" s="75" t="s">
        <v>69</v>
      </c>
      <c r="B174" s="77">
        <v>73068290.79649812</v>
      </c>
      <c r="C174" s="77">
        <v>0</v>
      </c>
      <c r="D174" s="77">
        <v>73068290.79649812</v>
      </c>
    </row>
    <row r="175" spans="1:4" ht="12.75">
      <c r="A175" s="75" t="s">
        <v>70</v>
      </c>
      <c r="B175" s="77">
        <v>115322468.67573865</v>
      </c>
      <c r="C175" s="77">
        <v>257684.28683365905</v>
      </c>
      <c r="D175" s="77">
        <v>115580152.96257232</v>
      </c>
    </row>
    <row r="176" spans="1:4" ht="12.75">
      <c r="A176" s="75" t="s">
        <v>75</v>
      </c>
      <c r="B176" s="76">
        <v>156168544.92196932</v>
      </c>
      <c r="C176" s="76">
        <v>195503004.69241628</v>
      </c>
      <c r="D176" s="76">
        <v>351671549.61438566</v>
      </c>
    </row>
    <row r="177" spans="1:4" ht="12.75">
      <c r="A177" s="74" t="s">
        <v>46</v>
      </c>
      <c r="B177" s="76">
        <v>862216.8</v>
      </c>
      <c r="C177" s="76">
        <v>0</v>
      </c>
      <c r="D177" s="76">
        <v>862216.8</v>
      </c>
    </row>
    <row r="178" spans="1:4" ht="12.75">
      <c r="A178" s="74" t="s">
        <v>202</v>
      </c>
      <c r="B178" s="76">
        <v>1835430</v>
      </c>
      <c r="C178" s="76">
        <v>0</v>
      </c>
      <c r="D178" s="76">
        <v>1835430</v>
      </c>
    </row>
    <row r="179" spans="1:4" ht="12.75">
      <c r="A179" s="74" t="s">
        <v>203</v>
      </c>
      <c r="B179" s="76">
        <v>158501</v>
      </c>
      <c r="C179" s="76">
        <v>0</v>
      </c>
      <c r="D179" s="76">
        <v>158501</v>
      </c>
    </row>
    <row r="180" spans="1:4" ht="12.75">
      <c r="A180" s="74" t="s">
        <v>204</v>
      </c>
      <c r="B180" s="76">
        <v>611033</v>
      </c>
      <c r="C180" s="76">
        <v>0</v>
      </c>
      <c r="D180" s="76">
        <v>611033</v>
      </c>
    </row>
    <row r="181" spans="1:4" ht="12.75">
      <c r="A181" s="74" t="s">
        <v>205</v>
      </c>
      <c r="B181" s="76">
        <v>2711439</v>
      </c>
      <c r="C181" s="76">
        <v>0</v>
      </c>
      <c r="D181" s="76">
        <v>2711439</v>
      </c>
    </row>
    <row r="182" spans="1:4" ht="12.75">
      <c r="A182" s="74" t="s">
        <v>47</v>
      </c>
      <c r="B182" s="76">
        <v>91903.39999999982</v>
      </c>
      <c r="C182" s="76">
        <v>0</v>
      </c>
      <c r="D182" s="76">
        <v>91903.39999999982</v>
      </c>
    </row>
    <row r="183" spans="1:4" ht="12.75">
      <c r="A183" s="74" t="s">
        <v>206</v>
      </c>
      <c r="B183" s="76">
        <v>123380</v>
      </c>
      <c r="C183" s="76">
        <v>0</v>
      </c>
      <c r="D183" s="76">
        <v>123380</v>
      </c>
    </row>
    <row r="184" spans="1:4" ht="12.75">
      <c r="A184" s="74" t="s">
        <v>207</v>
      </c>
      <c r="B184" s="76">
        <v>52604</v>
      </c>
      <c r="C184" s="76">
        <v>0</v>
      </c>
      <c r="D184" s="76">
        <v>52604</v>
      </c>
    </row>
    <row r="185" spans="1:4" ht="12.75">
      <c r="A185" s="74" t="s">
        <v>208</v>
      </c>
      <c r="B185" s="76">
        <v>0</v>
      </c>
      <c r="C185" s="76">
        <v>0</v>
      </c>
      <c r="D185" s="76">
        <v>0</v>
      </c>
    </row>
    <row r="186" spans="1:4" ht="12.75">
      <c r="A186" s="74" t="s">
        <v>209</v>
      </c>
      <c r="B186" s="76">
        <v>0</v>
      </c>
      <c r="C186" s="76">
        <v>0</v>
      </c>
      <c r="D186" s="76">
        <v>0</v>
      </c>
    </row>
    <row r="187" spans="1:4" ht="12.75">
      <c r="A187" s="74" t="s">
        <v>210</v>
      </c>
      <c r="B187" s="76">
        <v>507999.9999999981</v>
      </c>
      <c r="C187" s="76">
        <v>0</v>
      </c>
      <c r="D187" s="76">
        <v>507999.9999999981</v>
      </c>
    </row>
    <row r="188" spans="1:4" ht="12.75">
      <c r="A188" s="74" t="s">
        <v>393</v>
      </c>
      <c r="B188" s="76">
        <v>0</v>
      </c>
      <c r="C188" s="76">
        <v>0</v>
      </c>
      <c r="D188" s="76">
        <v>0</v>
      </c>
    </row>
    <row r="189" spans="1:4" ht="12.75">
      <c r="A189" s="74" t="s">
        <v>234</v>
      </c>
      <c r="B189" s="76">
        <v>250000</v>
      </c>
      <c r="C189" s="76">
        <v>0</v>
      </c>
      <c r="D189" s="76">
        <v>250000</v>
      </c>
    </row>
    <row r="190" spans="1:4" ht="12.75">
      <c r="A190" s="74" t="s">
        <v>211</v>
      </c>
      <c r="B190" s="76">
        <v>0</v>
      </c>
      <c r="C190" s="76">
        <v>174093.99999999924</v>
      </c>
      <c r="D190" s="76">
        <v>174093.99999999924</v>
      </c>
    </row>
    <row r="191" spans="1:4" ht="12.75">
      <c r="A191" s="74" t="s">
        <v>394</v>
      </c>
      <c r="B191" s="76">
        <v>249318.12</v>
      </c>
      <c r="C191" s="76">
        <v>118296</v>
      </c>
      <c r="D191" s="76">
        <v>367614.12</v>
      </c>
    </row>
    <row r="193" ht="12.75">
      <c r="D193" s="24">
        <f>SUM(D177:D191)</f>
        <v>7746215.319999997</v>
      </c>
    </row>
    <row r="194" ht="12.75">
      <c r="D194" s="24">
        <f>+D193+D175+D174</f>
        <v>196394659.07907045</v>
      </c>
    </row>
    <row r="195" ht="12.75">
      <c r="D195" s="24">
        <f>+D194+D176</f>
        <v>548066208.6934562</v>
      </c>
    </row>
    <row r="196" ht="10.5">
      <c r="D196" s="24">
        <f>+D195-'SCHE-1'!V152</f>
        <v>926.4292619228363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32.50390625" style="0" bestFit="1" customWidth="1"/>
    <col min="2" max="4" width="11.875" style="0" bestFit="1" customWidth="1"/>
  </cols>
  <sheetData>
    <row r="1" ht="12.75">
      <c r="A1" s="73" t="s">
        <v>400</v>
      </c>
    </row>
    <row r="2" spans="1:7" ht="12" customHeight="1">
      <c r="A2" s="80" t="s">
        <v>401</v>
      </c>
      <c r="B2" s="81" t="s">
        <v>41</v>
      </c>
      <c r="C2" s="81" t="s">
        <v>41</v>
      </c>
      <c r="D2" s="81" t="s">
        <v>41</v>
      </c>
      <c r="G2" s="20" t="s">
        <v>34</v>
      </c>
    </row>
    <row r="3" ht="12.75">
      <c r="G3" s="20" t="s">
        <v>35</v>
      </c>
    </row>
    <row r="4" spans="2:7" ht="12.75">
      <c r="B4" s="112" t="s">
        <v>409</v>
      </c>
      <c r="C4" s="112" t="s">
        <v>410</v>
      </c>
      <c r="D4" t="s">
        <v>423</v>
      </c>
      <c r="G4" s="20" t="s">
        <v>36</v>
      </c>
    </row>
    <row r="5" spans="1:7" ht="12.75">
      <c r="A5" s="74" t="s">
        <v>417</v>
      </c>
      <c r="B5" s="76">
        <v>18513</v>
      </c>
      <c r="C5" s="76">
        <v>7261</v>
      </c>
      <c r="D5" s="24">
        <f>+C5/4*12</f>
        <v>21783</v>
      </c>
      <c r="G5" s="20" t="s">
        <v>37</v>
      </c>
    </row>
    <row r="6" spans="1:7" ht="12.75">
      <c r="A6" s="74" t="s">
        <v>402</v>
      </c>
      <c r="B6" s="76">
        <v>299</v>
      </c>
      <c r="C6" s="76">
        <v>38</v>
      </c>
      <c r="D6" s="24">
        <f aca="true" t="shared" si="0" ref="D6:D23">+C6/4*12</f>
        <v>114</v>
      </c>
      <c r="G6" s="21" t="s">
        <v>38</v>
      </c>
    </row>
    <row r="7" spans="1:7" ht="12.75">
      <c r="A7" s="74" t="s">
        <v>418</v>
      </c>
      <c r="B7" s="76">
        <v>1431</v>
      </c>
      <c r="C7" s="76">
        <v>306</v>
      </c>
      <c r="D7" s="24">
        <f t="shared" si="0"/>
        <v>918</v>
      </c>
      <c r="G7" s="21" t="s">
        <v>32</v>
      </c>
    </row>
    <row r="8" spans="1:7" ht="12.75">
      <c r="A8" s="74" t="s">
        <v>419</v>
      </c>
      <c r="B8" s="76">
        <v>70039</v>
      </c>
      <c r="C8" s="76">
        <v>24723</v>
      </c>
      <c r="D8" s="24">
        <f t="shared" si="0"/>
        <v>74169</v>
      </c>
      <c r="G8" s="21" t="s">
        <v>39</v>
      </c>
    </row>
    <row r="9" spans="1:7" ht="12.75">
      <c r="A9" s="74" t="s">
        <v>411</v>
      </c>
      <c r="B9" s="76">
        <v>957</v>
      </c>
      <c r="C9" s="76">
        <v>219</v>
      </c>
      <c r="D9" s="24">
        <f t="shared" si="0"/>
        <v>657</v>
      </c>
      <c r="G9" s="31" t="s">
        <v>76</v>
      </c>
    </row>
    <row r="10" spans="1:7" ht="12.75">
      <c r="A10" s="74" t="s">
        <v>412</v>
      </c>
      <c r="B10" s="76">
        <v>18069</v>
      </c>
      <c r="C10" s="76">
        <v>5064</v>
      </c>
      <c r="D10" s="24">
        <f t="shared" si="0"/>
        <v>15192</v>
      </c>
      <c r="G10" s="31" t="s">
        <v>77</v>
      </c>
    </row>
    <row r="11" spans="1:7" ht="12.75">
      <c r="A11" s="74" t="s">
        <v>403</v>
      </c>
      <c r="B11" s="76">
        <v>4692</v>
      </c>
      <c r="C11" s="76">
        <v>1405</v>
      </c>
      <c r="D11" s="24">
        <f t="shared" si="0"/>
        <v>4215</v>
      </c>
      <c r="G11" s="31" t="s">
        <v>78</v>
      </c>
    </row>
    <row r="12" spans="1:7" ht="12.75">
      <c r="A12" s="74" t="s">
        <v>404</v>
      </c>
      <c r="B12" s="76">
        <v>1335</v>
      </c>
      <c r="C12" s="76">
        <v>423</v>
      </c>
      <c r="D12" s="24">
        <f t="shared" si="0"/>
        <v>1269</v>
      </c>
      <c r="G12" s="31" t="s">
        <v>79</v>
      </c>
    </row>
    <row r="13" spans="1:7" ht="12.75">
      <c r="A13" s="74" t="s">
        <v>405</v>
      </c>
      <c r="B13" s="76">
        <v>37863</v>
      </c>
      <c r="C13" s="76">
        <v>12574</v>
      </c>
      <c r="D13" s="24">
        <f t="shared" si="0"/>
        <v>37722</v>
      </c>
      <c r="G13" s="31" t="s">
        <v>82</v>
      </c>
    </row>
    <row r="14" spans="1:7" ht="12.75">
      <c r="A14" s="74" t="s">
        <v>406</v>
      </c>
      <c r="B14" s="76">
        <v>4210</v>
      </c>
      <c r="C14" s="76">
        <v>742</v>
      </c>
      <c r="D14" s="24">
        <f t="shared" si="0"/>
        <v>2226</v>
      </c>
      <c r="G14" s="31" t="s">
        <v>83</v>
      </c>
    </row>
    <row r="15" spans="1:7" ht="12.75">
      <c r="A15" s="74" t="s">
        <v>407</v>
      </c>
      <c r="B15" s="76">
        <v>0</v>
      </c>
      <c r="C15" s="76">
        <v>0</v>
      </c>
      <c r="D15" s="24">
        <f t="shared" si="0"/>
        <v>0</v>
      </c>
      <c r="G15" s="31" t="s">
        <v>84</v>
      </c>
    </row>
    <row r="16" spans="1:7" ht="12.75">
      <c r="A16" s="74" t="s">
        <v>408</v>
      </c>
      <c r="B16" s="76">
        <v>48</v>
      </c>
      <c r="C16" s="76">
        <v>14</v>
      </c>
      <c r="D16" s="24">
        <f t="shared" si="0"/>
        <v>42</v>
      </c>
      <c r="G16" s="2" t="s">
        <v>4</v>
      </c>
    </row>
    <row r="17" spans="1:4" ht="12.75">
      <c r="A17" s="74" t="s">
        <v>413</v>
      </c>
      <c r="B17" s="76">
        <v>1095</v>
      </c>
      <c r="C17" s="76">
        <v>336</v>
      </c>
      <c r="D17" s="24">
        <f t="shared" si="0"/>
        <v>1008</v>
      </c>
    </row>
    <row r="18" spans="1:4" ht="12.75">
      <c r="A18" s="74" t="s">
        <v>420</v>
      </c>
      <c r="B18" s="76">
        <v>1618</v>
      </c>
      <c r="C18" s="76">
        <v>736</v>
      </c>
      <c r="D18" s="24">
        <f t="shared" si="0"/>
        <v>2208</v>
      </c>
    </row>
    <row r="19" spans="1:4" ht="12.75">
      <c r="A19" s="74" t="s">
        <v>421</v>
      </c>
      <c r="B19" s="76">
        <v>4417</v>
      </c>
      <c r="C19" s="76">
        <v>1036</v>
      </c>
      <c r="D19" s="24">
        <f t="shared" si="0"/>
        <v>3108</v>
      </c>
    </row>
    <row r="20" spans="1:4" ht="12.75">
      <c r="A20" s="74" t="s">
        <v>422</v>
      </c>
      <c r="B20" s="76">
        <v>501</v>
      </c>
      <c r="C20" s="76">
        <v>246</v>
      </c>
      <c r="D20" s="24">
        <f t="shared" si="0"/>
        <v>738</v>
      </c>
    </row>
    <row r="21" spans="1:4" ht="12.75">
      <c r="A21" s="74" t="s">
        <v>414</v>
      </c>
      <c r="B21" s="76">
        <v>803</v>
      </c>
      <c r="C21" s="76">
        <v>384</v>
      </c>
      <c r="D21" s="24">
        <f t="shared" si="0"/>
        <v>1152</v>
      </c>
    </row>
    <row r="22" spans="1:4" ht="12.75">
      <c r="A22" s="74" t="s">
        <v>415</v>
      </c>
      <c r="B22" s="76">
        <v>1</v>
      </c>
      <c r="C22" s="76">
        <v>0</v>
      </c>
      <c r="D22" s="24">
        <f t="shared" si="0"/>
        <v>0</v>
      </c>
    </row>
    <row r="23" spans="1:4" ht="12.75">
      <c r="A23" s="74" t="s">
        <v>416</v>
      </c>
      <c r="B23" s="76">
        <v>20641</v>
      </c>
      <c r="C23" s="76">
        <v>6717</v>
      </c>
      <c r="D23" s="24">
        <f t="shared" si="0"/>
        <v>20151</v>
      </c>
    </row>
    <row r="24" spans="2:3" ht="12.75">
      <c r="B24" s="24"/>
      <c r="C24" s="24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2.25390625" style="0" bestFit="1" customWidth="1"/>
    <col min="2" max="2" width="17.125" style="0" bestFit="1" customWidth="1"/>
    <col min="3" max="3" width="17.50390625" style="0" bestFit="1" customWidth="1"/>
    <col min="4" max="5" width="17.375" style="0" bestFit="1" customWidth="1"/>
    <col min="6" max="6" width="17.375" style="92" customWidth="1"/>
    <col min="7" max="7" width="17.125" style="92" bestFit="1" customWidth="1"/>
  </cols>
  <sheetData>
    <row r="1" spans="1:7" ht="12.75">
      <c r="A1" s="73" t="s">
        <v>105</v>
      </c>
      <c r="C1" s="115"/>
      <c r="D1" s="115"/>
      <c r="E1" s="115"/>
      <c r="G1" s="87" t="s">
        <v>384</v>
      </c>
    </row>
    <row r="2" spans="1:7" ht="12" customHeight="1">
      <c r="A2" s="80" t="s">
        <v>236</v>
      </c>
      <c r="B2" s="81" t="s">
        <v>41</v>
      </c>
      <c r="C2" s="115" t="s">
        <v>424</v>
      </c>
      <c r="D2" s="115"/>
      <c r="E2" s="115"/>
      <c r="G2" s="87" t="s">
        <v>385</v>
      </c>
    </row>
    <row r="3" spans="6:7" ht="12.75">
      <c r="F3" s="94"/>
      <c r="G3" s="87" t="s">
        <v>386</v>
      </c>
    </row>
    <row r="4" spans="3:7" ht="12.75">
      <c r="C4" s="74" t="s">
        <v>223</v>
      </c>
      <c r="D4" s="74" t="s">
        <v>237</v>
      </c>
      <c r="E4" s="74" t="s">
        <v>222</v>
      </c>
      <c r="F4" s="93" t="s">
        <v>238</v>
      </c>
      <c r="G4" s="107" t="s">
        <v>383</v>
      </c>
    </row>
    <row r="5" spans="1:8" ht="12.75">
      <c r="A5" s="74" t="s">
        <v>169</v>
      </c>
      <c r="B5" s="74" t="s">
        <v>219</v>
      </c>
      <c r="C5" s="76">
        <v>12</v>
      </c>
      <c r="D5" s="76">
        <v>12</v>
      </c>
      <c r="E5" s="76">
        <v>12</v>
      </c>
      <c r="F5" s="76">
        <v>12</v>
      </c>
      <c r="G5" s="88">
        <v>12</v>
      </c>
      <c r="H5" t="s">
        <v>225</v>
      </c>
    </row>
    <row r="6" spans="1:7" ht="12.75">
      <c r="A6" s="74"/>
      <c r="B6" s="74" t="s">
        <v>220</v>
      </c>
      <c r="C6" s="76">
        <v>24</v>
      </c>
      <c r="D6" s="76">
        <v>36</v>
      </c>
      <c r="E6" s="76">
        <v>48</v>
      </c>
      <c r="F6" s="76">
        <v>36</v>
      </c>
      <c r="G6" s="88">
        <v>36</v>
      </c>
    </row>
    <row r="7" spans="1:7" ht="12.75">
      <c r="A7" s="74"/>
      <c r="B7" s="74" t="s">
        <v>228</v>
      </c>
      <c r="C7" s="76">
        <v>96</v>
      </c>
      <c r="D7" s="76">
        <v>108</v>
      </c>
      <c r="E7" s="76">
        <v>120</v>
      </c>
      <c r="F7" s="76">
        <v>120</v>
      </c>
      <c r="G7" s="88">
        <v>120</v>
      </c>
    </row>
    <row r="8" spans="1:7" ht="12.75">
      <c r="A8" s="74"/>
      <c r="B8" s="74" t="s">
        <v>221</v>
      </c>
      <c r="C8" s="76">
        <v>147</v>
      </c>
      <c r="D8" s="76">
        <v>141</v>
      </c>
      <c r="E8" s="76">
        <v>144</v>
      </c>
      <c r="F8" s="76">
        <v>144</v>
      </c>
      <c r="G8" s="88">
        <v>144</v>
      </c>
    </row>
    <row r="9" spans="1:7" ht="12.75">
      <c r="A9" s="74" t="s">
        <v>170</v>
      </c>
      <c r="B9" s="74" t="s">
        <v>219</v>
      </c>
      <c r="C9" s="83">
        <v>742948</v>
      </c>
      <c r="D9" s="83">
        <v>766602</v>
      </c>
      <c r="E9" s="83">
        <v>760001</v>
      </c>
      <c r="F9" s="83">
        <v>767000</v>
      </c>
      <c r="G9" s="89">
        <v>767000</v>
      </c>
    </row>
    <row r="10" spans="1:7" ht="12.75">
      <c r="A10" s="74"/>
      <c r="B10" s="74" t="s">
        <v>220</v>
      </c>
      <c r="C10" s="83">
        <v>1907353</v>
      </c>
      <c r="D10" s="83">
        <v>2942641</v>
      </c>
      <c r="E10" s="83">
        <v>2575002</v>
      </c>
      <c r="F10" s="83">
        <v>2457953</v>
      </c>
      <c r="G10" s="89">
        <v>2457953</v>
      </c>
    </row>
    <row r="11" spans="1:7" ht="12.75">
      <c r="A11" s="74"/>
      <c r="B11" s="74" t="s">
        <v>228</v>
      </c>
      <c r="C11" s="83">
        <v>5924741</v>
      </c>
      <c r="D11" s="83">
        <v>6074986</v>
      </c>
      <c r="E11" s="83">
        <v>6764000</v>
      </c>
      <c r="F11" s="83">
        <v>6239122</v>
      </c>
      <c r="G11" s="89">
        <v>6239122</v>
      </c>
    </row>
    <row r="12" spans="1:7" ht="12.75">
      <c r="A12" s="74"/>
      <c r="B12" s="74" t="s">
        <v>221</v>
      </c>
      <c r="C12" s="83">
        <v>8852195</v>
      </c>
      <c r="D12" s="83">
        <v>8608239</v>
      </c>
      <c r="E12" s="83">
        <v>8975005</v>
      </c>
      <c r="F12" s="83">
        <v>8087334.999999997</v>
      </c>
      <c r="G12" s="89">
        <v>8087334.999999997</v>
      </c>
    </row>
    <row r="13" spans="1:7" ht="12.75">
      <c r="A13" s="75" t="s">
        <v>171</v>
      </c>
      <c r="B13" s="74" t="s">
        <v>219</v>
      </c>
      <c r="C13" s="77">
        <v>1800</v>
      </c>
      <c r="D13" s="77">
        <v>1800</v>
      </c>
      <c r="E13" s="77">
        <v>1800</v>
      </c>
      <c r="F13" s="77">
        <v>1800</v>
      </c>
      <c r="G13" s="88">
        <v>1800</v>
      </c>
    </row>
    <row r="14" spans="1:7" ht="12.75">
      <c r="A14" s="75"/>
      <c r="B14" s="74" t="s">
        <v>220</v>
      </c>
      <c r="C14" s="77">
        <v>3600</v>
      </c>
      <c r="D14" s="77">
        <v>5400</v>
      </c>
      <c r="E14" s="77">
        <v>7200</v>
      </c>
      <c r="F14" s="77">
        <v>5400</v>
      </c>
      <c r="G14" s="88">
        <v>5400</v>
      </c>
    </row>
    <row r="15" spans="1:7" ht="12.75">
      <c r="A15" s="75"/>
      <c r="B15" s="74" t="s">
        <v>228</v>
      </c>
      <c r="C15" s="77">
        <v>14400</v>
      </c>
      <c r="D15" s="77">
        <v>16200</v>
      </c>
      <c r="E15" s="77">
        <v>18000</v>
      </c>
      <c r="F15" s="77">
        <v>18000</v>
      </c>
      <c r="G15" s="88">
        <v>18000</v>
      </c>
    </row>
    <row r="16" spans="1:7" ht="12.75">
      <c r="A16" s="75"/>
      <c r="B16" s="74" t="s">
        <v>221</v>
      </c>
      <c r="C16" s="77">
        <v>22050</v>
      </c>
      <c r="D16" s="77">
        <v>21150</v>
      </c>
      <c r="E16" s="77">
        <v>21600</v>
      </c>
      <c r="F16" s="77">
        <v>21600</v>
      </c>
      <c r="G16" s="88">
        <v>21600</v>
      </c>
    </row>
    <row r="17" spans="1:7" ht="12.75">
      <c r="A17" s="75" t="s">
        <v>172</v>
      </c>
      <c r="B17" s="74" t="s">
        <v>219</v>
      </c>
      <c r="C17" s="77">
        <v>74599.40868000002</v>
      </c>
      <c r="D17" s="77">
        <v>76974.50682</v>
      </c>
      <c r="E17" s="77">
        <v>76311.70041000002</v>
      </c>
      <c r="F17" s="77">
        <v>77014.47</v>
      </c>
      <c r="G17" s="88">
        <v>77014.47</v>
      </c>
    </row>
    <row r="18" spans="1:7" ht="12.75">
      <c r="A18" s="75"/>
      <c r="B18" s="74" t="s">
        <v>220</v>
      </c>
      <c r="C18" s="77">
        <v>191517.31473</v>
      </c>
      <c r="D18" s="77">
        <v>295470.58281</v>
      </c>
      <c r="E18" s="77">
        <v>258555.95082000003</v>
      </c>
      <c r="F18" s="77">
        <v>246803.0607299999</v>
      </c>
      <c r="G18" s="88">
        <v>246803.0607299999</v>
      </c>
    </row>
    <row r="19" spans="1:7" ht="12.75">
      <c r="A19" s="75"/>
      <c r="B19" s="74" t="s">
        <v>228</v>
      </c>
      <c r="C19" s="77">
        <v>594903.2438100001</v>
      </c>
      <c r="D19" s="77">
        <v>609989.34426</v>
      </c>
      <c r="E19" s="77">
        <v>679173.24</v>
      </c>
      <c r="F19" s="77">
        <v>626470.2400200001</v>
      </c>
      <c r="G19" s="88">
        <v>626470.2400200001</v>
      </c>
    </row>
    <row r="20" spans="1:7" ht="12.75">
      <c r="A20" s="75"/>
      <c r="B20" s="74" t="s">
        <v>221</v>
      </c>
      <c r="C20" s="77">
        <v>888848.8999500002</v>
      </c>
      <c r="D20" s="77">
        <v>864353.2779900001</v>
      </c>
      <c r="E20" s="77">
        <v>901180.25205</v>
      </c>
      <c r="F20" s="77">
        <v>812049.3073499999</v>
      </c>
      <c r="G20" s="88">
        <v>812049.3073499999</v>
      </c>
    </row>
    <row r="21" spans="1:7" ht="12.75">
      <c r="A21" s="74" t="s">
        <v>189</v>
      </c>
      <c r="B21" s="74" t="s">
        <v>219</v>
      </c>
      <c r="C21" s="76">
        <v>12</v>
      </c>
      <c r="D21" s="76">
        <v>12</v>
      </c>
      <c r="E21" s="76">
        <v>12</v>
      </c>
      <c r="F21" s="76">
        <v>12</v>
      </c>
      <c r="G21" s="88">
        <v>12</v>
      </c>
    </row>
    <row r="22" spans="1:8" ht="12.75">
      <c r="A22" s="74"/>
      <c r="B22" s="74" t="s">
        <v>220</v>
      </c>
      <c r="C22" s="76">
        <v>12</v>
      </c>
      <c r="D22" s="76">
        <v>0</v>
      </c>
      <c r="E22" s="76">
        <v>0</v>
      </c>
      <c r="F22" s="76">
        <v>0</v>
      </c>
      <c r="G22" s="88">
        <v>0</v>
      </c>
      <c r="H22" t="s">
        <v>226</v>
      </c>
    </row>
    <row r="23" spans="1:7" ht="12.75">
      <c r="A23" s="74"/>
      <c r="B23" s="74" t="s">
        <v>228</v>
      </c>
      <c r="C23" s="76">
        <v>0</v>
      </c>
      <c r="D23" s="76">
        <v>0</v>
      </c>
      <c r="E23" s="76">
        <v>0</v>
      </c>
      <c r="F23" s="76">
        <v>0</v>
      </c>
      <c r="G23" s="88">
        <v>0</v>
      </c>
    </row>
    <row r="24" spans="1:7" ht="12.75">
      <c r="A24" s="74"/>
      <c r="B24" s="74" t="s">
        <v>221</v>
      </c>
      <c r="C24" s="76">
        <v>92</v>
      </c>
      <c r="D24" s="76">
        <v>97</v>
      </c>
      <c r="E24" s="76">
        <v>96</v>
      </c>
      <c r="F24" s="76">
        <v>96</v>
      </c>
      <c r="G24" s="88">
        <v>96</v>
      </c>
    </row>
    <row r="25" spans="1:7" ht="12.75">
      <c r="A25" s="74" t="s">
        <v>190</v>
      </c>
      <c r="B25" s="74" t="s">
        <v>219</v>
      </c>
      <c r="C25" s="83">
        <v>3906601</v>
      </c>
      <c r="D25" s="83">
        <v>3078007</v>
      </c>
      <c r="E25" s="83">
        <v>0</v>
      </c>
      <c r="F25" s="83">
        <v>0</v>
      </c>
      <c r="G25" s="89">
        <v>0</v>
      </c>
    </row>
    <row r="26" spans="1:7" ht="12.75">
      <c r="A26" s="74"/>
      <c r="B26" s="74" t="s">
        <v>220</v>
      </c>
      <c r="C26" s="83">
        <v>9773311</v>
      </c>
      <c r="D26" s="83">
        <v>0</v>
      </c>
      <c r="E26" s="83">
        <v>0</v>
      </c>
      <c r="F26" s="83">
        <v>0</v>
      </c>
      <c r="G26" s="89">
        <v>0</v>
      </c>
    </row>
    <row r="27" spans="1:7" ht="12.75">
      <c r="A27" s="74"/>
      <c r="B27" s="74" t="s">
        <v>228</v>
      </c>
      <c r="C27" s="83">
        <v>0</v>
      </c>
      <c r="D27" s="83">
        <v>0</v>
      </c>
      <c r="E27" s="83">
        <v>0</v>
      </c>
      <c r="F27" s="83">
        <v>0</v>
      </c>
      <c r="G27" s="89">
        <v>0</v>
      </c>
    </row>
    <row r="28" spans="1:7" ht="12.75">
      <c r="A28" s="74"/>
      <c r="B28" s="74" t="s">
        <v>221</v>
      </c>
      <c r="C28" s="83">
        <v>82423411</v>
      </c>
      <c r="D28" s="83">
        <v>68691507</v>
      </c>
      <c r="E28" s="83">
        <v>66500004</v>
      </c>
      <c r="F28" s="83">
        <v>56163570.00000001</v>
      </c>
      <c r="G28" s="89">
        <v>56163570.00000001</v>
      </c>
    </row>
    <row r="29" spans="1:7" ht="12.75">
      <c r="A29" s="75" t="s">
        <v>191</v>
      </c>
      <c r="B29" s="74" t="s">
        <v>219</v>
      </c>
      <c r="C29" s="77">
        <v>2700</v>
      </c>
      <c r="D29" s="77">
        <v>2700</v>
      </c>
      <c r="E29" s="77">
        <v>2700</v>
      </c>
      <c r="F29" s="77">
        <v>2700</v>
      </c>
      <c r="G29" s="88">
        <v>2700</v>
      </c>
    </row>
    <row r="30" spans="1:7" ht="12.75">
      <c r="A30" s="75"/>
      <c r="B30" s="74" t="s">
        <v>220</v>
      </c>
      <c r="C30" s="77">
        <v>281316</v>
      </c>
      <c r="D30" s="77">
        <v>0</v>
      </c>
      <c r="E30" s="77">
        <v>0</v>
      </c>
      <c r="F30" s="77">
        <v>0</v>
      </c>
      <c r="G30" s="88">
        <v>0</v>
      </c>
    </row>
    <row r="31" spans="1:7" ht="12.75">
      <c r="A31" s="75"/>
      <c r="B31" s="74" t="s">
        <v>228</v>
      </c>
      <c r="C31" s="77">
        <v>0</v>
      </c>
      <c r="D31" s="77">
        <v>0</v>
      </c>
      <c r="E31" s="77">
        <v>0</v>
      </c>
      <c r="F31" s="77">
        <v>0</v>
      </c>
      <c r="G31" s="88">
        <v>0</v>
      </c>
    </row>
    <row r="32" spans="1:7" ht="12.75">
      <c r="A32" s="75"/>
      <c r="B32" s="74" t="s">
        <v>221</v>
      </c>
      <c r="C32" s="77">
        <v>20700</v>
      </c>
      <c r="D32" s="77">
        <v>21825</v>
      </c>
      <c r="E32" s="77">
        <v>21600</v>
      </c>
      <c r="F32" s="77">
        <v>21600</v>
      </c>
      <c r="G32" s="88">
        <v>21600</v>
      </c>
    </row>
    <row r="33" spans="1:7" ht="12.75">
      <c r="A33" s="75" t="s">
        <v>192</v>
      </c>
      <c r="B33" s="74" t="s">
        <v>219</v>
      </c>
      <c r="C33" s="77">
        <v>137590.48721999998</v>
      </c>
      <c r="D33" s="77">
        <v>108407.40654</v>
      </c>
      <c r="E33" s="77">
        <v>0</v>
      </c>
      <c r="F33" s="77">
        <v>0</v>
      </c>
      <c r="G33" s="88">
        <v>0</v>
      </c>
    </row>
    <row r="34" spans="1:7" ht="12.75">
      <c r="A34" s="75"/>
      <c r="B34" s="74" t="s">
        <v>220</v>
      </c>
      <c r="C34" s="77">
        <v>0</v>
      </c>
      <c r="D34" s="77">
        <v>0</v>
      </c>
      <c r="E34" s="77">
        <v>0</v>
      </c>
      <c r="F34" s="77">
        <v>0</v>
      </c>
      <c r="G34" s="88">
        <v>0</v>
      </c>
    </row>
    <row r="35" spans="1:7" ht="12.75">
      <c r="A35" s="75"/>
      <c r="B35" s="74" t="s">
        <v>228</v>
      </c>
      <c r="C35" s="77">
        <v>0</v>
      </c>
      <c r="D35" s="77">
        <v>0</v>
      </c>
      <c r="E35" s="77">
        <v>0</v>
      </c>
      <c r="F35" s="77">
        <v>0</v>
      </c>
      <c r="G35" s="88">
        <v>0</v>
      </c>
    </row>
    <row r="36" spans="1:7" ht="12.75">
      <c r="A36" s="75"/>
      <c r="B36" s="74" t="s">
        <v>221</v>
      </c>
      <c r="C36" s="77">
        <v>2902952.53542</v>
      </c>
      <c r="D36" s="77">
        <v>2419314.87654</v>
      </c>
      <c r="E36" s="77">
        <v>2342130.1408800003</v>
      </c>
      <c r="F36" s="77">
        <v>1978080.9354000003</v>
      </c>
      <c r="G36" s="88">
        <v>1978080.9354000003</v>
      </c>
    </row>
    <row r="37" spans="1:8" ht="12.75">
      <c r="A37" s="74" t="s">
        <v>193</v>
      </c>
      <c r="B37" s="74" t="s">
        <v>219</v>
      </c>
      <c r="C37" s="76">
        <v>12</v>
      </c>
      <c r="D37" s="76">
        <v>12</v>
      </c>
      <c r="E37" s="76">
        <v>12</v>
      </c>
      <c r="F37" s="76">
        <v>12</v>
      </c>
      <c r="G37" s="88">
        <v>12</v>
      </c>
      <c r="H37" t="s">
        <v>229</v>
      </c>
    </row>
    <row r="38" spans="1:7" ht="12.75">
      <c r="A38" s="74"/>
      <c r="B38" s="74" t="s">
        <v>220</v>
      </c>
      <c r="C38" s="76">
        <v>0</v>
      </c>
      <c r="D38" s="76">
        <v>0</v>
      </c>
      <c r="E38" s="76">
        <v>0</v>
      </c>
      <c r="F38" s="76">
        <v>0</v>
      </c>
      <c r="G38" s="88">
        <v>0</v>
      </c>
    </row>
    <row r="39" spans="1:8" ht="12.75">
      <c r="A39" s="74"/>
      <c r="B39" s="74" t="s">
        <v>228</v>
      </c>
      <c r="C39" s="76">
        <v>34</v>
      </c>
      <c r="D39" s="76">
        <v>12</v>
      </c>
      <c r="E39" s="76">
        <v>12</v>
      </c>
      <c r="F39" s="76">
        <v>12</v>
      </c>
      <c r="G39" s="88">
        <v>12</v>
      </c>
      <c r="H39" t="s">
        <v>233</v>
      </c>
    </row>
    <row r="40" spans="1:8" ht="12.75">
      <c r="A40" s="74"/>
      <c r="B40" s="74" t="s">
        <v>221</v>
      </c>
      <c r="C40" s="76">
        <v>12</v>
      </c>
      <c r="D40" s="76">
        <v>0</v>
      </c>
      <c r="E40" s="76">
        <v>0</v>
      </c>
      <c r="F40" s="76">
        <v>12</v>
      </c>
      <c r="G40" s="88">
        <v>12</v>
      </c>
      <c r="H40" t="s">
        <v>227</v>
      </c>
    </row>
    <row r="41" spans="1:7" ht="12.75">
      <c r="A41" s="74" t="s">
        <v>194</v>
      </c>
      <c r="B41" s="74" t="s">
        <v>219</v>
      </c>
      <c r="C41" s="83">
        <v>44444940</v>
      </c>
      <c r="D41" s="83">
        <v>54986850</v>
      </c>
      <c r="E41" s="83">
        <v>50000001</v>
      </c>
      <c r="F41" s="83">
        <v>50000001</v>
      </c>
      <c r="G41" s="89">
        <v>50000001</v>
      </c>
    </row>
    <row r="42" spans="1:7" ht="12.75">
      <c r="A42" s="74"/>
      <c r="B42" s="74" t="s">
        <v>220</v>
      </c>
      <c r="C42" s="83">
        <v>0</v>
      </c>
      <c r="D42" s="83">
        <v>0</v>
      </c>
      <c r="E42" s="83">
        <v>0</v>
      </c>
      <c r="F42" s="83">
        <v>0</v>
      </c>
      <c r="G42" s="89">
        <v>0</v>
      </c>
    </row>
    <row r="43" spans="1:7" ht="12.75">
      <c r="A43" s="74"/>
      <c r="B43" s="74" t="s">
        <v>228</v>
      </c>
      <c r="C43" s="83">
        <v>126469511</v>
      </c>
      <c r="D43" s="83">
        <v>59124540.4</v>
      </c>
      <c r="E43" s="83">
        <v>52350000</v>
      </c>
      <c r="F43" s="83">
        <v>52002323.004000016</v>
      </c>
      <c r="G43" s="89">
        <v>52002323.004000016</v>
      </c>
    </row>
    <row r="44" spans="1:7" ht="12.75">
      <c r="A44" s="74"/>
      <c r="B44" s="74" t="s">
        <v>221</v>
      </c>
      <c r="C44" s="83">
        <v>148822021</v>
      </c>
      <c r="D44" s="83">
        <v>0</v>
      </c>
      <c r="E44" s="83">
        <v>0</v>
      </c>
      <c r="F44" s="83">
        <v>49999999.999999985</v>
      </c>
      <c r="G44" s="89">
        <v>49999999.999999985</v>
      </c>
    </row>
    <row r="45" spans="1:7" ht="12.75">
      <c r="A45" s="75" t="s">
        <v>195</v>
      </c>
      <c r="B45" s="74" t="s">
        <v>219</v>
      </c>
      <c r="C45" s="77">
        <v>2700</v>
      </c>
      <c r="D45" s="77">
        <v>2700</v>
      </c>
      <c r="E45" s="77">
        <v>2700</v>
      </c>
      <c r="F45" s="77">
        <v>2700</v>
      </c>
      <c r="G45" s="88">
        <v>2700</v>
      </c>
    </row>
    <row r="46" spans="1:7" ht="12.75">
      <c r="A46" s="75"/>
      <c r="B46" s="74" t="s">
        <v>220</v>
      </c>
      <c r="C46" s="77">
        <v>0</v>
      </c>
      <c r="D46" s="77">
        <v>0</v>
      </c>
      <c r="E46" s="77">
        <v>0</v>
      </c>
      <c r="F46" s="77">
        <v>0</v>
      </c>
      <c r="G46" s="88">
        <v>0</v>
      </c>
    </row>
    <row r="47" spans="1:7" ht="12.75">
      <c r="A47" s="75"/>
      <c r="B47" s="74" t="s">
        <v>228</v>
      </c>
      <c r="C47" s="77">
        <v>363150</v>
      </c>
      <c r="D47" s="77">
        <v>2700</v>
      </c>
      <c r="E47" s="77">
        <v>2700</v>
      </c>
      <c r="F47" s="77">
        <v>2700</v>
      </c>
      <c r="G47" s="88">
        <v>2700</v>
      </c>
    </row>
    <row r="48" spans="1:7" ht="12.75">
      <c r="A48" s="75"/>
      <c r="B48" s="74" t="s">
        <v>221</v>
      </c>
      <c r="C48" s="77">
        <v>2722293</v>
      </c>
      <c r="D48" s="77">
        <v>0</v>
      </c>
      <c r="E48" s="77">
        <v>0</v>
      </c>
      <c r="F48" s="77">
        <v>2700</v>
      </c>
      <c r="G48" s="88">
        <v>1599996</v>
      </c>
    </row>
    <row r="49" spans="1:7" ht="12.75">
      <c r="A49" s="75" t="s">
        <v>196</v>
      </c>
      <c r="B49" s="74" t="s">
        <v>219</v>
      </c>
      <c r="C49" s="77">
        <v>445338.2988000001</v>
      </c>
      <c r="D49" s="77">
        <v>550968.2370000001</v>
      </c>
      <c r="E49" s="77">
        <v>501000.01002000005</v>
      </c>
      <c r="F49" s="77">
        <v>501000.01002000005</v>
      </c>
      <c r="G49" s="88">
        <v>501000.01002000005</v>
      </c>
    </row>
    <row r="50" spans="1:7" ht="12.75">
      <c r="A50" s="75"/>
      <c r="B50" s="74" t="s">
        <v>220</v>
      </c>
      <c r="C50" s="77">
        <v>0</v>
      </c>
      <c r="D50" s="77">
        <v>0</v>
      </c>
      <c r="E50" s="77">
        <v>0</v>
      </c>
      <c r="F50" s="77">
        <v>0</v>
      </c>
      <c r="G50" s="88">
        <v>0</v>
      </c>
    </row>
    <row r="51" spans="1:7" ht="12.75">
      <c r="A51" s="75"/>
      <c r="B51" s="74" t="s">
        <v>228</v>
      </c>
      <c r="C51" s="77">
        <v>679933.5056999996</v>
      </c>
      <c r="D51" s="77">
        <v>592427.894808</v>
      </c>
      <c r="E51" s="77">
        <v>524547</v>
      </c>
      <c r="F51" s="77">
        <v>521063.27650008</v>
      </c>
      <c r="G51" s="88">
        <v>521063.27650008</v>
      </c>
    </row>
    <row r="52" spans="1:7" ht="12.75">
      <c r="A52" s="75"/>
      <c r="B52" s="74" t="s">
        <v>221</v>
      </c>
      <c r="C52" s="77">
        <v>1627343.1269999994</v>
      </c>
      <c r="D52" s="77">
        <v>0</v>
      </c>
      <c r="E52" s="77">
        <v>0</v>
      </c>
      <c r="F52" s="77">
        <v>501000</v>
      </c>
      <c r="G52" s="88">
        <v>501000</v>
      </c>
    </row>
    <row r="53" ht="12.75">
      <c r="G53" s="87"/>
    </row>
    <row r="54" ht="12.75">
      <c r="G54" s="87"/>
    </row>
    <row r="55" spans="1:7" ht="12.75">
      <c r="A55" t="s">
        <v>230</v>
      </c>
      <c r="B55" s="85" t="s">
        <v>67</v>
      </c>
      <c r="C55" s="76">
        <v>12</v>
      </c>
      <c r="D55" s="76">
        <v>12</v>
      </c>
      <c r="E55" s="76">
        <v>12</v>
      </c>
      <c r="F55" s="76">
        <v>12</v>
      </c>
      <c r="G55" s="88">
        <v>12</v>
      </c>
    </row>
    <row r="56" spans="2:7" ht="12.75">
      <c r="B56" t="s">
        <v>68</v>
      </c>
      <c r="C56" s="84">
        <v>56142837</v>
      </c>
      <c r="D56" s="84">
        <v>59124540</v>
      </c>
      <c r="E56" s="84">
        <v>52350000</v>
      </c>
      <c r="F56" s="95">
        <v>52350000</v>
      </c>
      <c r="G56" s="90">
        <v>52350000</v>
      </c>
    </row>
    <row r="57" spans="2:7" ht="12.75">
      <c r="B57" t="s">
        <v>232</v>
      </c>
      <c r="C57" s="86">
        <f>225*12</f>
        <v>2700</v>
      </c>
      <c r="D57" s="86">
        <f>225*12</f>
        <v>2700</v>
      </c>
      <c r="E57" s="86">
        <f>225*12</f>
        <v>2700</v>
      </c>
      <c r="F57" s="86">
        <f>225*12</f>
        <v>2700</v>
      </c>
      <c r="G57" s="91">
        <v>2700</v>
      </c>
    </row>
    <row r="58" spans="2:7" ht="12.75">
      <c r="B58" t="s">
        <v>231</v>
      </c>
      <c r="C58" s="86">
        <f>+C56*0.01002</f>
        <v>562551.22674</v>
      </c>
      <c r="D58" s="86">
        <f>+D56*0.01002</f>
        <v>592427.8907999999</v>
      </c>
      <c r="E58" s="86">
        <f>+E56*0.01002</f>
        <v>524547</v>
      </c>
      <c r="F58" s="86">
        <f>+F56*0.01002</f>
        <v>524547</v>
      </c>
      <c r="G58" s="91">
        <v>524547</v>
      </c>
    </row>
    <row r="59" ht="12.75"/>
    <row r="60" ht="12.75"/>
    <row r="61" ht="12.75"/>
    <row r="62" ht="12.75"/>
    <row r="63" ht="12.75"/>
    <row r="64" ht="12.75">
      <c r="A64" s="73" t="s">
        <v>105</v>
      </c>
    </row>
    <row r="65" spans="1:3" ht="12" customHeight="1">
      <c r="A65" s="80" t="s">
        <v>236</v>
      </c>
      <c r="B65" s="81" t="s">
        <v>41</v>
      </c>
      <c r="C65" s="81" t="s">
        <v>106</v>
      </c>
    </row>
    <row r="66" ht="12.75"/>
    <row r="67" spans="2:3" ht="12.75">
      <c r="B67" s="109" t="s">
        <v>222</v>
      </c>
      <c r="C67" s="109" t="s">
        <v>238</v>
      </c>
    </row>
    <row r="68" spans="1:3" ht="12.75">
      <c r="A68" s="74" t="s">
        <v>387</v>
      </c>
      <c r="B68" s="76">
        <v>84</v>
      </c>
      <c r="C68" s="76">
        <v>84</v>
      </c>
    </row>
    <row r="69" spans="1:3" ht="12.75">
      <c r="A69" s="74" t="s">
        <v>388</v>
      </c>
      <c r="B69" s="83">
        <v>298230168.9994</v>
      </c>
      <c r="C69" s="83">
        <v>299401991.9996</v>
      </c>
    </row>
    <row r="70" spans="1:3" ht="12.75">
      <c r="A70" s="75" t="s">
        <v>389</v>
      </c>
      <c r="B70" s="108">
        <v>2879868</v>
      </c>
      <c r="C70" s="108">
        <v>2879868</v>
      </c>
    </row>
    <row r="71" spans="1:3" ht="12.75">
      <c r="A71" s="75" t="s">
        <v>390</v>
      </c>
      <c r="B71" s="108">
        <v>3544362.9145659558</v>
      </c>
      <c r="C71" s="108">
        <v>3597172.5152088576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Chesapeake Utilities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Bates</dc:creator>
  <cp:keywords/>
  <dc:description/>
  <cp:lastModifiedBy>Floyd, Kandi M.</cp:lastModifiedBy>
  <cp:lastPrinted>2009-02-19T18:30:47Z</cp:lastPrinted>
  <dcterms:created xsi:type="dcterms:W3CDTF">1999-12-29T17:24:52Z</dcterms:created>
  <dcterms:modified xsi:type="dcterms:W3CDTF">2018-04-25T16:43:07Z</dcterms:modified>
  <cp:category/>
  <cp:version/>
  <cp:contentType/>
  <cp:contentStatus/>
</cp:coreProperties>
</file>