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10" yWindow="30" windowWidth="12120" windowHeight="8070" activeTab="0"/>
  </bookViews>
  <sheets>
    <sheet name="SchE6" sheetId="1" r:id="rId1"/>
    <sheet name="PlantData" sheetId="2" r:id="rId2"/>
    <sheet name="Reserves" sheetId="3" r:id="rId3"/>
    <sheet name="Data" sheetId="4" r:id="rId4"/>
    <sheet name="O&amp;M Dat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daytum_col_1" localSheetId="3">'Data'!$B$4:$F$4</definedName>
    <definedName name="adaytum_col_1" localSheetId="4">'O&amp;M Data'!$B$4:$F$4</definedName>
    <definedName name="adaytum_col_1" localSheetId="2">'Reserves'!$B$4:$K$5</definedName>
    <definedName name="adaytum_col_2" localSheetId="3">'Data'!$B$20</definedName>
    <definedName name="adaytum_col_2" localSheetId="1">'PlantData'!$B$4:$K$5</definedName>
    <definedName name="adaytum_col_3" localSheetId="3">'Data'!$B$42</definedName>
    <definedName name="adaytum_data_1" localSheetId="3">'Data'!$B$5:$F$13</definedName>
    <definedName name="adaytum_data_1" localSheetId="4">'O&amp;M Data'!$B$5:$F$72</definedName>
    <definedName name="adaytum_data_1" localSheetId="2">'Reserves'!$B$6:$K$51</definedName>
    <definedName name="adaytum_data_2" localSheetId="3">'Data'!$B$21:$B$33</definedName>
    <definedName name="adaytum_data_2" localSheetId="1">'PlantData'!$B$6:$K$50</definedName>
    <definedName name="adaytum_data_3" localSheetId="3">'Data'!$B$43:$B$44</definedName>
    <definedName name="adaytum_page_1" localSheetId="3">'Data'!$A$2:$C$2</definedName>
    <definedName name="adaytum_page_1" localSheetId="4">'O&amp;M Data'!$A$2:$B$2</definedName>
    <definedName name="adaytum_page_2" localSheetId="3">'Data'!$A$18:$B$18</definedName>
    <definedName name="adaytum_page_3" localSheetId="3">'Data'!$A$40:$B$40</definedName>
    <definedName name="adaytum_row_1" localSheetId="3">'Data'!$A$5:$A$13</definedName>
    <definedName name="adaytum_row_1" localSheetId="4">'O&amp;M Data'!$A$5:$A$72</definedName>
    <definedName name="adaytum_row_1" localSheetId="2">'Reserves'!$A$6:$A$51</definedName>
    <definedName name="adaytum_row_2" localSheetId="3">'Data'!$A$21:$A$33</definedName>
    <definedName name="adaytum_row_2" localSheetId="1">'PlantData'!$A$6:$A$50</definedName>
    <definedName name="adaytum_row_3" localSheetId="3">'Data'!$A$43:$A$44</definedName>
    <definedName name="adaytum_view_1" localSheetId="3">'Data'!$A$17</definedName>
    <definedName name="adaytum_view_1" localSheetId="4">'O&amp;M Data'!$A$1</definedName>
    <definedName name="adaytum_view_1" localSheetId="2">'Reserves'!$A$1</definedName>
    <definedName name="adaytum_view_2" localSheetId="3">'Data'!$A$39</definedName>
    <definedName name="adaytum_view_2" localSheetId="1">'PlantData'!$A$1</definedName>
    <definedName name="adaytum_view_3" localSheetId="3">'Data'!$A$1</definedName>
    <definedName name="_xlnm.Print_Area" localSheetId="0">'SchE6'!$A$1:$V$58,'SchE6'!$A$65:$V$121,'SchE6'!$A$125:$V$181,'SchE6'!$A$186:$V$242,'SchE6'!$A$247:$V$302</definedName>
  </definedNames>
  <calcPr fullCalcOnLoad="1"/>
</workbook>
</file>

<file path=xl/comments2.xml><?xml version="1.0" encoding="utf-8"?>
<comments xmlns="http://schemas.openxmlformats.org/spreadsheetml/2006/main">
  <authors>
    <author>Christina Kwan</author>
    <author>Sue Richards</author>
  </authors>
  <commentList>
    <comment ref="A6" authorId="0">
      <text>
        <r>
          <rPr>
            <sz val="8"/>
            <rFont val="Tahoma"/>
            <family val="0"/>
          </rPr>
          <t>Plant Acct</t>
        </r>
      </text>
    </comment>
    <comment ref="A7" authorId="0">
      <text>
        <r>
          <rPr>
            <sz val="8"/>
            <rFont val="Tahoma"/>
            <family val="0"/>
          </rPr>
          <t>Plant Acct</t>
        </r>
      </text>
    </comment>
    <comment ref="A8" authorId="0">
      <text>
        <r>
          <rPr>
            <sz val="8"/>
            <rFont val="Tahoma"/>
            <family val="0"/>
          </rPr>
          <t>Plant Acct</t>
        </r>
      </text>
    </comment>
    <comment ref="A9" authorId="0">
      <text>
        <r>
          <rPr>
            <sz val="8"/>
            <rFont val="Tahoma"/>
            <family val="0"/>
          </rPr>
          <t>Plant Acct</t>
        </r>
      </text>
    </comment>
    <comment ref="A10" authorId="0">
      <text>
        <r>
          <rPr>
            <sz val="8"/>
            <rFont val="Tahoma"/>
            <family val="0"/>
          </rPr>
          <t>Plant Acct</t>
        </r>
      </text>
    </comment>
    <comment ref="A11" authorId="0">
      <text>
        <r>
          <rPr>
            <sz val="8"/>
            <rFont val="Tahoma"/>
            <family val="0"/>
          </rPr>
          <t>Plant Acct</t>
        </r>
      </text>
    </comment>
    <comment ref="A12" authorId="0">
      <text>
        <r>
          <rPr>
            <sz val="8"/>
            <rFont val="Tahoma"/>
            <family val="0"/>
          </rPr>
          <t>Plant Acct</t>
        </r>
      </text>
    </comment>
    <comment ref="A13" authorId="0">
      <text>
        <r>
          <rPr>
            <sz val="8"/>
            <rFont val="Tahoma"/>
            <family val="0"/>
          </rPr>
          <t>Plant Acct</t>
        </r>
      </text>
    </comment>
    <comment ref="A14" authorId="0">
      <text>
        <r>
          <rPr>
            <sz val="8"/>
            <rFont val="Tahoma"/>
            <family val="0"/>
          </rPr>
          <t>Plant Acct</t>
        </r>
      </text>
    </comment>
    <comment ref="A15" authorId="0">
      <text>
        <r>
          <rPr>
            <sz val="8"/>
            <rFont val="Tahoma"/>
            <family val="0"/>
          </rPr>
          <t>Plant Acct</t>
        </r>
      </text>
    </comment>
    <comment ref="A16" authorId="0">
      <text>
        <r>
          <rPr>
            <sz val="8"/>
            <rFont val="Tahoma"/>
            <family val="0"/>
          </rPr>
          <t>Plant Acct</t>
        </r>
      </text>
    </comment>
    <comment ref="A17" authorId="0">
      <text>
        <r>
          <rPr>
            <sz val="8"/>
            <rFont val="Tahoma"/>
            <family val="0"/>
          </rPr>
          <t>Plant Acct</t>
        </r>
      </text>
    </comment>
    <comment ref="A18" authorId="0">
      <text>
        <r>
          <rPr>
            <sz val="8"/>
            <rFont val="Tahoma"/>
            <family val="0"/>
          </rPr>
          <t>Plant Acct</t>
        </r>
      </text>
    </comment>
    <comment ref="A19" authorId="0">
      <text>
        <r>
          <rPr>
            <sz val="8"/>
            <rFont val="Tahoma"/>
            <family val="0"/>
          </rPr>
          <t>Plant Acct</t>
        </r>
      </text>
    </comment>
    <comment ref="A20" authorId="0">
      <text>
        <r>
          <rPr>
            <sz val="8"/>
            <rFont val="Tahoma"/>
            <family val="0"/>
          </rPr>
          <t>Plant Acct</t>
        </r>
      </text>
    </comment>
    <comment ref="A21" authorId="0">
      <text>
        <r>
          <rPr>
            <sz val="8"/>
            <rFont val="Tahoma"/>
            <family val="0"/>
          </rPr>
          <t>Plant Acct</t>
        </r>
      </text>
    </comment>
    <comment ref="A22" authorId="0">
      <text>
        <r>
          <rPr>
            <sz val="8"/>
            <rFont val="Tahoma"/>
            <family val="0"/>
          </rPr>
          <t>Plant Acct</t>
        </r>
      </text>
    </comment>
    <comment ref="A23" authorId="0">
      <text>
        <r>
          <rPr>
            <sz val="8"/>
            <rFont val="Tahoma"/>
            <family val="0"/>
          </rPr>
          <t>Plant Acct</t>
        </r>
      </text>
    </comment>
    <comment ref="A24" authorId="0">
      <text>
        <r>
          <rPr>
            <sz val="8"/>
            <rFont val="Tahoma"/>
            <family val="0"/>
          </rPr>
          <t>Plant Acct</t>
        </r>
      </text>
    </comment>
    <comment ref="A25" authorId="0">
      <text>
        <r>
          <rPr>
            <sz val="8"/>
            <rFont val="Tahoma"/>
            <family val="0"/>
          </rPr>
          <t>Plant Acct</t>
        </r>
      </text>
    </comment>
    <comment ref="A26" authorId="0">
      <text>
        <r>
          <rPr>
            <sz val="8"/>
            <rFont val="Tahoma"/>
            <family val="0"/>
          </rPr>
          <t>Plant Acct</t>
        </r>
      </text>
    </comment>
    <comment ref="A29" authorId="0">
      <text>
        <r>
          <rPr>
            <sz val="8"/>
            <rFont val="Tahoma"/>
            <family val="0"/>
          </rPr>
          <t>Plant Acct</t>
        </r>
      </text>
    </comment>
    <comment ref="A30" authorId="0">
      <text>
        <r>
          <rPr>
            <sz val="8"/>
            <rFont val="Tahoma"/>
            <family val="0"/>
          </rPr>
          <t>Plant Acct</t>
        </r>
      </text>
    </comment>
    <comment ref="A31" authorId="0">
      <text>
        <r>
          <rPr>
            <sz val="8"/>
            <rFont val="Tahoma"/>
            <family val="0"/>
          </rPr>
          <t>Plant Acct</t>
        </r>
      </text>
    </comment>
    <comment ref="A32" authorId="0">
      <text>
        <r>
          <rPr>
            <sz val="8"/>
            <rFont val="Tahoma"/>
            <family val="0"/>
          </rPr>
          <t>Plant Acct</t>
        </r>
      </text>
    </comment>
    <comment ref="A33" authorId="0">
      <text>
        <r>
          <rPr>
            <sz val="8"/>
            <rFont val="Tahoma"/>
            <family val="0"/>
          </rPr>
          <t>Plant Acct</t>
        </r>
      </text>
    </comment>
    <comment ref="A34" authorId="0">
      <text>
        <r>
          <rPr>
            <sz val="8"/>
            <rFont val="Tahoma"/>
            <family val="0"/>
          </rPr>
          <t>Plant Acct</t>
        </r>
      </text>
    </comment>
    <comment ref="A35" authorId="0">
      <text>
        <r>
          <rPr>
            <sz val="8"/>
            <rFont val="Tahoma"/>
            <family val="0"/>
          </rPr>
          <t>Plant Acct</t>
        </r>
      </text>
    </comment>
    <comment ref="A36" authorId="0">
      <text>
        <r>
          <rPr>
            <sz val="8"/>
            <rFont val="Tahoma"/>
            <family val="0"/>
          </rPr>
          <t>Plant Acct</t>
        </r>
      </text>
    </comment>
    <comment ref="A37" authorId="0">
      <text>
        <r>
          <rPr>
            <sz val="8"/>
            <rFont val="Tahoma"/>
            <family val="0"/>
          </rPr>
          <t>Plant Acct</t>
        </r>
      </text>
    </comment>
    <comment ref="A38" authorId="0">
      <text>
        <r>
          <rPr>
            <sz val="8"/>
            <rFont val="Tahoma"/>
            <family val="0"/>
          </rPr>
          <t>Plant Acct</t>
        </r>
      </text>
    </comment>
    <comment ref="A39" authorId="0">
      <text>
        <r>
          <rPr>
            <sz val="8"/>
            <rFont val="Tahoma"/>
            <family val="0"/>
          </rPr>
          <t>Plant Acct</t>
        </r>
      </text>
    </comment>
    <comment ref="A40" authorId="0">
      <text>
        <r>
          <rPr>
            <sz val="8"/>
            <rFont val="Tahoma"/>
            <family val="0"/>
          </rPr>
          <t>Plant Acct</t>
        </r>
      </text>
    </comment>
    <comment ref="A41" authorId="0">
      <text>
        <r>
          <rPr>
            <sz val="8"/>
            <rFont val="Tahoma"/>
            <family val="0"/>
          </rPr>
          <t>Plant Acct</t>
        </r>
      </text>
    </comment>
    <comment ref="A42" authorId="0">
      <text>
        <r>
          <rPr>
            <sz val="8"/>
            <rFont val="Tahoma"/>
            <family val="0"/>
          </rPr>
          <t>Plant Acct</t>
        </r>
      </text>
    </comment>
    <comment ref="A43" authorId="0">
      <text>
        <r>
          <rPr>
            <sz val="8"/>
            <rFont val="Tahoma"/>
            <family val="0"/>
          </rPr>
          <t>Plant Acct</t>
        </r>
      </text>
    </comment>
    <comment ref="A44" authorId="0">
      <text>
        <r>
          <rPr>
            <sz val="8"/>
            <rFont val="Tahoma"/>
            <family val="0"/>
          </rPr>
          <t>Plant Acct</t>
        </r>
      </text>
    </comment>
    <comment ref="A45" authorId="0">
      <text>
        <r>
          <rPr>
            <sz val="8"/>
            <rFont val="Tahoma"/>
            <family val="0"/>
          </rPr>
          <t>Plant Acct</t>
        </r>
      </text>
    </comment>
    <comment ref="A46" authorId="0">
      <text>
        <r>
          <rPr>
            <sz val="8"/>
            <rFont val="Tahoma"/>
            <family val="0"/>
          </rPr>
          <t>Plant Acct</t>
        </r>
      </text>
    </comment>
    <comment ref="A47" authorId="0">
      <text>
        <r>
          <rPr>
            <sz val="8"/>
            <rFont val="Tahoma"/>
            <family val="0"/>
          </rPr>
          <t>Plant Acct</t>
        </r>
      </text>
    </comment>
    <comment ref="A48" authorId="0">
      <text>
        <r>
          <rPr>
            <sz val="8"/>
            <rFont val="Tahoma"/>
            <family val="0"/>
          </rPr>
          <t>Plant Acct</t>
        </r>
      </text>
    </comment>
    <comment ref="A49" authorId="0">
      <text>
        <r>
          <rPr>
            <sz val="8"/>
            <rFont val="Tahoma"/>
            <family val="0"/>
          </rPr>
          <t>Plant Acct</t>
        </r>
      </text>
    </comment>
    <comment ref="A27" authorId="1">
      <text>
        <r>
          <rPr>
            <sz val="8"/>
            <rFont val="Tahoma"/>
            <family val="0"/>
          </rPr>
          <t>Plant Acct</t>
        </r>
      </text>
    </comment>
    <comment ref="A28" authorId="1">
      <text>
        <r>
          <rPr>
            <sz val="8"/>
            <rFont val="Tahoma"/>
            <family val="0"/>
          </rPr>
          <t>Plant Acct</t>
        </r>
      </text>
    </comment>
    <comment ref="A50" authorId="1">
      <text>
        <r>
          <rPr>
            <sz val="8"/>
            <rFont val="Tahoma"/>
            <family val="0"/>
          </rPr>
          <t>Plant Acct</t>
        </r>
      </text>
    </comment>
    <comment ref="B4" authorId="1">
      <text>
        <r>
          <rPr>
            <sz val="8"/>
            <rFont val="Tahoma"/>
            <family val="0"/>
          </rPr>
          <t>Years</t>
        </r>
      </text>
    </comment>
    <comment ref="B5" authorId="1">
      <text>
        <r>
          <rPr>
            <sz val="8"/>
            <rFont val="Tahoma"/>
            <family val="0"/>
          </rPr>
          <t>Periods 13 mo Avg</t>
        </r>
      </text>
    </comment>
    <comment ref="C5" authorId="1">
      <text>
        <r>
          <rPr>
            <sz val="8"/>
            <rFont val="Tahoma"/>
            <family val="0"/>
          </rPr>
          <t>Periods 13 mo Avg</t>
        </r>
      </text>
    </comment>
    <comment ref="D4" authorId="1">
      <text>
        <r>
          <rPr>
            <sz val="8"/>
            <rFont val="Tahoma"/>
            <family val="0"/>
          </rPr>
          <t>Years</t>
        </r>
      </text>
    </comment>
    <comment ref="D5" authorId="1">
      <text>
        <r>
          <rPr>
            <sz val="8"/>
            <rFont val="Tahoma"/>
            <family val="0"/>
          </rPr>
          <t>Periods 13 mo Avg</t>
        </r>
      </text>
    </comment>
    <comment ref="E5" authorId="1">
      <text>
        <r>
          <rPr>
            <sz val="8"/>
            <rFont val="Tahoma"/>
            <family val="0"/>
          </rPr>
          <t>Periods 13 mo Avg</t>
        </r>
      </text>
    </comment>
    <comment ref="F4" authorId="1">
      <text>
        <r>
          <rPr>
            <sz val="8"/>
            <rFont val="Tahoma"/>
            <family val="0"/>
          </rPr>
          <t>Years</t>
        </r>
      </text>
    </comment>
    <comment ref="F5" authorId="1">
      <text>
        <r>
          <rPr>
            <sz val="8"/>
            <rFont val="Tahoma"/>
            <family val="0"/>
          </rPr>
          <t>Periods 13 mo Avg</t>
        </r>
      </text>
    </comment>
    <comment ref="G5" authorId="1">
      <text>
        <r>
          <rPr>
            <sz val="8"/>
            <rFont val="Tahoma"/>
            <family val="0"/>
          </rPr>
          <t>Periods 13 mo Avg</t>
        </r>
      </text>
    </comment>
    <comment ref="H4" authorId="1">
      <text>
        <r>
          <rPr>
            <sz val="8"/>
            <rFont val="Tahoma"/>
            <family val="0"/>
          </rPr>
          <t>Years</t>
        </r>
      </text>
    </comment>
    <comment ref="H5" authorId="1">
      <text>
        <r>
          <rPr>
            <sz val="8"/>
            <rFont val="Tahoma"/>
            <family val="0"/>
          </rPr>
          <t>Periods 13 mo Avg</t>
        </r>
      </text>
    </comment>
    <comment ref="I5" authorId="1">
      <text>
        <r>
          <rPr>
            <sz val="8"/>
            <rFont val="Tahoma"/>
            <family val="0"/>
          </rPr>
          <t>Periods 13 mo Avg</t>
        </r>
      </text>
    </comment>
    <comment ref="J4" authorId="1">
      <text>
        <r>
          <rPr>
            <sz val="8"/>
            <rFont val="Tahoma"/>
            <family val="0"/>
          </rPr>
          <t>Years</t>
        </r>
      </text>
    </comment>
    <comment ref="J5" authorId="1">
      <text>
        <r>
          <rPr>
            <sz val="8"/>
            <rFont val="Tahoma"/>
            <family val="0"/>
          </rPr>
          <t>Periods 13 mo Avg</t>
        </r>
      </text>
    </comment>
    <comment ref="K5" authorId="1">
      <text>
        <r>
          <rPr>
            <sz val="8"/>
            <rFont val="Tahoma"/>
            <family val="0"/>
          </rPr>
          <t>Periods 13 mo Avg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LIB=Aday Rate Case
CBE=5 Yr Plant History
FGD=Y
BGD=Y
FGL=Y
BGL=Y
SUP=N
BBF=N
NTS=Y
VAL=Y
RHD=N
LCK=N
RFH=N
BBK=Y
OVF=N
IAB=N
BAZ=N
EAZ=N
R01=Plant Acct
C01=Years
C02=Periods 13 mo Avg
RGR=adaytum_row_2
RGC=adaytum_col_2
RGD=adaytum_data_2
VID=4FFF056011A363C0
CHK=1833704237
SLO=D
SLD=NNN
</t>
        </r>
      </text>
    </comment>
  </commentList>
</comments>
</file>

<file path=xl/comments3.xml><?xml version="1.0" encoding="utf-8"?>
<comments xmlns="http://schemas.openxmlformats.org/spreadsheetml/2006/main">
  <authors>
    <author>Christina Kwan</author>
    <author>Sue Richards</author>
  </authors>
  <commentList>
    <comment ref="A6" authorId="0">
      <text>
        <r>
          <rPr>
            <sz val="8"/>
            <rFont val="Tahoma"/>
            <family val="0"/>
          </rPr>
          <t>Book Depr Acct</t>
        </r>
      </text>
    </comment>
    <comment ref="A7" authorId="0">
      <text>
        <r>
          <rPr>
            <sz val="8"/>
            <rFont val="Tahoma"/>
            <family val="0"/>
          </rPr>
          <t>Book Depr Acct</t>
        </r>
      </text>
    </comment>
    <comment ref="A8" authorId="0">
      <text>
        <r>
          <rPr>
            <sz val="8"/>
            <rFont val="Tahoma"/>
            <family val="0"/>
          </rPr>
          <t>Book Depr Acct</t>
        </r>
      </text>
    </comment>
    <comment ref="A9" authorId="0">
      <text>
        <r>
          <rPr>
            <sz val="8"/>
            <rFont val="Tahoma"/>
            <family val="0"/>
          </rPr>
          <t>Book Depr Acct</t>
        </r>
      </text>
    </comment>
    <comment ref="A10" authorId="0">
      <text>
        <r>
          <rPr>
            <sz val="8"/>
            <rFont val="Tahoma"/>
            <family val="0"/>
          </rPr>
          <t>Book Depr Acct</t>
        </r>
      </text>
    </comment>
    <comment ref="A11" authorId="0">
      <text>
        <r>
          <rPr>
            <sz val="8"/>
            <rFont val="Tahoma"/>
            <family val="0"/>
          </rPr>
          <t>Book Depr Acct</t>
        </r>
      </text>
    </comment>
    <comment ref="A12" authorId="0">
      <text>
        <r>
          <rPr>
            <sz val="8"/>
            <rFont val="Tahoma"/>
            <family val="0"/>
          </rPr>
          <t>Book Depr Acct</t>
        </r>
      </text>
    </comment>
    <comment ref="A13" authorId="0">
      <text>
        <r>
          <rPr>
            <sz val="8"/>
            <rFont val="Tahoma"/>
            <family val="0"/>
          </rPr>
          <t>Book Depr Acct</t>
        </r>
      </text>
    </comment>
    <comment ref="A14" authorId="0">
      <text>
        <r>
          <rPr>
            <sz val="8"/>
            <rFont val="Tahoma"/>
            <family val="0"/>
          </rPr>
          <t>Book Depr Acct</t>
        </r>
      </text>
    </comment>
    <comment ref="A15" authorId="0">
      <text>
        <r>
          <rPr>
            <sz val="8"/>
            <rFont val="Tahoma"/>
            <family val="0"/>
          </rPr>
          <t>Book Depr Acct</t>
        </r>
      </text>
    </comment>
    <comment ref="A16" authorId="0">
      <text>
        <r>
          <rPr>
            <sz val="8"/>
            <rFont val="Tahoma"/>
            <family val="0"/>
          </rPr>
          <t>Book Depr Acct</t>
        </r>
      </text>
    </comment>
    <comment ref="A17" authorId="0">
      <text>
        <r>
          <rPr>
            <sz val="8"/>
            <rFont val="Tahoma"/>
            <family val="0"/>
          </rPr>
          <t>Book Depr Acct</t>
        </r>
      </text>
    </comment>
    <comment ref="A18" authorId="0">
      <text>
        <r>
          <rPr>
            <sz val="8"/>
            <rFont val="Tahoma"/>
            <family val="0"/>
          </rPr>
          <t>Book Depr Acct</t>
        </r>
      </text>
    </comment>
    <comment ref="A19" authorId="0">
      <text>
        <r>
          <rPr>
            <sz val="8"/>
            <rFont val="Tahoma"/>
            <family val="0"/>
          </rPr>
          <t>Book Depr Acct</t>
        </r>
      </text>
    </comment>
    <comment ref="A20" authorId="0">
      <text>
        <r>
          <rPr>
            <sz val="8"/>
            <rFont val="Tahoma"/>
            <family val="0"/>
          </rPr>
          <t>Book Depr Acct</t>
        </r>
      </text>
    </comment>
    <comment ref="A21" authorId="0">
      <text>
        <r>
          <rPr>
            <sz val="8"/>
            <rFont val="Tahoma"/>
            <family val="0"/>
          </rPr>
          <t>Book Depr Acct</t>
        </r>
      </text>
    </comment>
    <comment ref="A22" authorId="0">
      <text>
        <r>
          <rPr>
            <sz val="8"/>
            <rFont val="Tahoma"/>
            <family val="0"/>
          </rPr>
          <t>Book Depr Acct</t>
        </r>
      </text>
    </comment>
    <comment ref="A23" authorId="0">
      <text>
        <r>
          <rPr>
            <sz val="8"/>
            <rFont val="Tahoma"/>
            <family val="0"/>
          </rPr>
          <t>Book Depr Acct</t>
        </r>
      </text>
    </comment>
    <comment ref="A24" authorId="0">
      <text>
        <r>
          <rPr>
            <sz val="8"/>
            <rFont val="Tahoma"/>
            <family val="0"/>
          </rPr>
          <t>Book Depr Acct</t>
        </r>
      </text>
    </comment>
    <comment ref="A25" authorId="0">
      <text>
        <r>
          <rPr>
            <sz val="8"/>
            <rFont val="Tahoma"/>
            <family val="0"/>
          </rPr>
          <t>Book Depr Acct</t>
        </r>
      </text>
    </comment>
    <comment ref="A26" authorId="0">
      <text>
        <r>
          <rPr>
            <sz val="8"/>
            <rFont val="Tahoma"/>
            <family val="0"/>
          </rPr>
          <t>Book Depr Acct</t>
        </r>
      </text>
    </comment>
    <comment ref="A29" authorId="0">
      <text>
        <r>
          <rPr>
            <sz val="8"/>
            <rFont val="Tahoma"/>
            <family val="0"/>
          </rPr>
          <t>Book Depr Acct</t>
        </r>
      </text>
    </comment>
    <comment ref="A30" authorId="0">
      <text>
        <r>
          <rPr>
            <sz val="8"/>
            <rFont val="Tahoma"/>
            <family val="0"/>
          </rPr>
          <t>Book Depr Acct</t>
        </r>
      </text>
    </comment>
    <comment ref="A31" authorId="0">
      <text>
        <r>
          <rPr>
            <sz val="8"/>
            <rFont val="Tahoma"/>
            <family val="0"/>
          </rPr>
          <t>Book Depr Acct</t>
        </r>
      </text>
    </comment>
    <comment ref="A32" authorId="0">
      <text>
        <r>
          <rPr>
            <sz val="8"/>
            <rFont val="Tahoma"/>
            <family val="0"/>
          </rPr>
          <t>Book Depr Acct</t>
        </r>
      </text>
    </comment>
    <comment ref="A33" authorId="0">
      <text>
        <r>
          <rPr>
            <sz val="8"/>
            <rFont val="Tahoma"/>
            <family val="0"/>
          </rPr>
          <t>Book Depr Acct</t>
        </r>
      </text>
    </comment>
    <comment ref="A34" authorId="0">
      <text>
        <r>
          <rPr>
            <sz val="8"/>
            <rFont val="Tahoma"/>
            <family val="0"/>
          </rPr>
          <t>Book Depr Acct</t>
        </r>
      </text>
    </comment>
    <comment ref="A35" authorId="0">
      <text>
        <r>
          <rPr>
            <sz val="8"/>
            <rFont val="Tahoma"/>
            <family val="0"/>
          </rPr>
          <t>Book Depr Acct</t>
        </r>
      </text>
    </comment>
    <comment ref="A36" authorId="0">
      <text>
        <r>
          <rPr>
            <sz val="8"/>
            <rFont val="Tahoma"/>
            <family val="0"/>
          </rPr>
          <t>Book Depr Acct</t>
        </r>
      </text>
    </comment>
    <comment ref="A37" authorId="0">
      <text>
        <r>
          <rPr>
            <sz val="8"/>
            <rFont val="Tahoma"/>
            <family val="0"/>
          </rPr>
          <t>Book Depr Acct</t>
        </r>
      </text>
    </comment>
    <comment ref="A38" authorId="0">
      <text>
        <r>
          <rPr>
            <sz val="8"/>
            <rFont val="Tahoma"/>
            <family val="0"/>
          </rPr>
          <t>Book Depr Acct</t>
        </r>
      </text>
    </comment>
    <comment ref="A39" authorId="0">
      <text>
        <r>
          <rPr>
            <sz val="8"/>
            <rFont val="Tahoma"/>
            <family val="0"/>
          </rPr>
          <t>Book Depr Acct</t>
        </r>
      </text>
    </comment>
    <comment ref="A40" authorId="0">
      <text>
        <r>
          <rPr>
            <sz val="8"/>
            <rFont val="Tahoma"/>
            <family val="0"/>
          </rPr>
          <t>Book Depr Acct</t>
        </r>
      </text>
    </comment>
    <comment ref="A41" authorId="0">
      <text>
        <r>
          <rPr>
            <sz val="8"/>
            <rFont val="Tahoma"/>
            <family val="0"/>
          </rPr>
          <t>Book Depr Acct</t>
        </r>
      </text>
    </comment>
    <comment ref="A42" authorId="0">
      <text>
        <r>
          <rPr>
            <sz val="8"/>
            <rFont val="Tahoma"/>
            <family val="0"/>
          </rPr>
          <t>Book Depr Acct</t>
        </r>
      </text>
    </comment>
    <comment ref="A43" authorId="0">
      <text>
        <r>
          <rPr>
            <sz val="8"/>
            <rFont val="Tahoma"/>
            <family val="0"/>
          </rPr>
          <t>Book Depr Acct</t>
        </r>
      </text>
    </comment>
    <comment ref="A44" authorId="0">
      <text>
        <r>
          <rPr>
            <sz val="8"/>
            <rFont val="Tahoma"/>
            <family val="0"/>
          </rPr>
          <t>Book Depr Acct</t>
        </r>
      </text>
    </comment>
    <comment ref="A45" authorId="0">
      <text>
        <r>
          <rPr>
            <sz val="8"/>
            <rFont val="Tahoma"/>
            <family val="0"/>
          </rPr>
          <t>Book Depr Acct</t>
        </r>
      </text>
    </comment>
    <comment ref="A46" authorId="0">
      <text>
        <r>
          <rPr>
            <sz val="8"/>
            <rFont val="Tahoma"/>
            <family val="0"/>
          </rPr>
          <t>Book Depr Acct</t>
        </r>
      </text>
    </comment>
    <comment ref="A47" authorId="0">
      <text>
        <r>
          <rPr>
            <sz val="8"/>
            <rFont val="Tahoma"/>
            <family val="0"/>
          </rPr>
          <t>Book Depr Acct</t>
        </r>
      </text>
    </comment>
    <comment ref="A48" authorId="0">
      <text>
        <r>
          <rPr>
            <sz val="8"/>
            <rFont val="Tahoma"/>
            <family val="0"/>
          </rPr>
          <t>Book Depr Acct</t>
        </r>
      </text>
    </comment>
    <comment ref="A49" authorId="0">
      <text>
        <r>
          <rPr>
            <sz val="8"/>
            <rFont val="Tahoma"/>
            <family val="0"/>
          </rPr>
          <t>Book Depr Acct</t>
        </r>
      </text>
    </comment>
    <comment ref="A50" authorId="0">
      <text>
        <r>
          <rPr>
            <sz val="8"/>
            <rFont val="Tahoma"/>
            <family val="0"/>
          </rPr>
          <t>Book Depr Acct</t>
        </r>
      </text>
    </comment>
    <comment ref="A51" authorId="0">
      <text>
        <r>
          <rPr>
            <sz val="8"/>
            <rFont val="Tahoma"/>
            <family val="0"/>
          </rPr>
          <t>Book Depr Acct</t>
        </r>
      </text>
    </comment>
    <comment ref="A27" authorId="1">
      <text>
        <r>
          <rPr>
            <sz val="8"/>
            <rFont val="Tahoma"/>
            <family val="0"/>
          </rPr>
          <t>Book Depr Acct</t>
        </r>
      </text>
    </comment>
    <comment ref="A28" authorId="1">
      <text>
        <r>
          <rPr>
            <sz val="8"/>
            <rFont val="Tahoma"/>
            <family val="0"/>
          </rPr>
          <t>Book Depr Acct</t>
        </r>
      </text>
    </comment>
    <comment ref="B4" authorId="1">
      <text>
        <r>
          <rPr>
            <sz val="8"/>
            <rFont val="Tahoma"/>
            <family val="0"/>
          </rPr>
          <t>Years</t>
        </r>
      </text>
    </comment>
    <comment ref="B5" authorId="1">
      <text>
        <r>
          <rPr>
            <sz val="8"/>
            <rFont val="Tahoma"/>
            <family val="0"/>
          </rPr>
          <t>Periods 13 mo Avg</t>
        </r>
      </text>
    </comment>
    <comment ref="C5" authorId="1">
      <text>
        <r>
          <rPr>
            <sz val="8"/>
            <rFont val="Tahoma"/>
            <family val="0"/>
          </rPr>
          <t>Periods 13 mo Avg</t>
        </r>
      </text>
    </comment>
    <comment ref="D4" authorId="1">
      <text>
        <r>
          <rPr>
            <sz val="8"/>
            <rFont val="Tahoma"/>
            <family val="0"/>
          </rPr>
          <t>Years</t>
        </r>
      </text>
    </comment>
    <comment ref="D5" authorId="1">
      <text>
        <r>
          <rPr>
            <sz val="8"/>
            <rFont val="Tahoma"/>
            <family val="0"/>
          </rPr>
          <t>Periods 13 mo Avg</t>
        </r>
      </text>
    </comment>
    <comment ref="E5" authorId="1">
      <text>
        <r>
          <rPr>
            <sz val="8"/>
            <rFont val="Tahoma"/>
            <family val="0"/>
          </rPr>
          <t>Periods 13 mo Avg</t>
        </r>
      </text>
    </comment>
    <comment ref="F4" authorId="1">
      <text>
        <r>
          <rPr>
            <sz val="8"/>
            <rFont val="Tahoma"/>
            <family val="0"/>
          </rPr>
          <t>Years</t>
        </r>
      </text>
    </comment>
    <comment ref="F5" authorId="1">
      <text>
        <r>
          <rPr>
            <sz val="8"/>
            <rFont val="Tahoma"/>
            <family val="0"/>
          </rPr>
          <t>Periods 13 mo Avg</t>
        </r>
      </text>
    </comment>
    <comment ref="G5" authorId="1">
      <text>
        <r>
          <rPr>
            <sz val="8"/>
            <rFont val="Tahoma"/>
            <family val="0"/>
          </rPr>
          <t>Periods 13 mo Avg</t>
        </r>
      </text>
    </comment>
    <comment ref="H4" authorId="1">
      <text>
        <r>
          <rPr>
            <sz val="8"/>
            <rFont val="Tahoma"/>
            <family val="0"/>
          </rPr>
          <t>Years</t>
        </r>
      </text>
    </comment>
    <comment ref="H5" authorId="1">
      <text>
        <r>
          <rPr>
            <sz val="8"/>
            <rFont val="Tahoma"/>
            <family val="0"/>
          </rPr>
          <t>Periods 13 mo Avg</t>
        </r>
      </text>
    </comment>
    <comment ref="I5" authorId="1">
      <text>
        <r>
          <rPr>
            <sz val="8"/>
            <rFont val="Tahoma"/>
            <family val="0"/>
          </rPr>
          <t>Periods 13 mo Avg</t>
        </r>
      </text>
    </comment>
    <comment ref="J4" authorId="1">
      <text>
        <r>
          <rPr>
            <sz val="8"/>
            <rFont val="Tahoma"/>
            <family val="0"/>
          </rPr>
          <t>Years</t>
        </r>
      </text>
    </comment>
    <comment ref="J5" authorId="1">
      <text>
        <r>
          <rPr>
            <sz val="8"/>
            <rFont val="Tahoma"/>
            <family val="0"/>
          </rPr>
          <t>Periods 13 mo Avg</t>
        </r>
      </text>
    </comment>
    <comment ref="K5" authorId="1">
      <text>
        <r>
          <rPr>
            <sz val="8"/>
            <rFont val="Tahoma"/>
            <family val="0"/>
          </rPr>
          <t>Periods 13 mo Avg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LIB=Aday Rate Case
CBE=5 Yr Book Depr
FGD=Y
BGD=Y
FGL=Y
BGL=Y
SUP=N
BBF=N
NTS=Y
VAL=Y
RHD=N
LCK=N
RFH=N
BBK=Y
OVF=N
IAB=N
BAZ=N
EAZ=N
R01=Book Depr Acct
C01=Years
C02=Periods 13 mo Avg
RGR=adaytum_row_1
RGC=adaytum_col_1
RGD=adaytum_data_1
VID=03A2976111A363C0
CHK=140689900
SLO=D
SLD=NNN
</t>
        </r>
      </text>
    </comment>
  </commentList>
</comments>
</file>

<file path=xl/comments4.xml><?xml version="1.0" encoding="utf-8"?>
<comments xmlns="http://schemas.openxmlformats.org/spreadsheetml/2006/main">
  <authors>
    <author>Christina Kwan</author>
    <author>Sue Richards</author>
  </authors>
  <commentList>
    <comment ref="A2" authorId="0">
      <text>
        <r>
          <rPr>
            <sz val="8"/>
            <rFont val="Tahoma"/>
            <family val="0"/>
          </rPr>
          <t>Periods</t>
        </r>
      </text>
    </comment>
    <comment ref="B2" authorId="0">
      <text>
        <r>
          <rPr>
            <sz val="8"/>
            <rFont val="Tahoma"/>
            <family val="0"/>
          </rPr>
          <t>Rep Companies</t>
        </r>
      </text>
    </comment>
    <comment ref="A5" authorId="0">
      <text>
        <r>
          <rPr>
            <sz val="8"/>
            <rFont val="Tahoma"/>
            <family val="0"/>
          </rPr>
          <t>P&amp;L Calc (F204)</t>
        </r>
      </text>
    </comment>
    <comment ref="A6" authorId="0">
      <text>
        <r>
          <rPr>
            <sz val="8"/>
            <rFont val="Tahoma"/>
            <family val="0"/>
          </rPr>
          <t>P&amp;L Calc (F204)</t>
        </r>
      </text>
    </comment>
    <comment ref="A7" authorId="0">
      <text>
        <r>
          <rPr>
            <sz val="8"/>
            <rFont val="Tahoma"/>
            <family val="0"/>
          </rPr>
          <t>P&amp;L Calc (F204)</t>
        </r>
      </text>
    </comment>
    <comment ref="A8" authorId="0">
      <text>
        <r>
          <rPr>
            <sz val="8"/>
            <rFont val="Tahoma"/>
            <family val="0"/>
          </rPr>
          <t>P&amp;L Calc (F204)</t>
        </r>
      </text>
    </comment>
    <comment ref="A9" authorId="0">
      <text>
        <r>
          <rPr>
            <sz val="8"/>
            <rFont val="Tahoma"/>
            <family val="0"/>
          </rPr>
          <t>P&amp;L Calc (F204)</t>
        </r>
      </text>
    </comment>
    <comment ref="A13" authorId="0">
      <text>
        <r>
          <rPr>
            <sz val="8"/>
            <rFont val="Tahoma"/>
            <family val="0"/>
          </rPr>
          <t>P&amp;L Calc (F204)</t>
        </r>
      </text>
    </comment>
    <comment ref="A11" authorId="0">
      <text>
        <r>
          <rPr>
            <sz val="8"/>
            <rFont val="Tahoma"/>
            <family val="0"/>
          </rPr>
          <t>P&amp;L Calc (F204)</t>
        </r>
      </text>
    </comment>
    <comment ref="A12" authorId="0">
      <text>
        <r>
          <rPr>
            <sz val="8"/>
            <rFont val="Tahoma"/>
            <family val="0"/>
          </rPr>
          <t>P&amp;L Calc (F204)</t>
        </r>
      </text>
    </comment>
    <comment ref="A18" authorId="1">
      <text>
        <r>
          <rPr>
            <sz val="10"/>
            <rFont val="Tahoma"/>
            <family val="0"/>
          </rPr>
          <t>Rep Companies</t>
        </r>
      </text>
    </comment>
    <comment ref="B18" authorId="1">
      <text>
        <r>
          <rPr>
            <sz val="10"/>
            <rFont val="Tahoma"/>
            <family val="0"/>
          </rPr>
          <t>5 yr Scenarios</t>
        </r>
      </text>
    </comment>
    <comment ref="C18" authorId="1">
      <text>
        <r>
          <rPr>
            <sz val="10"/>
            <rFont val="Tahoma"/>
            <family val="0"/>
          </rPr>
          <t>Periods</t>
        </r>
      </text>
    </comment>
    <comment ref="A21" authorId="1">
      <text>
        <r>
          <rPr>
            <sz val="10"/>
            <rFont val="Tahoma"/>
            <family val="0"/>
          </rPr>
          <t>TOIT</t>
        </r>
      </text>
    </comment>
    <comment ref="A22" authorId="1">
      <text>
        <r>
          <rPr>
            <sz val="10"/>
            <rFont val="Tahoma"/>
            <family val="0"/>
          </rPr>
          <t>TOIT</t>
        </r>
      </text>
    </comment>
    <comment ref="A23" authorId="1">
      <text>
        <r>
          <rPr>
            <sz val="10"/>
            <rFont val="Tahoma"/>
            <family val="0"/>
          </rPr>
          <t>TOIT</t>
        </r>
      </text>
    </comment>
    <comment ref="A24" authorId="1">
      <text>
        <r>
          <rPr>
            <sz val="10"/>
            <rFont val="Tahoma"/>
            <family val="0"/>
          </rPr>
          <t>TOIT</t>
        </r>
      </text>
    </comment>
    <comment ref="A25" authorId="1">
      <text>
        <r>
          <rPr>
            <sz val="10"/>
            <rFont val="Tahoma"/>
            <family val="0"/>
          </rPr>
          <t>TOIT</t>
        </r>
      </text>
    </comment>
    <comment ref="A26" authorId="1">
      <text>
        <r>
          <rPr>
            <sz val="10"/>
            <rFont val="Tahoma"/>
            <family val="0"/>
          </rPr>
          <t>TOIT</t>
        </r>
      </text>
    </comment>
    <comment ref="A27" authorId="1">
      <text>
        <r>
          <rPr>
            <sz val="10"/>
            <rFont val="Tahoma"/>
            <family val="0"/>
          </rPr>
          <t>TOIT</t>
        </r>
      </text>
    </comment>
    <comment ref="A28" authorId="1">
      <text>
        <r>
          <rPr>
            <sz val="10"/>
            <rFont val="Tahoma"/>
            <family val="0"/>
          </rPr>
          <t>TOIT</t>
        </r>
      </text>
    </comment>
    <comment ref="A29" authorId="1">
      <text>
        <r>
          <rPr>
            <sz val="10"/>
            <rFont val="Tahoma"/>
            <family val="0"/>
          </rPr>
          <t>TOIT</t>
        </r>
      </text>
    </comment>
    <comment ref="A30" authorId="1">
      <text>
        <r>
          <rPr>
            <sz val="10"/>
            <rFont val="Tahoma"/>
            <family val="0"/>
          </rPr>
          <t>TOIT</t>
        </r>
      </text>
    </comment>
    <comment ref="A31" authorId="1">
      <text>
        <r>
          <rPr>
            <sz val="10"/>
            <rFont val="Tahoma"/>
            <family val="0"/>
          </rPr>
          <t>TOIT</t>
        </r>
      </text>
    </comment>
    <comment ref="A32" authorId="1">
      <text>
        <r>
          <rPr>
            <sz val="10"/>
            <rFont val="Tahoma"/>
            <family val="0"/>
          </rPr>
          <t>TOIT</t>
        </r>
      </text>
    </comment>
    <comment ref="A33" authorId="1">
      <text>
        <r>
          <rPr>
            <sz val="10"/>
            <rFont val="Tahoma"/>
            <family val="0"/>
          </rPr>
          <t>TOIT</t>
        </r>
      </text>
    </comment>
    <comment ref="B20" authorId="1">
      <text>
        <r>
          <rPr>
            <sz val="10"/>
            <rFont val="Tahoma"/>
            <family val="0"/>
          </rPr>
          <t>5 Year Plan</t>
        </r>
      </text>
    </comment>
    <comment ref="F4" authorId="1">
      <text>
        <r>
          <rPr>
            <sz val="8"/>
            <rFont val="Tahoma"/>
            <family val="0"/>
          </rPr>
          <t>5 Year Plan</t>
        </r>
      </text>
    </comment>
    <comment ref="A40" authorId="1">
      <text>
        <r>
          <rPr>
            <sz val="8"/>
            <rFont val="Tahoma"/>
            <family val="0"/>
          </rPr>
          <t>Map Co</t>
        </r>
      </text>
    </comment>
    <comment ref="B40" authorId="1">
      <text>
        <r>
          <rPr>
            <sz val="8"/>
            <rFont val="Tahoma"/>
            <family val="0"/>
          </rPr>
          <t>Map Div</t>
        </r>
      </text>
    </comment>
    <comment ref="A43" authorId="1">
      <text>
        <r>
          <rPr>
            <sz val="8"/>
            <rFont val="Tahoma"/>
            <family val="0"/>
          </rPr>
          <t>Map FRSADA</t>
        </r>
      </text>
    </comment>
    <comment ref="A44" authorId="1">
      <text>
        <r>
          <rPr>
            <sz val="8"/>
            <rFont val="Tahoma"/>
            <family val="0"/>
          </rPr>
          <t>Map FRSADA</t>
        </r>
      </text>
    </comment>
    <comment ref="B42" authorId="1">
      <text>
        <r>
          <rPr>
            <sz val="8"/>
            <rFont val="Tahoma"/>
            <family val="0"/>
          </rPr>
          <t>LineItem Periods</t>
        </r>
      </text>
    </comment>
    <comment ref="A10" authorId="1">
      <text>
        <r>
          <rPr>
            <sz val="8"/>
            <rFont val="Tahoma"/>
            <family val="0"/>
          </rPr>
          <t>P&amp;L Calc (F204)</t>
        </r>
      </text>
    </comment>
    <comment ref="A14" authorId="1">
      <text>
        <r>
          <rPr>
            <sz val="8"/>
            <rFont val="Tahoma"/>
            <family val="0"/>
          </rPr>
          <t>Rep P&amp;L Calc 12 months</t>
        </r>
      </text>
    </comment>
    <comment ref="A15" authorId="1">
      <text>
        <r>
          <rPr>
            <sz val="8"/>
            <rFont val="Tahoma"/>
            <family val="0"/>
          </rPr>
          <t>Rep P&amp;L Calc 12 months</t>
        </r>
      </text>
    </comment>
    <comment ref="E4" authorId="1">
      <text>
        <r>
          <rPr>
            <sz val="8"/>
            <rFont val="Tahoma"/>
            <family val="0"/>
          </rPr>
          <t>5 Year Plan</t>
        </r>
      </text>
    </comment>
    <comment ref="D4" authorId="1">
      <text>
        <r>
          <rPr>
            <sz val="8"/>
            <rFont val="Tahoma"/>
            <family val="0"/>
          </rPr>
          <t>5 Year Plan</t>
        </r>
      </text>
    </comment>
    <comment ref="C4" authorId="1">
      <text>
        <r>
          <rPr>
            <sz val="8"/>
            <rFont val="Tahoma"/>
            <family val="0"/>
          </rPr>
          <t>YTD Version w/ Forecast</t>
        </r>
      </text>
    </comment>
    <comment ref="B4" authorId="1">
      <text>
        <r>
          <rPr>
            <sz val="8"/>
            <rFont val="Tahoma"/>
            <family val="0"/>
          </rPr>
          <t>YTD Version w/ Forecast</t>
        </r>
      </text>
    </comment>
    <comment ref="A39" authorId="1">
      <text>
        <r>
          <rPr>
            <sz val="8"/>
            <rFont val="Tahoma"/>
            <family val="0"/>
          </rPr>
          <t xml:space="preserve">Adaytum2
TYP=V
LIB=Import
CBE=Imp FRSADA Map 2007
FGD=Y
BGD=Y
FGL=Y
BGL=N
SUP=N
BBF=N
NTS=Y
VAL=Y
RHD=N
LCK=N
RFH=N
BBK=Y
OVF=N
IAB=N
BAZ=N
EAZ=N
P01=Map Co
P02=Map Div
R01=Map FRSADA
C01=LineItem Periods
SLO=D
SLD=NNNN
RGP=adaytum_page_3
RGR=adaytum_row_3
RGC=adaytum_col_3
RGD=adaytum_data_3
VID=1037B4C715C563C0
CHK=-768750648
</t>
        </r>
      </text>
    </comment>
    <comment ref="A17" authorId="1">
      <text>
        <r>
          <rPr>
            <sz val="8"/>
            <rFont val="Tahoma"/>
            <family val="0"/>
          </rPr>
          <t xml:space="preserve">Adaytum2
TYP=V
SVR=
LIB=Five Yr Plan
CBE=5 Yr Taxes Other Than Inc
FGD=Y
BGD=Y
FGL=Y
BGL=N
SUP=N
BBF=N
NTS=Y
VAL=Y
RHD=N
LCK=N
RFH=N
BBK=Y
OVF=N
IAB=N
BAZ=N
EAZ=N
RGP=adaytum_page_2
RGR=adaytum_row_2
RGC=adaytum_col_2
RGD=adaytum_data_2
P01=Rep Companies
P02=5 yr Scenarios
R01=TOIT
C01=5 Year Plan
VID=0F4D364A4CCD63C0
CHK=1072213918
</t>
        </r>
      </text>
    </comment>
    <comment ref="C2" authorId="1">
      <text>
        <r>
          <rPr>
            <sz val="8"/>
            <rFont val="Tahoma"/>
            <family val="0"/>
          </rPr>
          <t>5 yr Scenarios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P&amp;L
FGD=Y
BGD=Y
FGL=Y
BGL=Y
SUP=N
BBF=N
NTS=Y
VAL=Y
RHD=N
LCK=N
RFH=N
BBK=Y
OVF=N
IAB=N
BAZ=N
EAZ=N
RGP=adaytum_page_1
RGR=adaytum_row_1
RGC=adaytum_col_1
RGD=adaytum_data_1
P01=Periods
P02=Rep Companies
P03=5 yr Scenarios
R01=P&amp;L Calc (F204)
C01=5 Year Plan
VID=0AE7C52313D463C0
CHK=1762355820
</t>
        </r>
      </text>
    </comment>
  </commentList>
</comments>
</file>

<file path=xl/comments5.xml><?xml version="1.0" encoding="utf-8"?>
<comments xmlns="http://schemas.openxmlformats.org/spreadsheetml/2006/main">
  <authors>
    <author>Sue Richards</author>
  </authors>
  <commentList>
    <comment ref="A2" authorId="0">
      <text>
        <r>
          <rPr>
            <sz val="8"/>
            <rFont val="Tahoma"/>
            <family val="0"/>
          </rPr>
          <t>Dollars &amp; Hours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A5" authorId="0">
      <text>
        <r>
          <rPr>
            <sz val="8"/>
            <rFont val="Tahoma"/>
            <family val="0"/>
          </rPr>
          <t>Majors</t>
        </r>
      </text>
    </comment>
    <comment ref="A6" authorId="0">
      <text>
        <r>
          <rPr>
            <sz val="8"/>
            <rFont val="Tahoma"/>
            <family val="0"/>
          </rPr>
          <t>Majors</t>
        </r>
      </text>
    </comment>
    <comment ref="A7" authorId="0">
      <text>
        <r>
          <rPr>
            <sz val="8"/>
            <rFont val="Tahoma"/>
            <family val="0"/>
          </rPr>
          <t>Majors</t>
        </r>
      </text>
    </comment>
    <comment ref="A8" authorId="0">
      <text>
        <r>
          <rPr>
            <sz val="8"/>
            <rFont val="Tahoma"/>
            <family val="0"/>
          </rPr>
          <t>Majors</t>
        </r>
      </text>
    </comment>
    <comment ref="A9" authorId="0">
      <text>
        <r>
          <rPr>
            <sz val="8"/>
            <rFont val="Tahoma"/>
            <family val="0"/>
          </rPr>
          <t>Majors</t>
        </r>
      </text>
    </comment>
    <comment ref="A10" authorId="0">
      <text>
        <r>
          <rPr>
            <sz val="8"/>
            <rFont val="Tahoma"/>
            <family val="0"/>
          </rPr>
          <t>Majors</t>
        </r>
      </text>
    </comment>
    <comment ref="A11" authorId="0">
      <text>
        <r>
          <rPr>
            <sz val="8"/>
            <rFont val="Tahoma"/>
            <family val="0"/>
          </rPr>
          <t>Majors</t>
        </r>
      </text>
    </comment>
    <comment ref="A12" authorId="0">
      <text>
        <r>
          <rPr>
            <sz val="8"/>
            <rFont val="Tahoma"/>
            <family val="0"/>
          </rPr>
          <t>Majors</t>
        </r>
      </text>
    </comment>
    <comment ref="A13" authorId="0">
      <text>
        <r>
          <rPr>
            <sz val="8"/>
            <rFont val="Tahoma"/>
            <family val="0"/>
          </rPr>
          <t>Majors</t>
        </r>
      </text>
    </comment>
    <comment ref="A14" authorId="0">
      <text>
        <r>
          <rPr>
            <sz val="8"/>
            <rFont val="Tahoma"/>
            <family val="0"/>
          </rPr>
          <t>Majors</t>
        </r>
      </text>
    </comment>
    <comment ref="A15" authorId="0">
      <text>
        <r>
          <rPr>
            <sz val="8"/>
            <rFont val="Tahoma"/>
            <family val="0"/>
          </rPr>
          <t>Majors</t>
        </r>
      </text>
    </comment>
    <comment ref="A16" authorId="0">
      <text>
        <r>
          <rPr>
            <sz val="8"/>
            <rFont val="Tahoma"/>
            <family val="0"/>
          </rPr>
          <t>Majors</t>
        </r>
      </text>
    </comment>
    <comment ref="A17" authorId="0">
      <text>
        <r>
          <rPr>
            <sz val="8"/>
            <rFont val="Tahoma"/>
            <family val="0"/>
          </rPr>
          <t>Majors</t>
        </r>
      </text>
    </comment>
    <comment ref="A18" authorId="0">
      <text>
        <r>
          <rPr>
            <sz val="8"/>
            <rFont val="Tahoma"/>
            <family val="0"/>
          </rPr>
          <t>Majors</t>
        </r>
      </text>
    </comment>
    <comment ref="A19" authorId="0">
      <text>
        <r>
          <rPr>
            <sz val="8"/>
            <rFont val="Tahoma"/>
            <family val="0"/>
          </rPr>
          <t>Majors</t>
        </r>
      </text>
    </comment>
    <comment ref="A20" authorId="0">
      <text>
        <r>
          <rPr>
            <sz val="8"/>
            <rFont val="Tahoma"/>
            <family val="0"/>
          </rPr>
          <t>Majors</t>
        </r>
      </text>
    </comment>
    <comment ref="A21" authorId="0">
      <text>
        <r>
          <rPr>
            <sz val="8"/>
            <rFont val="Tahoma"/>
            <family val="0"/>
          </rPr>
          <t>Majors</t>
        </r>
      </text>
    </comment>
    <comment ref="A22" authorId="0">
      <text>
        <r>
          <rPr>
            <sz val="8"/>
            <rFont val="Tahoma"/>
            <family val="0"/>
          </rPr>
          <t>Majors</t>
        </r>
      </text>
    </comment>
    <comment ref="A23" authorId="0">
      <text>
        <r>
          <rPr>
            <sz val="8"/>
            <rFont val="Tahoma"/>
            <family val="0"/>
          </rPr>
          <t>Majors</t>
        </r>
      </text>
    </comment>
    <comment ref="A24" authorId="0">
      <text>
        <r>
          <rPr>
            <sz val="8"/>
            <rFont val="Tahoma"/>
            <family val="0"/>
          </rPr>
          <t>Majors</t>
        </r>
      </text>
    </comment>
    <comment ref="A25" authorId="0">
      <text>
        <r>
          <rPr>
            <sz val="8"/>
            <rFont val="Tahoma"/>
            <family val="0"/>
          </rPr>
          <t>Majors</t>
        </r>
      </text>
    </comment>
    <comment ref="A26" authorId="0">
      <text>
        <r>
          <rPr>
            <sz val="8"/>
            <rFont val="Tahoma"/>
            <family val="0"/>
          </rPr>
          <t>Majors</t>
        </r>
      </text>
    </comment>
    <comment ref="A27" authorId="0">
      <text>
        <r>
          <rPr>
            <sz val="8"/>
            <rFont val="Tahoma"/>
            <family val="0"/>
          </rPr>
          <t>Majors</t>
        </r>
      </text>
    </comment>
    <comment ref="A28" authorId="0">
      <text>
        <r>
          <rPr>
            <sz val="8"/>
            <rFont val="Tahoma"/>
            <family val="0"/>
          </rPr>
          <t>Majors</t>
        </r>
      </text>
    </comment>
    <comment ref="A29" authorId="0">
      <text>
        <r>
          <rPr>
            <sz val="8"/>
            <rFont val="Tahoma"/>
            <family val="0"/>
          </rPr>
          <t>Majors</t>
        </r>
      </text>
    </comment>
    <comment ref="A30" authorId="0">
      <text>
        <r>
          <rPr>
            <sz val="8"/>
            <rFont val="Tahoma"/>
            <family val="0"/>
          </rPr>
          <t>Majors</t>
        </r>
      </text>
    </comment>
    <comment ref="A31" authorId="0">
      <text>
        <r>
          <rPr>
            <sz val="8"/>
            <rFont val="Tahoma"/>
            <family val="0"/>
          </rPr>
          <t>Majors</t>
        </r>
      </text>
    </comment>
    <comment ref="A32" authorId="0">
      <text>
        <r>
          <rPr>
            <sz val="8"/>
            <rFont val="Tahoma"/>
            <family val="0"/>
          </rPr>
          <t>Majors</t>
        </r>
      </text>
    </comment>
    <comment ref="A33" authorId="0">
      <text>
        <r>
          <rPr>
            <sz val="8"/>
            <rFont val="Tahoma"/>
            <family val="0"/>
          </rPr>
          <t>Majors</t>
        </r>
      </text>
    </comment>
    <comment ref="A34" authorId="0">
      <text>
        <r>
          <rPr>
            <sz val="8"/>
            <rFont val="Tahoma"/>
            <family val="0"/>
          </rPr>
          <t>Majors</t>
        </r>
      </text>
    </comment>
    <comment ref="A35" authorId="0">
      <text>
        <r>
          <rPr>
            <sz val="8"/>
            <rFont val="Tahoma"/>
            <family val="0"/>
          </rPr>
          <t>Majors</t>
        </r>
      </text>
    </comment>
    <comment ref="A36" authorId="0">
      <text>
        <r>
          <rPr>
            <sz val="8"/>
            <rFont val="Tahoma"/>
            <family val="0"/>
          </rPr>
          <t>Majors</t>
        </r>
      </text>
    </comment>
    <comment ref="A37" authorId="0">
      <text>
        <r>
          <rPr>
            <sz val="8"/>
            <rFont val="Tahoma"/>
            <family val="0"/>
          </rPr>
          <t>Majors</t>
        </r>
      </text>
    </comment>
    <comment ref="A38" authorId="0">
      <text>
        <r>
          <rPr>
            <sz val="8"/>
            <rFont val="Tahoma"/>
            <family val="0"/>
          </rPr>
          <t>Majors</t>
        </r>
      </text>
    </comment>
    <comment ref="A39" authorId="0">
      <text>
        <r>
          <rPr>
            <sz val="8"/>
            <rFont val="Tahoma"/>
            <family val="0"/>
          </rPr>
          <t>Majors</t>
        </r>
      </text>
    </comment>
    <comment ref="A40" authorId="0">
      <text>
        <r>
          <rPr>
            <sz val="8"/>
            <rFont val="Tahoma"/>
            <family val="0"/>
          </rPr>
          <t>Majors</t>
        </r>
      </text>
    </comment>
    <comment ref="A41" authorId="0">
      <text>
        <r>
          <rPr>
            <sz val="8"/>
            <rFont val="Tahoma"/>
            <family val="0"/>
          </rPr>
          <t>Majors</t>
        </r>
      </text>
    </comment>
    <comment ref="A42" authorId="0">
      <text>
        <r>
          <rPr>
            <sz val="8"/>
            <rFont val="Tahoma"/>
            <family val="0"/>
          </rPr>
          <t>Majors</t>
        </r>
      </text>
    </comment>
    <comment ref="A43" authorId="0">
      <text>
        <r>
          <rPr>
            <sz val="8"/>
            <rFont val="Tahoma"/>
            <family val="0"/>
          </rPr>
          <t>Majors</t>
        </r>
      </text>
    </comment>
    <comment ref="A44" authorId="0">
      <text>
        <r>
          <rPr>
            <sz val="8"/>
            <rFont val="Tahoma"/>
            <family val="0"/>
          </rPr>
          <t>Majors</t>
        </r>
      </text>
    </comment>
    <comment ref="A45" authorId="0">
      <text>
        <r>
          <rPr>
            <sz val="8"/>
            <rFont val="Tahoma"/>
            <family val="0"/>
          </rPr>
          <t>Majors</t>
        </r>
      </text>
    </comment>
    <comment ref="A46" authorId="0">
      <text>
        <r>
          <rPr>
            <sz val="8"/>
            <rFont val="Tahoma"/>
            <family val="0"/>
          </rPr>
          <t>Majors</t>
        </r>
      </text>
    </comment>
    <comment ref="A47" authorId="0">
      <text>
        <r>
          <rPr>
            <sz val="8"/>
            <rFont val="Tahoma"/>
            <family val="0"/>
          </rPr>
          <t>Majors</t>
        </r>
      </text>
    </comment>
    <comment ref="A48" authorId="0">
      <text>
        <r>
          <rPr>
            <sz val="8"/>
            <rFont val="Tahoma"/>
            <family val="0"/>
          </rPr>
          <t>Majors</t>
        </r>
      </text>
    </comment>
    <comment ref="A49" authorId="0">
      <text>
        <r>
          <rPr>
            <sz val="8"/>
            <rFont val="Tahoma"/>
            <family val="0"/>
          </rPr>
          <t>Majors</t>
        </r>
      </text>
    </comment>
    <comment ref="A50" authorId="0">
      <text>
        <r>
          <rPr>
            <sz val="8"/>
            <rFont val="Tahoma"/>
            <family val="0"/>
          </rPr>
          <t>Majors</t>
        </r>
      </text>
    </comment>
    <comment ref="A51" authorId="0">
      <text>
        <r>
          <rPr>
            <sz val="8"/>
            <rFont val="Tahoma"/>
            <family val="0"/>
          </rPr>
          <t>Majors</t>
        </r>
      </text>
    </comment>
    <comment ref="A52" authorId="0">
      <text>
        <r>
          <rPr>
            <sz val="8"/>
            <rFont val="Tahoma"/>
            <family val="0"/>
          </rPr>
          <t>Majors</t>
        </r>
      </text>
    </comment>
    <comment ref="A53" authorId="0">
      <text>
        <r>
          <rPr>
            <sz val="8"/>
            <rFont val="Tahoma"/>
            <family val="0"/>
          </rPr>
          <t>Majors</t>
        </r>
      </text>
    </comment>
    <comment ref="A54" authorId="0">
      <text>
        <r>
          <rPr>
            <sz val="8"/>
            <rFont val="Tahoma"/>
            <family val="0"/>
          </rPr>
          <t>Majors</t>
        </r>
      </text>
    </comment>
    <comment ref="A55" authorId="0">
      <text>
        <r>
          <rPr>
            <sz val="8"/>
            <rFont val="Tahoma"/>
            <family val="0"/>
          </rPr>
          <t>Majors</t>
        </r>
      </text>
    </comment>
    <comment ref="A56" authorId="0">
      <text>
        <r>
          <rPr>
            <sz val="8"/>
            <rFont val="Tahoma"/>
            <family val="0"/>
          </rPr>
          <t>Majors</t>
        </r>
      </text>
    </comment>
    <comment ref="A57" authorId="0">
      <text>
        <r>
          <rPr>
            <sz val="8"/>
            <rFont val="Tahoma"/>
            <family val="0"/>
          </rPr>
          <t>Majors</t>
        </r>
      </text>
    </comment>
    <comment ref="A58" authorId="0">
      <text>
        <r>
          <rPr>
            <sz val="8"/>
            <rFont val="Tahoma"/>
            <family val="0"/>
          </rPr>
          <t>Majors</t>
        </r>
      </text>
    </comment>
    <comment ref="A59" authorId="0">
      <text>
        <r>
          <rPr>
            <sz val="8"/>
            <rFont val="Tahoma"/>
            <family val="0"/>
          </rPr>
          <t>Majors</t>
        </r>
      </text>
    </comment>
    <comment ref="A60" authorId="0">
      <text>
        <r>
          <rPr>
            <sz val="8"/>
            <rFont val="Tahoma"/>
            <family val="0"/>
          </rPr>
          <t>Majors</t>
        </r>
      </text>
    </comment>
    <comment ref="A61" authorId="0">
      <text>
        <r>
          <rPr>
            <sz val="8"/>
            <rFont val="Tahoma"/>
            <family val="0"/>
          </rPr>
          <t>Majors</t>
        </r>
      </text>
    </comment>
    <comment ref="A62" authorId="0">
      <text>
        <r>
          <rPr>
            <sz val="8"/>
            <rFont val="Tahoma"/>
            <family val="0"/>
          </rPr>
          <t>Majors</t>
        </r>
      </text>
    </comment>
    <comment ref="A63" authorId="0">
      <text>
        <r>
          <rPr>
            <sz val="8"/>
            <rFont val="Tahoma"/>
            <family val="0"/>
          </rPr>
          <t>Majors</t>
        </r>
      </text>
    </comment>
    <comment ref="A64" authorId="0">
      <text>
        <r>
          <rPr>
            <sz val="8"/>
            <rFont val="Tahoma"/>
            <family val="0"/>
          </rPr>
          <t>Majors</t>
        </r>
      </text>
    </comment>
    <comment ref="A65" authorId="0">
      <text>
        <r>
          <rPr>
            <sz val="8"/>
            <rFont val="Tahoma"/>
            <family val="0"/>
          </rPr>
          <t>Majors</t>
        </r>
      </text>
    </comment>
    <comment ref="A66" authorId="0">
      <text>
        <r>
          <rPr>
            <sz val="8"/>
            <rFont val="Tahoma"/>
            <family val="0"/>
          </rPr>
          <t>Majors</t>
        </r>
      </text>
    </comment>
    <comment ref="A67" authorId="0">
      <text>
        <r>
          <rPr>
            <sz val="8"/>
            <rFont val="Tahoma"/>
            <family val="0"/>
          </rPr>
          <t>Majors</t>
        </r>
      </text>
    </comment>
    <comment ref="A68" authorId="0">
      <text>
        <r>
          <rPr>
            <sz val="8"/>
            <rFont val="Tahoma"/>
            <family val="0"/>
          </rPr>
          <t>Majors</t>
        </r>
      </text>
    </comment>
    <comment ref="A69" authorId="0">
      <text>
        <r>
          <rPr>
            <sz val="8"/>
            <rFont val="Tahoma"/>
            <family val="0"/>
          </rPr>
          <t>Majors</t>
        </r>
      </text>
    </comment>
    <comment ref="A70" authorId="0">
      <text>
        <r>
          <rPr>
            <sz val="8"/>
            <rFont val="Tahoma"/>
            <family val="0"/>
          </rPr>
          <t>Majors</t>
        </r>
      </text>
    </comment>
    <comment ref="A71" authorId="0">
      <text>
        <r>
          <rPr>
            <sz val="8"/>
            <rFont val="Tahoma"/>
            <family val="0"/>
          </rPr>
          <t>Majors</t>
        </r>
      </text>
    </comment>
    <comment ref="A72" authorId="0">
      <text>
        <r>
          <rPr>
            <sz val="8"/>
            <rFont val="Tahoma"/>
            <family val="0"/>
          </rPr>
          <t>Majors</t>
        </r>
      </text>
    </comment>
    <comment ref="F4" authorId="0">
      <text>
        <r>
          <rPr>
            <sz val="8"/>
            <rFont val="Tahoma"/>
            <family val="0"/>
          </rPr>
          <t>Years</t>
        </r>
      </text>
    </comment>
    <comment ref="E4" authorId="0">
      <text>
        <r>
          <rPr>
            <sz val="8"/>
            <rFont val="Tahoma"/>
            <family val="0"/>
          </rPr>
          <t>Years</t>
        </r>
      </text>
    </comment>
    <comment ref="D4" authorId="0">
      <text>
        <r>
          <rPr>
            <sz val="8"/>
            <rFont val="Tahoma"/>
            <family val="0"/>
          </rPr>
          <t>Years</t>
        </r>
      </text>
    </comment>
    <comment ref="C4" authorId="0">
      <text>
        <r>
          <rPr>
            <sz val="8"/>
            <rFont val="Tahoma"/>
            <family val="0"/>
          </rPr>
          <t>Years</t>
        </r>
      </text>
    </comment>
    <comment ref="B4" authorId="0">
      <text>
        <r>
          <rPr>
            <sz val="8"/>
            <rFont val="Tahoma"/>
            <family val="0"/>
          </rPr>
          <t>Years</t>
        </r>
      </text>
    </comment>
    <comment ref="A1" authorId="0">
      <text>
        <r>
          <rPr>
            <sz val="8"/>
            <rFont val="Tahoma"/>
            <family val="0"/>
          </rPr>
          <t xml:space="preserve">Adaytum2
TYP=V
SVR=
LIB=Aday Rate Case
CBE=OM by yr
FGD=Y
BGD=Y
FGL=Y
BGL=N
SUP=N
BBF=N
NTS=Y
VAL=Y
RHD=N
LCK=N
RFH=N
BBK=Y
OVF=N
IAB=N
BAZ=N
EAZ=N
P01=Dollars &amp; Hours
P02=Periods
R01=Majors
C01=Years
SLO=D
SLD=NNNN
RGP=adaytum_page_1
RGR=adaytum_row_1
RGC=adaytum_col_1
RGD=adaytum_data_1
VID=167CE2494CCD63C0
CHK=915882258
</t>
        </r>
      </text>
    </comment>
  </commentList>
</comments>
</file>

<file path=xl/sharedStrings.xml><?xml version="1.0" encoding="utf-8"?>
<sst xmlns="http://schemas.openxmlformats.org/spreadsheetml/2006/main" count="633" uniqueCount="355">
  <si>
    <t>SCHEDULE E-6</t>
  </si>
  <si>
    <t xml:space="preserve">   DERIVATION OF OVERALL COST OF SERVICE</t>
  </si>
  <si>
    <t>PAGE 1 OF 5</t>
  </si>
  <si>
    <t>FLORIDA PUBLIC SERVICE COMMISSION</t>
  </si>
  <si>
    <t xml:space="preserve">            EXPLANATION:  PROVIDE A SCHEDULE SHOWING DERIVATION </t>
  </si>
  <si>
    <t>TYPE OF DATA SHOWN:</t>
  </si>
  <si>
    <t xml:space="preserve">COMPANY:  </t>
  </si>
  <si>
    <t xml:space="preserve">DOCKET NO.: </t>
  </si>
  <si>
    <t>PROJECTED</t>
  </si>
  <si>
    <t>COMPANY</t>
  </si>
  <si>
    <t>TEST YEAR</t>
  </si>
  <si>
    <t>ADJUSTED</t>
  </si>
  <si>
    <t>LINE</t>
  </si>
  <si>
    <t>ACCT.</t>
  </si>
  <si>
    <t>NO.</t>
  </si>
  <si>
    <t>PLANT</t>
  </si>
  <si>
    <t xml:space="preserve"> 1</t>
  </si>
  <si>
    <t>362</t>
  </si>
  <si>
    <t>LOCAL STORAGE PLANT:</t>
  </si>
  <si>
    <t xml:space="preserve"> 2</t>
  </si>
  <si>
    <t>301-303</t>
  </si>
  <si>
    <t>INTANGIBLE PLANT:</t>
  </si>
  <si>
    <t>DISTRIBUTION PLANT:</t>
  </si>
  <si>
    <t xml:space="preserve"> 3</t>
  </si>
  <si>
    <t>374</t>
  </si>
  <si>
    <t>LAND AND LAND RIGHTS</t>
  </si>
  <si>
    <t xml:space="preserve"> 4</t>
  </si>
  <si>
    <t>375</t>
  </si>
  <si>
    <t>STRUCTURES AND IMPROVEMENTS</t>
  </si>
  <si>
    <t xml:space="preserve"> 5</t>
  </si>
  <si>
    <t>376</t>
  </si>
  <si>
    <t>MAINS</t>
  </si>
  <si>
    <t xml:space="preserve"> 6</t>
  </si>
  <si>
    <t>377</t>
  </si>
  <si>
    <t>COMPRESSOR STA. EQUIP.</t>
  </si>
  <si>
    <t xml:space="preserve"> 7</t>
  </si>
  <si>
    <t>378</t>
  </si>
  <si>
    <t>MEAS.&amp; REG. STA. EQUIP.-GEN.</t>
  </si>
  <si>
    <t xml:space="preserve"> 8</t>
  </si>
  <si>
    <t>379</t>
  </si>
  <si>
    <t>MEAS.&amp; REG. STA. EQUIP.-CG</t>
  </si>
  <si>
    <t xml:space="preserve"> 9</t>
  </si>
  <si>
    <t>380</t>
  </si>
  <si>
    <t>SERVICES</t>
  </si>
  <si>
    <t>10</t>
  </si>
  <si>
    <t>381-382</t>
  </si>
  <si>
    <t>METERS</t>
  </si>
  <si>
    <t>11</t>
  </si>
  <si>
    <t>383-384</t>
  </si>
  <si>
    <t>HOUSE REGULATORS</t>
  </si>
  <si>
    <t>12</t>
  </si>
  <si>
    <t>385</t>
  </si>
  <si>
    <t>INDUSTRIAL MEAS.&amp;REG. EQUIP.</t>
  </si>
  <si>
    <t>13</t>
  </si>
  <si>
    <t>386</t>
  </si>
  <si>
    <t>PROPERTY ON CUSTOMER PREMISES</t>
  </si>
  <si>
    <t>14</t>
  </si>
  <si>
    <t>387</t>
  </si>
  <si>
    <t>OTHER EQUIPMENT</t>
  </si>
  <si>
    <t>15</t>
  </si>
  <si>
    <t>TOTAL DISTR. PLANT</t>
  </si>
  <si>
    <t>16</t>
  </si>
  <si>
    <t>GENERAL PLANT:</t>
  </si>
  <si>
    <t>17</t>
  </si>
  <si>
    <t>PROPERTY HELD FOR FUTURE USE:</t>
  </si>
  <si>
    <t>18</t>
  </si>
  <si>
    <t>PLANT ACQUISTIONS:</t>
  </si>
  <si>
    <t>19</t>
  </si>
  <si>
    <t>CWIP:</t>
  </si>
  <si>
    <t>20</t>
  </si>
  <si>
    <t>PRODUCTION PLANT:</t>
  </si>
  <si>
    <t>21</t>
  </si>
  <si>
    <t>GAS PLANT PURCHASED OR SOLD</t>
  </si>
  <si>
    <t xml:space="preserve">  TOTAL PLANT</t>
  </si>
  <si>
    <t>SUPPORTING SCHEDULES:  B-2, B-3, B-4, G-1 p.1, G-1, p.4, G-1, p.10</t>
  </si>
  <si>
    <t>PAGE 2 OF 5</t>
  </si>
  <si>
    <t>DOCKET NO.:</t>
  </si>
  <si>
    <t xml:space="preserve">   ACCT.</t>
  </si>
  <si>
    <t xml:space="preserve"> NO.</t>
  </si>
  <si>
    <t xml:space="preserve">    NO.</t>
  </si>
  <si>
    <t xml:space="preserve">  ACCUMULATED DEPRECIATION</t>
  </si>
  <si>
    <t xml:space="preserve">  TOTAL DISTR. PLANT</t>
  </si>
  <si>
    <t>RWIP:</t>
  </si>
  <si>
    <t>AMORT. ACQ. ADJUSTMENT</t>
  </si>
  <si>
    <t>AMORT. OTHER UTILITY PLANT</t>
  </si>
  <si>
    <t>PRODUCTION PLANT</t>
  </si>
  <si>
    <t>CUST. ADV. FOR CONSTRUCTION</t>
  </si>
  <si>
    <t>22</t>
  </si>
  <si>
    <t xml:space="preserve">  TOTAL ACCUMULATED DEPRECIATION </t>
  </si>
  <si>
    <t>23</t>
  </si>
  <si>
    <t>NET PLANT (Plant less Accum. Dep.)</t>
  </si>
  <si>
    <t>24</t>
  </si>
  <si>
    <t>Plus:  WORKING CAPITAL</t>
  </si>
  <si>
    <t>25</t>
  </si>
  <si>
    <t>Equals:  TOTAL RATE BASE</t>
  </si>
  <si>
    <t>SUPPORTING SCHEDULES:  B-2, B-3, B-9, B-10, B-13, G-1 p.1, G-1 p.2, G-1 p.3, G-1 p.4, G-1 p.12, G-1 p.13</t>
  </si>
  <si>
    <t>PAGE 3 OF 5</t>
  </si>
  <si>
    <t xml:space="preserve">          EXPLANATION:  PROVIDE A SCHEDULE SHOWING DERIVATION </t>
  </si>
  <si>
    <t>OPERATION AND MAINTENANCE</t>
  </si>
  <si>
    <t>740-848</t>
  </si>
  <si>
    <t>870</t>
  </si>
  <si>
    <t>SUPERVISION &amp; ENGINEERING</t>
  </si>
  <si>
    <t>871</t>
  </si>
  <si>
    <t>DISTRIBUTION LOAD DISPATCHING</t>
  </si>
  <si>
    <t>872</t>
  </si>
  <si>
    <t>COMPRESSOR STATION</t>
  </si>
  <si>
    <t>873</t>
  </si>
  <si>
    <t>COMPRESSOR STA. FUEL</t>
  </si>
  <si>
    <t>874</t>
  </si>
  <si>
    <t>MAINS &amp; SERVICES</t>
  </si>
  <si>
    <t>875</t>
  </si>
  <si>
    <t>MEAS.&amp; REG. - GENERAL</t>
  </si>
  <si>
    <t>876</t>
  </si>
  <si>
    <t>MEAS.&amp; REG. - INDUSTRIAL</t>
  </si>
  <si>
    <t>877</t>
  </si>
  <si>
    <t>MEAS.&amp; REG - CITY GATE</t>
  </si>
  <si>
    <t>878</t>
  </si>
  <si>
    <t>METER &amp; HOUS REG. EXPENSE</t>
  </si>
  <si>
    <t>879</t>
  </si>
  <si>
    <t>CUSTOMER INSTALLATIONS</t>
  </si>
  <si>
    <t>880</t>
  </si>
  <si>
    <t>OTHER EXPENSE</t>
  </si>
  <si>
    <t>881</t>
  </si>
  <si>
    <t>RENTS</t>
  </si>
  <si>
    <t>885</t>
  </si>
  <si>
    <t>886</t>
  </si>
  <si>
    <t>STRUCTURES &amp; IMPROVEMENTS</t>
  </si>
  <si>
    <t>887</t>
  </si>
  <si>
    <t>888</t>
  </si>
  <si>
    <t>COMPRESSOR STA. EQUIPMENT</t>
  </si>
  <si>
    <t>889</t>
  </si>
  <si>
    <t>890</t>
  </si>
  <si>
    <t>891</t>
  </si>
  <si>
    <t>MEAS.&amp; REG. - GATE STATION</t>
  </si>
  <si>
    <t>892</t>
  </si>
  <si>
    <t>893</t>
  </si>
  <si>
    <t>METERS &amp; HOUSE REGULATORS</t>
  </si>
  <si>
    <t>894</t>
  </si>
  <si>
    <t xml:space="preserve">  TOTAL DISTRIBUTION EXPENSES</t>
  </si>
  <si>
    <t>SUPPORTING SCHEDULES:  C-5 p.1, G-2, p.10, G-2 p.11, G-2 p.12, G-2 p.13</t>
  </si>
  <si>
    <t>PAGE 4 OF 5</t>
  </si>
  <si>
    <t>CUSTOMER ACCOUNTS</t>
  </si>
  <si>
    <t>901</t>
  </si>
  <si>
    <t>SUPERVISION</t>
  </si>
  <si>
    <t>902</t>
  </si>
  <si>
    <t>METER READING EXPENSE</t>
  </si>
  <si>
    <t>903</t>
  </si>
  <si>
    <t>CUST. RECORDS &amp; COLLECTIONS</t>
  </si>
  <si>
    <t>904</t>
  </si>
  <si>
    <t>UNCOLLECTIBLE ACCOUNTS</t>
  </si>
  <si>
    <t>905</t>
  </si>
  <si>
    <t>MISCELLANEOUS</t>
  </si>
  <si>
    <t xml:space="preserve">  TOTAL CUSTOMER ACCOUNTS</t>
  </si>
  <si>
    <t>907-910</t>
  </si>
  <si>
    <t>CUSTOMER SERV.&amp; INFO. EXP.</t>
  </si>
  <si>
    <t>911-916</t>
  </si>
  <si>
    <t>SALES EXPENSE</t>
  </si>
  <si>
    <t>932</t>
  </si>
  <si>
    <t>MAINT. OF GEN. PLANT</t>
  </si>
  <si>
    <t>920-931</t>
  </si>
  <si>
    <t>ADMINISTRATION AND GENERAL</t>
  </si>
  <si>
    <t>TOTAL OPER. &amp; MAINT. EXPENSE</t>
  </si>
  <si>
    <t>SUPPORTING SCHEDULES:  C-5 p.2, G-2 p.14, G-2 p.15, G-2 p.16, G-2 p.17, G-2 p.18</t>
  </si>
  <si>
    <t>PAGE 5 OF 5</t>
  </si>
  <si>
    <t>EXPENSES AND COST OF SERVICE</t>
  </si>
  <si>
    <t xml:space="preserve">  DEPRECIATION EXPENSE</t>
  </si>
  <si>
    <t xml:space="preserve">  AMORT. OF ACQUISITION ADJ.</t>
  </si>
  <si>
    <t xml:space="preserve">    TOTAL DEPREC.&amp; AMORT. EXPENSE</t>
  </si>
  <si>
    <t xml:space="preserve">  TAXES OTHER THAN INCOME</t>
  </si>
  <si>
    <t xml:space="preserve">    REVENUE RELATED</t>
  </si>
  <si>
    <t xml:space="preserve">    OTHER</t>
  </si>
  <si>
    <t xml:space="preserve">      TOTAL TAXES OTHER THAN INCOME</t>
  </si>
  <si>
    <t>RETURN (REQUIRED N.O.I.)</t>
  </si>
  <si>
    <t>INCOME TAXES</t>
  </si>
  <si>
    <t>TOTAL COST TO SERVE</t>
  </si>
  <si>
    <t xml:space="preserve">      EXPLANATION:  PROVIDE A SCHEDULE SHOWING DERIVATION </t>
  </si>
  <si>
    <t>OF RATE BASE. (PLANT)</t>
  </si>
  <si>
    <t xml:space="preserve">     OF RATE BASE. (ACCUMULATED DEPRECIATION)</t>
  </si>
  <si>
    <t xml:space="preserve">               OF EXPENSES. (OPERATION AND MAINTENANCE)</t>
  </si>
  <si>
    <t xml:space="preserve">          OF EXPENSES AND COST OF SERVICE.</t>
  </si>
  <si>
    <t>PEOPLES GAS SYSTEM</t>
  </si>
  <si>
    <t>13-MO. AVG.</t>
  </si>
  <si>
    <t>YEAR ENDED</t>
  </si>
  <si>
    <t>PER</t>
  </si>
  <si>
    <t>BOOKS</t>
  </si>
  <si>
    <t>Adaytum</t>
  </si>
  <si>
    <t>30100 Organization</t>
  </si>
  <si>
    <t>30200 Franchsies and Consents</t>
  </si>
  <si>
    <t>30300 Misc Intangible Plant</t>
  </si>
  <si>
    <t>30301 Customized Software</t>
  </si>
  <si>
    <t>37400 Land and Land Rights</t>
  </si>
  <si>
    <t>37402 Land Rights / Easements</t>
  </si>
  <si>
    <t>37500 Land/Building Struct&amp;Imp</t>
  </si>
  <si>
    <t>37600 Mains - Steel</t>
  </si>
  <si>
    <t>37602 Mains - Plastic</t>
  </si>
  <si>
    <t>37800 Regulator Stations-Meas&amp;</t>
  </si>
  <si>
    <t>37801 Regulator Stations-Do no</t>
  </si>
  <si>
    <t>37900 City Gate Stations-Meas&amp;</t>
  </si>
  <si>
    <t>37901 City Gate Stations-Do no</t>
  </si>
  <si>
    <t>38000 Service Lines - Steel</t>
  </si>
  <si>
    <t>38002 Service Lines - Plastic</t>
  </si>
  <si>
    <t>38100 Meters - All Types</t>
  </si>
  <si>
    <t>38101 Meters - Do not use</t>
  </si>
  <si>
    <t>38200 Meter Installations</t>
  </si>
  <si>
    <t>38300 House Regulators</t>
  </si>
  <si>
    <t>38400 House Regulator Installa</t>
  </si>
  <si>
    <t>38500 Industrial Cust Regulato</t>
  </si>
  <si>
    <t>38608 Othr Prop Cust Prem-CNG</t>
  </si>
  <si>
    <t>38700 Other Equipment-DistribS</t>
  </si>
  <si>
    <t>39000 Structures&amp; Improvemen-U</t>
  </si>
  <si>
    <t>39002 Structures&amp;Improvem-Leas</t>
  </si>
  <si>
    <t>39100 Office Furniture</t>
  </si>
  <si>
    <t>39101 Computer Equipment</t>
  </si>
  <si>
    <t>39102 Office Equipment/Machine</t>
  </si>
  <si>
    <t>39103 Office Furniture/Equip</t>
  </si>
  <si>
    <t>39201 Auto&amp;Truck less than 1/2</t>
  </si>
  <si>
    <t>39202 Auto&amp;Truck 3/4 - 1 ton</t>
  </si>
  <si>
    <t>39203 Airplanes</t>
  </si>
  <si>
    <t>39204 Trailers, Other</t>
  </si>
  <si>
    <t>39205 Trucks over 1 ton</t>
  </si>
  <si>
    <t>39300 Stores Equipment</t>
  </si>
  <si>
    <t>39400 Tools, Shop, &amp; Garage Eq</t>
  </si>
  <si>
    <t>39401 Tools, Shop,&amp; Garage-CNG</t>
  </si>
  <si>
    <t>39500 Laboratory Equipment</t>
  </si>
  <si>
    <t>39600 Power Operated Equipment</t>
  </si>
  <si>
    <t>39700 Communication Equipment</t>
  </si>
  <si>
    <t>39800 Misc Equipment-Gas</t>
  </si>
  <si>
    <t>Plant Acct Total</t>
  </si>
  <si>
    <t>Dec</t>
  </si>
  <si>
    <t>13 Mo Avg</t>
  </si>
  <si>
    <t>Plant Acct Total (Rounded)</t>
  </si>
  <si>
    <t>Difference</t>
  </si>
  <si>
    <t>37602D Mains - Plastic Devlopm</t>
  </si>
  <si>
    <t>37602S Mains - Plastic Supply</t>
  </si>
  <si>
    <t>Total Depr Reserve Bal</t>
  </si>
  <si>
    <t>Total Depr Reserve Bal (Rounded)</t>
  </si>
  <si>
    <t>Gas Plant in Service</t>
  </si>
  <si>
    <t>Accumulated Provision for Depreciation</t>
  </si>
  <si>
    <t>Total</t>
  </si>
  <si>
    <t>Peoples Gas System</t>
  </si>
  <si>
    <t>Depreciation Expense</t>
  </si>
  <si>
    <t>Amort. - Leasehold Improvements</t>
  </si>
  <si>
    <t>Amort. - Acq. Adjustments</t>
  </si>
  <si>
    <t>Amort. - Other</t>
  </si>
  <si>
    <t>Taxes Other than Income</t>
  </si>
  <si>
    <t xml:space="preserve">  AMORT. OF CONVERSION COSTS</t>
  </si>
  <si>
    <t>See note below</t>
  </si>
  <si>
    <t>OTHER NOT YET CLASSIFIED</t>
  </si>
  <si>
    <t>MEAS.&amp; REG. STA. EQUIP.</t>
  </si>
  <si>
    <t xml:space="preserve">  AMORT. OF LEASE IMPROVEMENTS/OTHER</t>
  </si>
  <si>
    <t xml:space="preserve"> 01</t>
  </si>
  <si>
    <t>Auto Licenses</t>
  </si>
  <si>
    <t>Occup Licenses</t>
  </si>
  <si>
    <t>PSC Assessment</t>
  </si>
  <si>
    <t>Gross Receipts</t>
  </si>
  <si>
    <t>Ad Valorem Tax</t>
  </si>
  <si>
    <t>Franchise Fees</t>
  </si>
  <si>
    <t>FICA</t>
  </si>
  <si>
    <t>Unemployment</t>
  </si>
  <si>
    <t>Misc</t>
  </si>
  <si>
    <t>Intangible Property Tax</t>
  </si>
  <si>
    <t>State LP License</t>
  </si>
  <si>
    <t>Total Taxes Other</t>
  </si>
  <si>
    <t>TOIT less FF &amp; FR</t>
  </si>
  <si>
    <t xml:space="preserve">  AMORT. OF ENVIRONMENTAL</t>
  </si>
  <si>
    <t xml:space="preserve"> 90</t>
  </si>
  <si>
    <t>40921</t>
  </si>
  <si>
    <t>40922</t>
  </si>
  <si>
    <t>Actual 2004</t>
  </si>
  <si>
    <t>Actual 2005</t>
  </si>
  <si>
    <t>Actual 2006</t>
  </si>
  <si>
    <t>38600 Alternative Fueling Stations</t>
  </si>
  <si>
    <t>38602 Othr Prop Cust Prem-Desi</t>
  </si>
  <si>
    <t>Not Yet Calssified (106)</t>
  </si>
  <si>
    <t>2002</t>
  </si>
  <si>
    <t>2003</t>
  </si>
  <si>
    <t>2004</t>
  </si>
  <si>
    <t>2005</t>
  </si>
  <si>
    <t>2006</t>
  </si>
  <si>
    <t>Per Surveillance</t>
  </si>
  <si>
    <t>Actual 2003</t>
  </si>
  <si>
    <t>2005 Gross Rec &amp; Franchise Fees</t>
  </si>
  <si>
    <t>2004 Gross Rec &amp; Franchise Fees</t>
  </si>
  <si>
    <t>2003 Gross Rec &amp; Franchise Fees</t>
  </si>
  <si>
    <t>OM by yr</t>
  </si>
  <si>
    <t>Dollars</t>
  </si>
  <si>
    <t>Total O&amp;M</t>
  </si>
  <si>
    <t>899</t>
  </si>
  <si>
    <t>907</t>
  </si>
  <si>
    <t>908</t>
  </si>
  <si>
    <t>909</t>
  </si>
  <si>
    <t>910</t>
  </si>
  <si>
    <t>911</t>
  </si>
  <si>
    <t>912</t>
  </si>
  <si>
    <t>913</t>
  </si>
  <si>
    <t>915</t>
  </si>
  <si>
    <t>916</t>
  </si>
  <si>
    <t>920</t>
  </si>
  <si>
    <t>921</t>
  </si>
  <si>
    <t>922</t>
  </si>
  <si>
    <t>923</t>
  </si>
  <si>
    <t>924</t>
  </si>
  <si>
    <t>925</t>
  </si>
  <si>
    <t>926</t>
  </si>
  <si>
    <t>928</t>
  </si>
  <si>
    <t>930</t>
  </si>
  <si>
    <t>931</t>
  </si>
  <si>
    <t>933</t>
  </si>
  <si>
    <t>940</t>
  </si>
  <si>
    <t>950</t>
  </si>
  <si>
    <t>951</t>
  </si>
  <si>
    <t>952</t>
  </si>
  <si>
    <t>953</t>
  </si>
  <si>
    <t>954</t>
  </si>
  <si>
    <t>960</t>
  </si>
  <si>
    <t>961</t>
  </si>
  <si>
    <t>962</t>
  </si>
  <si>
    <t>963</t>
  </si>
  <si>
    <t>970</t>
  </si>
  <si>
    <t>971</t>
  </si>
  <si>
    <t>972</t>
  </si>
  <si>
    <t>973</t>
  </si>
  <si>
    <t>980</t>
  </si>
  <si>
    <t>984</t>
  </si>
  <si>
    <t>985</t>
  </si>
  <si>
    <t>998</t>
  </si>
  <si>
    <t>999</t>
  </si>
  <si>
    <t>Check Total</t>
  </si>
  <si>
    <t>Deferred Taxes - Federal</t>
  </si>
  <si>
    <t>Deferred Taxes - State</t>
  </si>
  <si>
    <t>Investment Tax Credits</t>
  </si>
  <si>
    <t>Net Utility Operating Income</t>
  </si>
  <si>
    <t>HISTORIC BASE YEAR DATA:  12/31/07</t>
  </si>
  <si>
    <t>PROJECTED TEST YEAR:      12/31/09</t>
  </si>
  <si>
    <t>HISTORIC BASE YEAR ENDED 12/31/07</t>
  </si>
  <si>
    <t>PRIOR YEARS:   12/31/03 - 12/31/06</t>
  </si>
  <si>
    <t xml:space="preserve">WITNESS: </t>
  </si>
  <si>
    <t>ENDED 12/31/09</t>
  </si>
  <si>
    <t>Actual 2007</t>
  </si>
  <si>
    <t>2007</t>
  </si>
  <si>
    <t>Imp FRSADA Map 2007</t>
  </si>
  <si>
    <t>2006 Gross Rec &amp; Franchise Fees</t>
  </si>
  <si>
    <t>5 Yr Taxes Other Than Inc</t>
  </si>
  <si>
    <t>R1 - Base January 2008</t>
  </si>
  <si>
    <t>G1-1</t>
  </si>
  <si>
    <t>5 Yr P&amp;L</t>
  </si>
  <si>
    <t>Income Tax - Fed</t>
  </si>
  <si>
    <t>Income Tax - State</t>
  </si>
  <si>
    <t xml:space="preserve">DOCKET NO.:  </t>
  </si>
  <si>
    <t>080318-GU</t>
  </si>
  <si>
    <t>S. RICHARDS</t>
  </si>
  <si>
    <t>do not refresh bad data - re-keyed manually per F500 7/14/08 - expense was fine, NOI was shifted to the left</t>
  </si>
  <si>
    <t>GAIN ON SALE OF PROPERTY</t>
  </si>
  <si>
    <t>RECAP SCHEDULES:  H-3</t>
  </si>
  <si>
    <t>SUPPORTING SCHEDULES:  C-17, C-18, C-19, C-20, D-1 p.1, G-2 p.23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</si>
</sst>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_(* #,##0.0_);_(* \(#,##0.0\);_(* &quot;-&quot;??_);_(@_)"/>
    <numFmt numFmtId="167" formatCode="&quot;$&quot;#,##0.000000_);\(&quot;$&quot;#,##0.000000\)"/>
    <numFmt numFmtId="168" formatCode="0.0%"/>
    <numFmt numFmtId="169" formatCode="0.000%"/>
    <numFmt numFmtId="170" formatCode="#,##0;\(#,##0\)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"/>
      <name val="Arial"/>
      <family val="2"/>
    </font>
    <font>
      <sz val="10"/>
      <name val="Tahoma"/>
      <family val="0"/>
    </font>
    <font>
      <sz val="10"/>
      <color indexed="10"/>
      <name val="Arial"/>
      <family val="2"/>
    </font>
    <font>
      <b/>
      <sz val="10"/>
      <name val="Courier"/>
      <family val="3"/>
    </font>
    <font>
      <b/>
      <sz val="10"/>
      <color indexed="10"/>
      <name val="Courier"/>
      <family val="3"/>
    </font>
    <font>
      <sz val="10"/>
      <color indexed="8"/>
      <name val="Courier"/>
      <family val="3"/>
    </font>
    <font>
      <sz val="10"/>
      <color indexed="12"/>
      <name val="Courier"/>
      <family val="3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fill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fill"/>
      <protection/>
    </xf>
    <xf numFmtId="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5" fontId="0" fillId="0" borderId="2" xfId="0" applyNumberFormat="1" applyFont="1" applyBorder="1" applyAlignment="1" applyProtection="1">
      <alignment/>
      <protection/>
    </xf>
    <xf numFmtId="43" fontId="0" fillId="0" borderId="0" xfId="15" applyFont="1" applyAlignment="1">
      <alignment/>
    </xf>
    <xf numFmtId="5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fill"/>
      <protection/>
    </xf>
    <xf numFmtId="5" fontId="0" fillId="0" borderId="0" xfId="0" applyNumberFormat="1" applyFont="1" applyAlignment="1">
      <alignment/>
    </xf>
    <xf numFmtId="5" fontId="2" fillId="0" borderId="0" xfId="15" applyNumberFormat="1" applyFont="1" applyFill="1" applyAlignment="1" applyProtection="1">
      <alignment/>
      <protection locked="0"/>
    </xf>
    <xf numFmtId="5" fontId="0" fillId="0" borderId="0" xfId="0" applyNumberFormat="1" applyFont="1" applyAlignment="1" applyProtection="1">
      <alignment horizontal="fill"/>
      <protection/>
    </xf>
    <xf numFmtId="5" fontId="0" fillId="0" borderId="0" xfId="15" applyNumberFormat="1" applyFont="1" applyAlignment="1">
      <alignment/>
    </xf>
    <xf numFmtId="5" fontId="0" fillId="0" borderId="0" xfId="15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5" fontId="0" fillId="0" borderId="0" xfId="0" applyNumberFormat="1" applyFont="1" applyAlignment="1" applyProtection="1">
      <alignment horizontal="right"/>
      <protection/>
    </xf>
    <xf numFmtId="5" fontId="0" fillId="0" borderId="1" xfId="0" applyNumberFormat="1" applyFont="1" applyBorder="1" applyAlignment="1" applyProtection="1">
      <alignment horizontal="fill"/>
      <protection/>
    </xf>
    <xf numFmtId="5" fontId="0" fillId="0" borderId="0" xfId="0" applyNumberFormat="1" applyFont="1" applyAlignment="1" applyProtection="1">
      <alignment horizontal="left"/>
      <protection/>
    </xf>
    <xf numFmtId="5" fontId="0" fillId="0" borderId="0" xfId="0" applyNumberFormat="1" applyAlignment="1">
      <alignment/>
    </xf>
    <xf numFmtId="5" fontId="0" fillId="0" borderId="0" xfId="0" applyNumberFormat="1" applyFont="1" applyAlignment="1" applyProtection="1" quotePrefix="1">
      <alignment horizontal="left"/>
      <protection/>
    </xf>
    <xf numFmtId="5" fontId="0" fillId="0" borderId="0" xfId="0" applyNumberFormat="1" applyFont="1" applyAlignment="1" applyProtection="1">
      <alignment horizontal="center"/>
      <protection/>
    </xf>
    <xf numFmtId="5" fontId="1" fillId="0" borderId="1" xfId="0" applyNumberFormat="1" applyFont="1" applyBorder="1" applyAlignment="1" applyProtection="1" quotePrefix="1">
      <alignment horizontal="center"/>
      <protection/>
    </xf>
    <xf numFmtId="5" fontId="1" fillId="0" borderId="1" xfId="0" applyNumberFormat="1" applyFont="1" applyBorder="1" applyAlignment="1">
      <alignment/>
    </xf>
    <xf numFmtId="5" fontId="1" fillId="0" borderId="1" xfId="0" applyNumberFormat="1" applyFont="1" applyBorder="1" applyAlignment="1" applyProtection="1">
      <alignment horizontal="fill"/>
      <protection/>
    </xf>
    <xf numFmtId="0" fontId="0" fillId="0" borderId="0" xfId="0" applyFont="1" applyAlignment="1" quotePrefix="1">
      <alignment horizontal="left"/>
    </xf>
    <xf numFmtId="14" fontId="0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 applyProtection="1">
      <alignment horizontal="fill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165" fontId="3" fillId="0" borderId="0" xfId="15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65" fontId="3" fillId="0" borderId="0" xfId="15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7" fillId="0" borderId="0" xfId="0" applyFont="1" applyAlignment="1" quotePrefix="1">
      <alignment horizontal="right"/>
    </xf>
    <xf numFmtId="5" fontId="6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2" fillId="0" borderId="0" xfId="15" applyNumberFormat="1" applyFont="1" applyFill="1" applyAlignment="1">
      <alignment/>
    </xf>
    <xf numFmtId="5" fontId="0" fillId="0" borderId="0" xfId="0" applyNumberFormat="1" applyFont="1" applyAlignment="1" applyProtection="1" quotePrefix="1">
      <alignment horizontal="center"/>
      <protection/>
    </xf>
    <xf numFmtId="5" fontId="3" fillId="0" borderId="0" xfId="0" applyNumberFormat="1" applyFont="1" applyFill="1" applyAlignment="1" applyProtection="1">
      <alignment/>
      <protection/>
    </xf>
    <xf numFmtId="5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5" fontId="0" fillId="0" borderId="0" xfId="19" applyNumberFormat="1" applyFont="1" applyAlignment="1">
      <alignment/>
    </xf>
    <xf numFmtId="5" fontId="0" fillId="0" borderId="1" xfId="0" applyNumberFormat="1" applyFont="1" applyBorder="1" applyAlignment="1" applyProtection="1">
      <alignment/>
      <protection/>
    </xf>
    <xf numFmtId="9" fontId="0" fillId="0" borderId="0" xfId="19" applyAlignment="1">
      <alignment/>
    </xf>
    <xf numFmtId="165" fontId="0" fillId="0" borderId="0" xfId="15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5" fontId="8" fillId="0" borderId="0" xfId="0" applyNumberFormat="1" applyFont="1" applyAlignment="1" applyProtection="1">
      <alignment/>
      <protection/>
    </xf>
    <xf numFmtId="7" fontId="0" fillId="0" borderId="0" xfId="0" applyNumberFormat="1" applyFont="1" applyAlignment="1">
      <alignment/>
    </xf>
    <xf numFmtId="169" fontId="0" fillId="0" borderId="0" xfId="19" applyNumberFormat="1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65" fontId="0" fillId="0" borderId="0" xfId="15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0" xfId="0" applyNumberFormat="1" applyFont="1" applyFill="1" applyAlignment="1" applyProtection="1">
      <alignment horizontal="fill"/>
      <protection/>
    </xf>
    <xf numFmtId="0" fontId="7" fillId="0" borderId="0" xfId="0" applyFont="1" applyAlignment="1">
      <alignment horizontal="left"/>
    </xf>
    <xf numFmtId="5" fontId="0" fillId="0" borderId="2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5" fontId="10" fillId="0" borderId="0" xfId="0" applyNumberFormat="1" applyFont="1" applyAlignment="1">
      <alignment/>
    </xf>
    <xf numFmtId="5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Alignment="1" quotePrefix="1">
      <alignment horizontal="right"/>
    </xf>
    <xf numFmtId="0" fontId="13" fillId="0" borderId="0" xfId="0" applyFont="1" applyFill="1" applyAlignment="1" quotePrefix="1">
      <alignment horizontal="left"/>
    </xf>
    <xf numFmtId="0" fontId="14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170" fontId="3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49" fontId="12" fillId="0" borderId="0" xfId="0" applyNumberFormat="1" applyFont="1" applyAlignment="1">
      <alignment horizontal="left"/>
    </xf>
    <xf numFmtId="170" fontId="13" fillId="0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5" fontId="15" fillId="0" borderId="0" xfId="0" applyNumberFormat="1" applyFont="1" applyAlignment="1" applyProtection="1">
      <alignment/>
      <protection/>
    </xf>
    <xf numFmtId="165" fontId="15" fillId="0" borderId="0" xfId="15" applyNumberFormat="1" applyFont="1" applyFill="1" applyAlignment="1" applyProtection="1">
      <alignment/>
      <protection/>
    </xf>
    <xf numFmtId="5" fontId="15" fillId="0" borderId="0" xfId="0" applyNumberFormat="1" applyFont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65" fontId="3" fillId="0" borderId="0" xfId="15" applyNumberFormat="1" applyFont="1" applyFill="1" applyAlignment="1">
      <alignment/>
    </xf>
    <xf numFmtId="5" fontId="10" fillId="0" borderId="0" xfId="0" applyNumberFormat="1" applyFont="1" applyAlignment="1">
      <alignment/>
    </xf>
    <xf numFmtId="5" fontId="0" fillId="2" borderId="0" xfId="0" applyNumberFormat="1" applyFill="1" applyAlignment="1">
      <alignment/>
    </xf>
    <xf numFmtId="0" fontId="10" fillId="0" borderId="0" xfId="0" applyFont="1" applyAlignment="1">
      <alignment/>
    </xf>
    <xf numFmtId="5" fontId="10" fillId="0" borderId="0" xfId="15" applyNumberFormat="1" applyFont="1" applyAlignment="1">
      <alignment/>
    </xf>
    <xf numFmtId="165" fontId="0" fillId="2" borderId="0" xfId="15" applyNumberFormat="1" applyFont="1" applyFill="1" applyAlignment="1">
      <alignment/>
    </xf>
    <xf numFmtId="0" fontId="10" fillId="4" borderId="0" xfId="0" applyFont="1" applyFill="1" applyAlignment="1" quotePrefix="1">
      <alignment horizontal="right"/>
    </xf>
    <xf numFmtId="170" fontId="2" fillId="4" borderId="0" xfId="0" applyNumberFormat="1" applyFont="1" applyFill="1" applyAlignment="1">
      <alignment/>
    </xf>
    <xf numFmtId="170" fontId="1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5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165" fontId="0" fillId="0" borderId="0" xfId="15" applyNumberFormat="1" applyFont="1" applyAlignment="1" applyProtection="1">
      <alignment horizontal="fill"/>
      <protection/>
    </xf>
    <xf numFmtId="0" fontId="0" fillId="0" borderId="0" xfId="0" applyFont="1" applyFill="1" applyAlignment="1">
      <alignment horizontal="left"/>
    </xf>
    <xf numFmtId="0" fontId="16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_FIN\Rate%20Case%20'07\PGS%20Templates\PGS%20G%20schedules\SCH-G2-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1-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2-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2-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2-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C%20schedules\SCH-C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C%20schedules\SCH-C3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IS%20New%20Rates%20High%20Leve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alyst.xla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2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1-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C%20schedules\SCH-C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1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B%20schedules\SCH-B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B%20schedules\SCH-B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B%20schedules\SCH-B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B%20schedules\SCH-B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%20Case%202008\PGS%20Templates\PGS%20G%20schedules\SCH-G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G2-19"/>
      <sheetName val="2006 Act"/>
      <sheetName val="TECO Allocation"/>
    </sheetNames>
    <sheetDataSet>
      <sheetData sheetId="0">
        <row r="232">
          <cell r="E23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CHG1-14"/>
      <sheetName val="Data"/>
    </sheetNames>
    <sheetDataSet>
      <sheetData sheetId="0">
        <row r="13">
          <cell r="S13">
            <v>3116.43</v>
          </cell>
        </row>
        <row r="14">
          <cell r="S14">
            <v>416427.45000000007</v>
          </cell>
        </row>
        <row r="15">
          <cell r="S15">
            <v>502020.79000000004</v>
          </cell>
        </row>
        <row r="16">
          <cell r="S16">
            <v>11954606.49230769</v>
          </cell>
        </row>
        <row r="17">
          <cell r="S17">
            <v>1056690.8376923078</v>
          </cell>
        </row>
        <row r="18">
          <cell r="S18">
            <v>-7098.360000000001</v>
          </cell>
        </row>
        <row r="25">
          <cell r="S25">
            <v>3504168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HG2-19"/>
      <sheetName val="2007 Act"/>
      <sheetName val="TECO Allocation"/>
      <sheetName val="922 Calc"/>
    </sheetNames>
    <sheetDataSet>
      <sheetData sheetId="0">
        <row r="29">
          <cell r="E29">
            <v>336399</v>
          </cell>
          <cell r="I29">
            <v>336399</v>
          </cell>
          <cell r="M29">
            <v>361375.8680016</v>
          </cell>
        </row>
        <row r="36">
          <cell r="E36">
            <v>5509</v>
          </cell>
          <cell r="I36">
            <v>5509</v>
          </cell>
          <cell r="M36">
            <v>369911.04150649</v>
          </cell>
        </row>
        <row r="43">
          <cell r="E43">
            <v>1938</v>
          </cell>
          <cell r="I43">
            <v>1938</v>
          </cell>
          <cell r="M43">
            <v>1884.4870941300014</v>
          </cell>
        </row>
        <row r="50">
          <cell r="E50">
            <v>6095614</v>
          </cell>
          <cell r="I50">
            <v>6095614</v>
          </cell>
          <cell r="M50">
            <v>6596577.85089246</v>
          </cell>
        </row>
        <row r="57">
          <cell r="E57">
            <v>164862</v>
          </cell>
          <cell r="I57">
            <v>164862</v>
          </cell>
          <cell r="M57">
            <v>176062.705311</v>
          </cell>
        </row>
        <row r="80">
          <cell r="E80">
            <v>-3887</v>
          </cell>
          <cell r="I80">
            <v>-3887</v>
          </cell>
          <cell r="M80">
            <v>-4062.2332799999986</v>
          </cell>
        </row>
        <row r="87">
          <cell r="E87">
            <v>73706</v>
          </cell>
          <cell r="I87">
            <v>73706</v>
          </cell>
          <cell r="M87">
            <v>78729.3961056</v>
          </cell>
        </row>
        <row r="94">
          <cell r="E94">
            <v>2115226</v>
          </cell>
          <cell r="I94">
            <v>2115226</v>
          </cell>
          <cell r="M94">
            <v>3093303.72349818</v>
          </cell>
        </row>
        <row r="101">
          <cell r="E101">
            <v>2287598</v>
          </cell>
          <cell r="I101">
            <v>2287598</v>
          </cell>
          <cell r="M101">
            <v>2481648.22944018</v>
          </cell>
        </row>
        <row r="108">
          <cell r="E108">
            <v>1383529</v>
          </cell>
          <cell r="I108">
            <v>1383529</v>
          </cell>
          <cell r="M108">
            <v>1569525.311542</v>
          </cell>
        </row>
        <row r="115">
          <cell r="E115">
            <v>146692</v>
          </cell>
          <cell r="I115">
            <v>146692</v>
          </cell>
          <cell r="M115">
            <v>154115.935428</v>
          </cell>
        </row>
        <row r="141">
          <cell r="E141">
            <v>208153</v>
          </cell>
          <cell r="I141">
            <v>208153</v>
          </cell>
          <cell r="M141">
            <v>222230.33893665002</v>
          </cell>
        </row>
        <row r="148">
          <cell r="E148">
            <v>1888624</v>
          </cell>
          <cell r="I148">
            <v>1888624</v>
          </cell>
          <cell r="M148">
            <v>2522843.61551217</v>
          </cell>
        </row>
        <row r="155">
          <cell r="E155">
            <v>248600</v>
          </cell>
          <cell r="I155">
            <v>248600</v>
          </cell>
          <cell r="M155">
            <v>269225.94805869</v>
          </cell>
        </row>
        <row r="162">
          <cell r="E162">
            <v>423508</v>
          </cell>
          <cell r="I162">
            <v>423508</v>
          </cell>
          <cell r="M162">
            <v>459123.2023674</v>
          </cell>
        </row>
        <row r="185">
          <cell r="E185">
            <v>499001</v>
          </cell>
          <cell r="I185">
            <v>499001</v>
          </cell>
          <cell r="M185">
            <v>538436.7394941901</v>
          </cell>
        </row>
        <row r="192">
          <cell r="E192">
            <v>582189</v>
          </cell>
          <cell r="I192">
            <v>582189</v>
          </cell>
          <cell r="M192">
            <v>630097.2658663499</v>
          </cell>
        </row>
        <row r="199">
          <cell r="E199">
            <v>423998</v>
          </cell>
          <cell r="I199">
            <v>423998</v>
          </cell>
          <cell r="M199">
            <v>457928.32182849</v>
          </cell>
        </row>
        <row r="206">
          <cell r="E206">
            <v>86035</v>
          </cell>
          <cell r="I206">
            <v>86035</v>
          </cell>
          <cell r="M206">
            <v>92472.62547747002</v>
          </cell>
        </row>
        <row r="232">
          <cell r="I232">
            <v>0</v>
          </cell>
          <cell r="M232">
            <v>0</v>
          </cell>
        </row>
        <row r="239">
          <cell r="E239">
            <v>2399583</v>
          </cell>
          <cell r="I239">
            <v>2399583</v>
          </cell>
          <cell r="M239">
            <v>2583748.5406023604</v>
          </cell>
        </row>
        <row r="246">
          <cell r="E246">
            <v>5213801</v>
          </cell>
          <cell r="I246">
            <v>5213801</v>
          </cell>
          <cell r="M246">
            <v>5613877.20866607</v>
          </cell>
        </row>
        <row r="253">
          <cell r="E253">
            <v>1172159</v>
          </cell>
          <cell r="I253">
            <v>1172159</v>
          </cell>
          <cell r="M253">
            <v>1573000</v>
          </cell>
        </row>
        <row r="279">
          <cell r="E279">
            <v>7366789</v>
          </cell>
          <cell r="I279">
            <v>0</v>
          </cell>
          <cell r="M279">
            <v>0</v>
          </cell>
        </row>
        <row r="322">
          <cell r="E322">
            <v>5419542</v>
          </cell>
          <cell r="I322">
            <v>5419542</v>
          </cell>
          <cell r="M322">
            <v>6223067.0115013495</v>
          </cell>
        </row>
        <row r="434">
          <cell r="E434">
            <v>190140</v>
          </cell>
          <cell r="I434">
            <v>190140</v>
          </cell>
          <cell r="M434">
            <v>200724.74797799997</v>
          </cell>
        </row>
        <row r="437">
          <cell r="E437">
            <v>34784550</v>
          </cell>
          <cell r="I437">
            <v>34784550</v>
          </cell>
          <cell r="M437">
            <v>37473756.3532922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CHG2-1"/>
      <sheetName val="data"/>
    </sheetNames>
    <sheetDataSet>
      <sheetData sheetId="0">
        <row r="27">
          <cell r="H27">
            <v>-112909.92</v>
          </cell>
          <cell r="P27">
            <v>-91849.52178928445</v>
          </cell>
        </row>
        <row r="29">
          <cell r="R29">
            <v>10823933.170899078</v>
          </cell>
        </row>
        <row r="31">
          <cell r="J31">
            <v>13685214.61596847</v>
          </cell>
        </row>
        <row r="32">
          <cell r="J32">
            <v>2293975.726743314</v>
          </cell>
        </row>
        <row r="33">
          <cell r="J33">
            <v>-721248</v>
          </cell>
        </row>
        <row r="34">
          <cell r="J34">
            <v>-119935</v>
          </cell>
        </row>
        <row r="35">
          <cell r="J35">
            <v>0</v>
          </cell>
        </row>
        <row r="36">
          <cell r="F36">
            <v>0</v>
          </cell>
          <cell r="J36">
            <v>-234343.15017749998</v>
          </cell>
          <cell r="R36">
            <v>-480321.33785999997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HG2-5"/>
      <sheetName val="Aday Data"/>
      <sheetName val="Aday TOIT"/>
    </sheetNames>
    <sheetDataSet>
      <sheetData sheetId="0">
        <row r="24">
          <cell r="O24">
            <v>42058979.92</v>
          </cell>
        </row>
        <row r="25">
          <cell r="O25">
            <v>1040978.72</v>
          </cell>
        </row>
        <row r="26">
          <cell r="O26">
            <v>156624</v>
          </cell>
        </row>
        <row r="27">
          <cell r="N27">
            <v>53333.333333333336</v>
          </cell>
          <cell r="O27">
            <v>640000</v>
          </cell>
        </row>
        <row r="28">
          <cell r="N28">
            <v>991849.5880109156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CLG5"/>
    </sheetNames>
    <sheetDataSet>
      <sheetData sheetId="0">
        <row r="20">
          <cell r="S20">
            <v>50060255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HC1"/>
      <sheetName val="Data"/>
    </sheetNames>
    <sheetDataSet>
      <sheetData sheetId="0">
        <row r="29">
          <cell r="F29">
            <v>9657057.905000009</v>
          </cell>
        </row>
        <row r="43">
          <cell r="H43">
            <v>41045482.65686561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CHLC30"/>
      <sheetName val="Data"/>
    </sheetNames>
    <sheetDataSet>
      <sheetData sheetId="0">
        <row r="94">
          <cell r="P94">
            <v>1645575.6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19576717.569092106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daytum"/>
      <sheetName val="DialogBase"/>
    </sheetNames>
    <definedNames>
      <definedName name="AdaytumDropDown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CHG2-2"/>
    </sheetNames>
    <sheetDataSet>
      <sheetData sheetId="0">
        <row r="35">
          <cell r="H35">
            <v>-8000</v>
          </cell>
        </row>
        <row r="36">
          <cell r="H36">
            <v>-122700</v>
          </cell>
        </row>
        <row r="37">
          <cell r="H37">
            <v>-34600</v>
          </cell>
        </row>
        <row r="38">
          <cell r="H38">
            <v>-31000</v>
          </cell>
        </row>
        <row r="39">
          <cell r="H39">
            <v>-7000</v>
          </cell>
        </row>
        <row r="40">
          <cell r="H40">
            <v>-3100</v>
          </cell>
        </row>
        <row r="42">
          <cell r="H42">
            <v>-723580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G1-10"/>
    </sheetNames>
    <sheetDataSet>
      <sheetData sheetId="0">
        <row r="15">
          <cell r="R15">
            <v>12620.100000000004</v>
          </cell>
        </row>
        <row r="16">
          <cell r="R16">
            <v>427465.6900000001</v>
          </cell>
        </row>
        <row r="17">
          <cell r="R17">
            <v>815325.0700000002</v>
          </cell>
        </row>
        <row r="18">
          <cell r="R18">
            <v>13866475.046153843</v>
          </cell>
        </row>
        <row r="19">
          <cell r="R19">
            <v>2745055.3799999994</v>
          </cell>
        </row>
        <row r="20">
          <cell r="R20">
            <v>2587320.9900000016</v>
          </cell>
        </row>
        <row r="21">
          <cell r="R21">
            <v>18702486.3769231</v>
          </cell>
        </row>
        <row r="22">
          <cell r="R22">
            <v>269336013.1823079</v>
          </cell>
        </row>
        <row r="23">
          <cell r="R23">
            <v>281185155.66307706</v>
          </cell>
        </row>
        <row r="24">
          <cell r="R24">
            <v>6509175.899999998</v>
          </cell>
        </row>
        <row r="25">
          <cell r="R25">
            <v>9306050.519999998</v>
          </cell>
        </row>
        <row r="26">
          <cell r="R26">
            <v>37907680.519999936</v>
          </cell>
        </row>
        <row r="27">
          <cell r="R27">
            <v>178409270.17000002</v>
          </cell>
        </row>
        <row r="28">
          <cell r="R28">
            <v>40957885.33000005</v>
          </cell>
        </row>
        <row r="29">
          <cell r="R29">
            <v>37763729.09999996</v>
          </cell>
        </row>
        <row r="30">
          <cell r="R30">
            <v>10694344.976153841</v>
          </cell>
        </row>
        <row r="31">
          <cell r="R31">
            <v>15115293.130000003</v>
          </cell>
        </row>
        <row r="32">
          <cell r="R32">
            <v>9887387.851538466</v>
          </cell>
        </row>
        <row r="33">
          <cell r="R33">
            <v>2430276.1500000013</v>
          </cell>
        </row>
        <row r="34">
          <cell r="R34">
            <v>503059.9500000001</v>
          </cell>
        </row>
        <row r="35">
          <cell r="R35">
            <v>17507.34</v>
          </cell>
        </row>
        <row r="36">
          <cell r="R36">
            <v>4441016.232307691</v>
          </cell>
        </row>
        <row r="37">
          <cell r="R37">
            <v>8786956.700000001</v>
          </cell>
        </row>
        <row r="38">
          <cell r="R38">
            <v>559646.91</v>
          </cell>
        </row>
        <row r="39">
          <cell r="R39">
            <v>7726233.979230771</v>
          </cell>
        </row>
        <row r="40">
          <cell r="R40">
            <v>4764339.450000001</v>
          </cell>
        </row>
        <row r="41">
          <cell r="R41">
            <v>6091018.130000001</v>
          </cell>
        </row>
        <row r="42">
          <cell r="R42">
            <v>279267.91000000003</v>
          </cell>
        </row>
        <row r="43">
          <cell r="R43">
            <v>1663456.6400000004</v>
          </cell>
        </row>
        <row r="44">
          <cell r="R44">
            <v>48912.93000000001</v>
          </cell>
        </row>
        <row r="45">
          <cell r="R45">
            <v>4705503.982307694</v>
          </cell>
        </row>
        <row r="46">
          <cell r="R46">
            <v>46444.560000000005</v>
          </cell>
        </row>
        <row r="47">
          <cell r="R47">
            <v>1917249.4299999985</v>
          </cell>
        </row>
        <row r="48">
          <cell r="R48">
            <v>6891560.701538462</v>
          </cell>
        </row>
        <row r="49">
          <cell r="R49">
            <v>443381.5446153847</v>
          </cell>
        </row>
        <row r="50">
          <cell r="R50">
            <v>1605352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HC2"/>
      <sheetName val="5Yr Plan"/>
    </sheetNames>
    <sheetDataSet>
      <sheetData sheetId="0">
        <row r="31">
          <cell r="E31">
            <v>-114000</v>
          </cell>
        </row>
        <row r="32">
          <cell r="E32">
            <v>-6999.96</v>
          </cell>
        </row>
        <row r="33">
          <cell r="E33">
            <v>-3999.96</v>
          </cell>
        </row>
        <row r="34">
          <cell r="E34">
            <v>-8499.96</v>
          </cell>
        </row>
        <row r="35">
          <cell r="E35">
            <v>-51695.04</v>
          </cell>
        </row>
        <row r="36">
          <cell r="E36">
            <v>-32004</v>
          </cell>
        </row>
        <row r="37">
          <cell r="E37">
            <v>-11000.04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G1-20"/>
      <sheetName val="374DATA"/>
    </sheetNames>
    <sheetDataSet>
      <sheetData sheetId="0">
        <row r="41">
          <cell r="G41">
            <v>71568.66257633758</v>
          </cell>
        </row>
        <row r="42">
          <cell r="G42">
            <v>3785.2121802803995</v>
          </cell>
        </row>
        <row r="43">
          <cell r="G43">
            <v>239639.90956577472</v>
          </cell>
        </row>
        <row r="44">
          <cell r="G44">
            <v>0</v>
          </cell>
        </row>
        <row r="45">
          <cell r="G45">
            <v>11750.451468530091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DG1-1"/>
      <sheetName val="Aday Data"/>
    </sheetNames>
    <sheetDataSet>
      <sheetData sheetId="0">
        <row r="19">
          <cell r="M19">
            <v>18249444.37</v>
          </cell>
        </row>
        <row r="20">
          <cell r="M20">
            <v>2301670.869999999</v>
          </cell>
        </row>
        <row r="22">
          <cell r="M22">
            <v>-0.3199999999778811</v>
          </cell>
        </row>
        <row r="24">
          <cell r="M24">
            <v>1009374293.150363</v>
          </cell>
        </row>
        <row r="29">
          <cell r="K29">
            <v>2108560.0096709547</v>
          </cell>
        </row>
        <row r="30">
          <cell r="M30">
            <v>-7916126.78</v>
          </cell>
        </row>
        <row r="39">
          <cell r="M39">
            <v>-11494370.870289877</v>
          </cell>
        </row>
        <row r="43">
          <cell r="F43">
            <v>536592661.57538474</v>
          </cell>
          <cell r="H43">
            <v>513778482.9446154</v>
          </cell>
          <cell r="M43">
            <v>563599436.2431337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B4"/>
      <sheetName val="Data"/>
    </sheetNames>
    <sheetDataSet>
      <sheetData sheetId="0">
        <row r="13">
          <cell r="R13">
            <v>12620.100000000004</v>
          </cell>
        </row>
        <row r="14">
          <cell r="R14">
            <v>427465.6900000001</v>
          </cell>
        </row>
        <row r="15">
          <cell r="R15">
            <v>815325.0700000002</v>
          </cell>
        </row>
        <row r="16">
          <cell r="R16">
            <v>16134061.749999998</v>
          </cell>
        </row>
        <row r="17">
          <cell r="R17">
            <v>3150258.5584615385</v>
          </cell>
        </row>
        <row r="18">
          <cell r="R18">
            <v>1305781.4746153848</v>
          </cell>
        </row>
        <row r="19">
          <cell r="R19">
            <v>15713614.209999999</v>
          </cell>
        </row>
        <row r="20">
          <cell r="R20">
            <v>241999626.5807692</v>
          </cell>
        </row>
        <row r="21">
          <cell r="R21">
            <v>212941154.5330769</v>
          </cell>
        </row>
        <row r="22">
          <cell r="R22">
            <v>5188049.067692309</v>
          </cell>
        </row>
        <row r="23">
          <cell r="R23">
            <v>8439895.645384617</v>
          </cell>
        </row>
        <row r="24">
          <cell r="R24">
            <v>36823357.11615384</v>
          </cell>
        </row>
        <row r="25">
          <cell r="R25">
            <v>160736545.85307693</v>
          </cell>
        </row>
        <row r="26">
          <cell r="R26">
            <v>35334686.39000001</v>
          </cell>
        </row>
        <row r="27">
          <cell r="R27">
            <v>34659614.60615385</v>
          </cell>
        </row>
        <row r="28">
          <cell r="R28">
            <v>9832187.10230769</v>
          </cell>
        </row>
        <row r="29">
          <cell r="R29">
            <v>14045958.64769231</v>
          </cell>
        </row>
        <row r="30">
          <cell r="R30">
            <v>9565802.340769231</v>
          </cell>
        </row>
        <row r="31">
          <cell r="R31">
            <v>2115134.963846154</v>
          </cell>
        </row>
        <row r="32">
          <cell r="R32">
            <v>1176284.9600000004</v>
          </cell>
        </row>
        <row r="33">
          <cell r="R33">
            <v>8753.67</v>
          </cell>
        </row>
        <row r="34">
          <cell r="R34">
            <v>2887279.602307692</v>
          </cell>
        </row>
        <row r="35">
          <cell r="R35">
            <v>7769550.450000001</v>
          </cell>
        </row>
        <row r="36">
          <cell r="R36">
            <v>624689.273076923</v>
          </cell>
        </row>
        <row r="37">
          <cell r="R37">
            <v>6446033.993076922</v>
          </cell>
        </row>
        <row r="38">
          <cell r="R38">
            <v>4227551.713076924</v>
          </cell>
        </row>
        <row r="39">
          <cell r="R39">
            <v>6091018.130000001</v>
          </cell>
        </row>
        <row r="40">
          <cell r="R40">
            <v>271660.556923077</v>
          </cell>
        </row>
        <row r="41">
          <cell r="R41">
            <v>1365890.9800000002</v>
          </cell>
        </row>
        <row r="42">
          <cell r="R42">
            <v>50493.699230769234</v>
          </cell>
        </row>
        <row r="43">
          <cell r="R43">
            <v>3604453.673076923</v>
          </cell>
        </row>
        <row r="44">
          <cell r="R44">
            <v>47331.74538461538</v>
          </cell>
        </row>
        <row r="45">
          <cell r="R45">
            <v>1596333.271538462</v>
          </cell>
        </row>
        <row r="46">
          <cell r="R46">
            <v>4761948.985384615</v>
          </cell>
        </row>
        <row r="47">
          <cell r="R47">
            <v>433103.22307692294</v>
          </cell>
        </row>
        <row r="48">
          <cell r="R48">
            <v>39237458.56615385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HB2"/>
      <sheetName val="5yr Plan P&amp;L"/>
    </sheetNames>
    <sheetDataSet>
      <sheetData sheetId="0">
        <row r="13">
          <cell r="I13">
            <v>0</v>
          </cell>
        </row>
        <row r="14">
          <cell r="I14">
            <v>-1301285</v>
          </cell>
        </row>
        <row r="15">
          <cell r="F15">
            <v>5248670.869999999</v>
          </cell>
          <cell r="L15">
            <v>2301791.869999999</v>
          </cell>
        </row>
        <row r="16">
          <cell r="F16">
            <v>228954.68000000002</v>
          </cell>
          <cell r="L16">
            <v>0</v>
          </cell>
        </row>
        <row r="17">
          <cell r="F17">
            <v>20636658.51538462</v>
          </cell>
          <cell r="L17">
            <v>20539632.005384617</v>
          </cell>
        </row>
        <row r="22">
          <cell r="F22">
            <v>-5953944.186153846</v>
          </cell>
          <cell r="L22">
            <v>-5953944.186153846</v>
          </cell>
        </row>
        <row r="23">
          <cell r="I23">
            <v>0</v>
          </cell>
        </row>
        <row r="24">
          <cell r="I24">
            <v>280568</v>
          </cell>
        </row>
        <row r="25">
          <cell r="F25">
            <v>-3192161</v>
          </cell>
          <cell r="L25">
            <v>-1366956.3846153845</v>
          </cell>
        </row>
        <row r="26">
          <cell r="L26">
            <v>-13927228</v>
          </cell>
        </row>
        <row r="36">
          <cell r="F36">
            <v>-8367604.936922908</v>
          </cell>
          <cell r="L36">
            <v>-28713410.993076753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CHLB10"/>
      <sheetName val="11501"/>
    </sheetNames>
    <sheetDataSet>
      <sheetData sheetId="0">
        <row r="13">
          <cell r="R13">
            <v>3116</v>
          </cell>
        </row>
        <row r="14">
          <cell r="R14">
            <v>385125</v>
          </cell>
        </row>
        <row r="15">
          <cell r="R15">
            <v>436802</v>
          </cell>
        </row>
        <row r="16">
          <cell r="R16">
            <v>12254566</v>
          </cell>
        </row>
        <row r="17">
          <cell r="R17">
            <v>855544</v>
          </cell>
        </row>
        <row r="18">
          <cell r="R18">
            <v>-7926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HB9"/>
      <sheetName val="Data"/>
    </sheetNames>
    <sheetDataSet>
      <sheetData sheetId="0">
        <row r="14">
          <cell r="R14">
            <v>-3603</v>
          </cell>
        </row>
        <row r="15">
          <cell r="R15">
            <v>3692506</v>
          </cell>
        </row>
        <row r="16">
          <cell r="R16">
            <v>136373656</v>
          </cell>
        </row>
        <row r="17">
          <cell r="R17">
            <v>61783090</v>
          </cell>
        </row>
        <row r="18">
          <cell r="R18">
            <v>1649797</v>
          </cell>
        </row>
        <row r="19">
          <cell r="R19">
            <v>2642517</v>
          </cell>
        </row>
        <row r="20">
          <cell r="R20">
            <v>33518836</v>
          </cell>
        </row>
        <row r="21">
          <cell r="R21">
            <v>55333292</v>
          </cell>
        </row>
        <row r="22">
          <cell r="R22">
            <v>8413526</v>
          </cell>
        </row>
        <row r="23">
          <cell r="R23">
            <v>12661607</v>
          </cell>
        </row>
        <row r="24">
          <cell r="R24">
            <v>4643883</v>
          </cell>
        </row>
        <row r="25">
          <cell r="R25">
            <v>4253154</v>
          </cell>
        </row>
        <row r="26">
          <cell r="R26">
            <v>3564824</v>
          </cell>
        </row>
        <row r="27">
          <cell r="R27">
            <v>968129</v>
          </cell>
        </row>
        <row r="28">
          <cell r="R28">
            <v>248874</v>
          </cell>
        </row>
        <row r="29">
          <cell r="R29">
            <v>1229119</v>
          </cell>
        </row>
        <row r="30">
          <cell r="R30">
            <v>6789066</v>
          </cell>
        </row>
        <row r="31">
          <cell r="R31">
            <v>266147</v>
          </cell>
        </row>
        <row r="32">
          <cell r="R32">
            <v>2833038</v>
          </cell>
        </row>
        <row r="33">
          <cell r="R33">
            <v>1610670</v>
          </cell>
        </row>
        <row r="34">
          <cell r="R34">
            <v>490073</v>
          </cell>
        </row>
        <row r="35">
          <cell r="R35">
            <v>146715</v>
          </cell>
        </row>
        <row r="36">
          <cell r="R36">
            <v>579555</v>
          </cell>
        </row>
        <row r="37">
          <cell r="R37">
            <v>48561</v>
          </cell>
        </row>
        <row r="38">
          <cell r="R38">
            <v>2465507</v>
          </cell>
        </row>
        <row r="39">
          <cell r="R39">
            <v>-24933</v>
          </cell>
        </row>
        <row r="40">
          <cell r="R40">
            <v>1226378</v>
          </cell>
        </row>
        <row r="41">
          <cell r="R41">
            <v>2101891</v>
          </cell>
        </row>
        <row r="42">
          <cell r="R42">
            <v>244947</v>
          </cell>
        </row>
        <row r="46">
          <cell r="R46">
            <v>-1829159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HG1-12"/>
      <sheetName val="Data"/>
      <sheetName val="Removal"/>
    </sheetNames>
    <sheetDataSet>
      <sheetData sheetId="0">
        <row r="13">
          <cell r="R13">
            <v>2188815.203076923</v>
          </cell>
        </row>
        <row r="14">
          <cell r="R14">
            <v>3878799.320769231</v>
          </cell>
        </row>
        <row r="15">
          <cell r="R15">
            <v>155307830.77538463</v>
          </cell>
        </row>
        <row r="16">
          <cell r="R16">
            <v>74449158.96307692</v>
          </cell>
        </row>
        <row r="17">
          <cell r="R17">
            <v>1790495.6953846156</v>
          </cell>
        </row>
        <row r="18">
          <cell r="R18">
            <v>2997387.61</v>
          </cell>
        </row>
        <row r="19">
          <cell r="R19">
            <v>35183959.28384615</v>
          </cell>
        </row>
        <row r="20">
          <cell r="R20">
            <v>70749840.40384616</v>
          </cell>
        </row>
        <row r="21">
          <cell r="R21">
            <v>12083332.831538461</v>
          </cell>
        </row>
        <row r="22">
          <cell r="R22">
            <v>14245525.86153846</v>
          </cell>
        </row>
        <row r="23">
          <cell r="R23">
            <v>4686044.40923077</v>
          </cell>
        </row>
        <row r="24">
          <cell r="R24">
            <v>5050373.499230769</v>
          </cell>
        </row>
        <row r="25">
          <cell r="R25">
            <v>4221482.910769231</v>
          </cell>
        </row>
        <row r="26">
          <cell r="R26">
            <v>1203884.8523076924</v>
          </cell>
        </row>
        <row r="27">
          <cell r="R27">
            <v>106791.84000000001</v>
          </cell>
        </row>
        <row r="28">
          <cell r="R28">
            <v>1613733.3446153847</v>
          </cell>
        </row>
        <row r="29">
          <cell r="R29">
            <v>7583217.59</v>
          </cell>
        </row>
        <row r="30">
          <cell r="R30">
            <v>208562.97</v>
          </cell>
        </row>
        <row r="31">
          <cell r="R31">
            <v>3022734.563846154</v>
          </cell>
        </row>
        <row r="32">
          <cell r="R32">
            <v>2701580.0800000005</v>
          </cell>
        </row>
        <row r="33">
          <cell r="R33">
            <v>721482.6799999999</v>
          </cell>
        </row>
        <row r="34">
          <cell r="R34">
            <v>168837.48999999996</v>
          </cell>
        </row>
        <row r="35">
          <cell r="R35">
            <v>880054.01</v>
          </cell>
        </row>
        <row r="36">
          <cell r="R36">
            <v>47136.69999999999</v>
          </cell>
        </row>
        <row r="37">
          <cell r="R37">
            <v>2802754.807692307</v>
          </cell>
        </row>
        <row r="38">
          <cell r="R38">
            <v>-18514.209230769233</v>
          </cell>
        </row>
        <row r="39">
          <cell r="R39">
            <v>1397600.4769230767</v>
          </cell>
        </row>
        <row r="40">
          <cell r="R40">
            <v>3352302.5884615383</v>
          </cell>
        </row>
        <row r="41">
          <cell r="R41">
            <v>280687.3</v>
          </cell>
        </row>
        <row r="50">
          <cell r="R50">
            <v>-1862906.6099999996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7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4" max="4" width="14.8515625" style="0" customWidth="1"/>
    <col min="6" max="6" width="11.28125" style="0" customWidth="1"/>
    <col min="7" max="7" width="17.00390625" style="0" customWidth="1"/>
    <col min="8" max="8" width="9.421875" style="0" customWidth="1"/>
    <col min="9" max="9" width="14.57421875" style="0" customWidth="1"/>
    <col min="11" max="11" width="14.7109375" style="0" customWidth="1"/>
    <col min="13" max="13" width="17.28125" style="0" customWidth="1"/>
    <col min="15" max="15" width="18.00390625" style="0" customWidth="1"/>
    <col min="16" max="16" width="10.421875" style="0" customWidth="1"/>
    <col min="17" max="17" width="16.7109375" style="0" bestFit="1" customWidth="1"/>
    <col min="18" max="18" width="5.00390625" style="0" customWidth="1"/>
    <col min="20" max="20" width="12.421875" style="0" bestFit="1" customWidth="1"/>
    <col min="21" max="21" width="18.140625" style="0" customWidth="1"/>
    <col min="22" max="22" width="4.8515625" style="0" customWidth="1"/>
    <col min="24" max="24" width="16.00390625" style="0" bestFit="1" customWidth="1"/>
  </cols>
  <sheetData>
    <row r="1" spans="1:2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 t="s">
        <v>1</v>
      </c>
      <c r="L1" s="2"/>
      <c r="M1" s="2"/>
      <c r="N1" s="2"/>
      <c r="O1" s="2"/>
      <c r="P1" s="2"/>
      <c r="Q1" s="2"/>
      <c r="R1" s="2"/>
      <c r="S1" s="1" t="s">
        <v>2</v>
      </c>
      <c r="T1" s="2"/>
      <c r="U1" s="2"/>
      <c r="V1" s="2"/>
    </row>
    <row r="2" spans="1:2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1" t="s">
        <v>3</v>
      </c>
      <c r="B3" s="2"/>
      <c r="C3" s="2"/>
      <c r="D3" s="2"/>
      <c r="E3" s="2"/>
      <c r="F3" s="2"/>
      <c r="G3" s="2"/>
      <c r="H3" s="2"/>
      <c r="J3" s="27" t="s">
        <v>175</v>
      </c>
      <c r="L3" s="2"/>
      <c r="M3" s="4"/>
      <c r="N3" s="2"/>
      <c r="O3" s="2"/>
      <c r="P3" s="2"/>
      <c r="Q3" s="2"/>
      <c r="R3" s="2"/>
      <c r="S3" s="1" t="s">
        <v>5</v>
      </c>
      <c r="T3" s="2"/>
      <c r="U3" s="2"/>
      <c r="V3" s="2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J4" s="2"/>
      <c r="L4" s="27" t="s">
        <v>176</v>
      </c>
      <c r="M4" s="2"/>
      <c r="N4" s="2"/>
      <c r="O4" s="2"/>
      <c r="P4" s="2"/>
      <c r="Q4" s="2"/>
      <c r="R4" s="2"/>
      <c r="S4" s="27" t="s">
        <v>332</v>
      </c>
      <c r="T4" s="2"/>
      <c r="U4" s="2"/>
      <c r="V4" s="2"/>
    </row>
    <row r="5" spans="1:22" ht="12.75">
      <c r="A5" s="1" t="s">
        <v>6</v>
      </c>
      <c r="B5" s="2"/>
      <c r="C5" s="2" t="s">
        <v>180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7" t="s">
        <v>333</v>
      </c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7" t="s">
        <v>335</v>
      </c>
      <c r="T6" s="2"/>
      <c r="U6" s="2"/>
      <c r="V6" s="2"/>
    </row>
    <row r="7" spans="1:22" ht="12.75">
      <c r="A7" s="1" t="s">
        <v>348</v>
      </c>
      <c r="B7" s="2"/>
      <c r="C7" s="143" t="s">
        <v>349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9" t="s">
        <v>336</v>
      </c>
      <c r="T7" s="2"/>
      <c r="U7" s="2" t="s">
        <v>350</v>
      </c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7" t="s">
        <v>334</v>
      </c>
      <c r="P10" s="2"/>
      <c r="Q10" s="2"/>
      <c r="R10" s="2"/>
      <c r="S10" s="2"/>
      <c r="T10" s="2"/>
      <c r="U10" s="2"/>
      <c r="V10" s="2"/>
    </row>
    <row r="11" spans="1:22" ht="12.75">
      <c r="A11" s="2"/>
      <c r="B11" s="2"/>
      <c r="C11" s="2"/>
      <c r="D11" s="2"/>
      <c r="E11" s="2"/>
      <c r="F11" s="2"/>
      <c r="G11" s="38" t="s">
        <v>181</v>
      </c>
      <c r="H11" s="2"/>
      <c r="I11" s="38" t="s">
        <v>181</v>
      </c>
      <c r="J11" s="2"/>
      <c r="K11" s="38" t="s">
        <v>181</v>
      </c>
      <c r="L11" s="2"/>
      <c r="M11" s="38" t="s">
        <v>181</v>
      </c>
      <c r="N11" s="2"/>
      <c r="O11" s="1"/>
      <c r="P11" s="2"/>
      <c r="Q11" s="2"/>
      <c r="R11" s="2"/>
      <c r="S11" s="2"/>
      <c r="T11" s="2"/>
      <c r="U11" s="6" t="s">
        <v>8</v>
      </c>
      <c r="V11" s="2"/>
    </row>
    <row r="12" spans="1:22" ht="12.75">
      <c r="A12" s="2"/>
      <c r="B12" s="2"/>
      <c r="C12" s="2"/>
      <c r="D12" s="2"/>
      <c r="E12" s="2"/>
      <c r="F12" s="2"/>
      <c r="G12" s="6" t="s">
        <v>182</v>
      </c>
      <c r="H12" s="2"/>
      <c r="I12" s="6" t="s">
        <v>182</v>
      </c>
      <c r="J12" s="2"/>
      <c r="K12" s="6" t="s">
        <v>182</v>
      </c>
      <c r="L12" s="2"/>
      <c r="M12" s="6" t="s">
        <v>182</v>
      </c>
      <c r="N12" s="2"/>
      <c r="O12" s="6" t="s">
        <v>183</v>
      </c>
      <c r="P12" s="2"/>
      <c r="Q12" s="6" t="s">
        <v>9</v>
      </c>
      <c r="R12" s="2"/>
      <c r="S12" s="2"/>
      <c r="T12" s="2"/>
      <c r="U12" s="6" t="s">
        <v>10</v>
      </c>
      <c r="V12" s="2"/>
    </row>
    <row r="13" spans="1:22" ht="12.75">
      <c r="A13" s="2"/>
      <c r="B13" s="2"/>
      <c r="C13" s="2"/>
      <c r="D13" s="2"/>
      <c r="E13" s="2"/>
      <c r="F13" s="2"/>
      <c r="G13" s="7">
        <v>37986</v>
      </c>
      <c r="H13" s="2"/>
      <c r="I13" s="7">
        <v>38352</v>
      </c>
      <c r="J13" s="2"/>
      <c r="K13" s="7">
        <v>38717</v>
      </c>
      <c r="L13" s="2"/>
      <c r="M13" s="39">
        <v>39082</v>
      </c>
      <c r="N13" s="2"/>
      <c r="O13" s="39" t="s">
        <v>184</v>
      </c>
      <c r="P13" s="2"/>
      <c r="Q13" s="6" t="s">
        <v>11</v>
      </c>
      <c r="R13" s="2"/>
      <c r="S13" s="2"/>
      <c r="T13" s="2"/>
      <c r="U13" s="18" t="s">
        <v>337</v>
      </c>
      <c r="V13" s="2"/>
    </row>
    <row r="14" spans="1:22" ht="13.5" thickBot="1">
      <c r="A14" s="3"/>
      <c r="B14" s="3"/>
      <c r="C14" s="3"/>
      <c r="D14" s="3"/>
      <c r="E14" s="3"/>
      <c r="F14" s="3"/>
      <c r="G14" s="65"/>
      <c r="H14" s="9"/>
      <c r="I14" s="8"/>
      <c r="J14" s="9"/>
      <c r="K14" s="8"/>
      <c r="L14" s="9"/>
      <c r="M14" s="8"/>
      <c r="N14" s="9"/>
      <c r="O14" s="8"/>
      <c r="P14" s="10"/>
      <c r="Q14" s="8"/>
      <c r="R14" s="10"/>
      <c r="S14" s="8"/>
      <c r="T14" s="10"/>
      <c r="U14" s="8"/>
      <c r="V14" s="3"/>
    </row>
    <row r="15" spans="1:22" ht="12.75">
      <c r="A15" s="6" t="s">
        <v>12</v>
      </c>
      <c r="B15" s="6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5" t="s">
        <v>14</v>
      </c>
      <c r="B16" s="25" t="s">
        <v>14</v>
      </c>
      <c r="C16" s="25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5"/>
      <c r="V17" s="2"/>
    </row>
    <row r="18" spans="1:22" ht="12.75">
      <c r="A18" s="6" t="s">
        <v>16</v>
      </c>
      <c r="B18" s="6" t="s">
        <v>17</v>
      </c>
      <c r="C18" s="1" t="s">
        <v>18</v>
      </c>
      <c r="D18" s="2"/>
      <c r="E18" s="2"/>
      <c r="F18" s="2"/>
      <c r="G18" s="40">
        <v>0</v>
      </c>
      <c r="H18" s="11"/>
      <c r="I18" s="40">
        <v>0</v>
      </c>
      <c r="J18" s="11"/>
      <c r="K18" s="40">
        <v>0</v>
      </c>
      <c r="L18" s="11"/>
      <c r="M18" s="40">
        <v>0</v>
      </c>
      <c r="N18" s="11"/>
      <c r="O18" s="40">
        <v>0</v>
      </c>
      <c r="P18" s="11"/>
      <c r="Q18" s="88">
        <f>ROUND(O18,4)</f>
        <v>0</v>
      </c>
      <c r="R18" s="11"/>
      <c r="S18" s="11"/>
      <c r="T18" s="11"/>
      <c r="U18" s="11">
        <v>0</v>
      </c>
      <c r="V18" s="11"/>
    </row>
    <row r="19" spans="1:22" ht="12.75">
      <c r="A19" s="12"/>
      <c r="B19" s="2"/>
      <c r="C19" s="2"/>
      <c r="D19" s="2"/>
      <c r="E19" s="2"/>
      <c r="F19" s="2"/>
      <c r="G19" s="11"/>
      <c r="H19" s="20"/>
      <c r="I19" s="11"/>
      <c r="J19" s="20"/>
      <c r="K19" s="11"/>
      <c r="L19" s="20"/>
      <c r="M19" s="11"/>
      <c r="N19" s="20"/>
      <c r="O19" s="11"/>
      <c r="P19" s="20"/>
      <c r="Q19" s="88"/>
      <c r="R19" s="20"/>
      <c r="S19" s="20"/>
      <c r="T19" s="20"/>
      <c r="U19" s="11"/>
      <c r="V19" s="2"/>
    </row>
    <row r="20" spans="1:22" ht="12.75">
      <c r="A20" s="6" t="s">
        <v>19</v>
      </c>
      <c r="B20" s="6" t="s">
        <v>20</v>
      </c>
      <c r="C20" s="1" t="s">
        <v>21</v>
      </c>
      <c r="D20" s="2"/>
      <c r="E20" s="2"/>
      <c r="F20" s="2"/>
      <c r="G20" s="40">
        <f>SUM(PlantData!E6:E9)</f>
        <v>13966576.954615382</v>
      </c>
      <c r="H20" s="20"/>
      <c r="I20" s="40">
        <f>SUM(PlantData!G6:G9)</f>
        <v>15637897.994615383</v>
      </c>
      <c r="J20" s="20"/>
      <c r="K20" s="40">
        <f>SUM(PlantData!I6:I9)</f>
        <v>15804034.55307692</v>
      </c>
      <c r="L20" s="20"/>
      <c r="M20" s="40">
        <f>SUM(PlantData!K6:K9)</f>
        <v>16539352.096923077</v>
      </c>
      <c r="N20" s="20"/>
      <c r="O20" s="11">
        <f>SUM('[5]SCHB4'!$R$13:$R$16)</f>
        <v>17389472.61</v>
      </c>
      <c r="P20" s="20"/>
      <c r="Q20" s="86">
        <f>ROUND(O20,4)</f>
        <v>17389472.61</v>
      </c>
      <c r="R20" s="20"/>
      <c r="S20" s="20"/>
      <c r="T20" s="20"/>
      <c r="U20" s="11">
        <f>SUM('[2]SCHG1-10'!$R$15:$R$18)-'[3]SCHG1-20'!$G$41</f>
        <v>15050317.243577505</v>
      </c>
      <c r="V20" s="2"/>
    </row>
    <row r="21" spans="1:22" ht="12.75">
      <c r="A21" s="12"/>
      <c r="B21" s="2"/>
      <c r="C21" s="2"/>
      <c r="D21" s="2"/>
      <c r="E21" s="2"/>
      <c r="F21" s="2"/>
      <c r="G21" s="11"/>
      <c r="H21" s="20"/>
      <c r="I21" s="11"/>
      <c r="J21" s="20"/>
      <c r="K21" s="11"/>
      <c r="L21" s="20"/>
      <c r="M21" s="11"/>
      <c r="N21" s="20"/>
      <c r="O21" s="11"/>
      <c r="P21" s="20"/>
      <c r="Q21" s="88"/>
      <c r="R21" s="20"/>
      <c r="S21" s="20"/>
      <c r="T21" s="20"/>
      <c r="U21" s="11"/>
      <c r="V21" s="2"/>
    </row>
    <row r="22" spans="1:22" ht="12.75">
      <c r="A22" s="12"/>
      <c r="B22" s="2"/>
      <c r="C22" s="26" t="s">
        <v>22</v>
      </c>
      <c r="D22" s="2"/>
      <c r="E22" s="2"/>
      <c r="F22" s="2"/>
      <c r="G22" s="11"/>
      <c r="H22" s="20"/>
      <c r="I22" s="11"/>
      <c r="J22" s="20"/>
      <c r="K22" s="11"/>
      <c r="L22" s="20"/>
      <c r="M22" s="11"/>
      <c r="N22" s="20"/>
      <c r="O22" s="11"/>
      <c r="P22" s="20"/>
      <c r="Q22" s="88"/>
      <c r="R22" s="20"/>
      <c r="S22" s="20"/>
      <c r="T22" s="20"/>
      <c r="U22" s="11"/>
      <c r="V22" s="2"/>
    </row>
    <row r="23" spans="1:22" ht="12.75">
      <c r="A23" s="12"/>
      <c r="B23" s="2"/>
      <c r="C23" s="2"/>
      <c r="D23" s="2"/>
      <c r="E23" s="2"/>
      <c r="F23" s="2"/>
      <c r="G23" s="11"/>
      <c r="H23" s="20"/>
      <c r="I23" s="11"/>
      <c r="J23" s="20"/>
      <c r="K23" s="11"/>
      <c r="L23" s="20"/>
      <c r="M23" s="11"/>
      <c r="N23" s="20"/>
      <c r="O23" s="11"/>
      <c r="P23" s="20"/>
      <c r="Q23" s="88"/>
      <c r="R23" s="20"/>
      <c r="S23" s="20"/>
      <c r="T23" s="20"/>
      <c r="U23" s="11"/>
      <c r="V23" s="2"/>
    </row>
    <row r="24" spans="1:22" ht="12.75">
      <c r="A24" s="6" t="s">
        <v>23</v>
      </c>
      <c r="B24" s="6" t="s">
        <v>24</v>
      </c>
      <c r="C24" s="1" t="s">
        <v>25</v>
      </c>
      <c r="D24" s="2"/>
      <c r="E24" s="2"/>
      <c r="F24" s="2"/>
      <c r="G24" s="40">
        <f>+PlantData!E10+PlantData!E11</f>
        <v>3421437.6061538463</v>
      </c>
      <c r="H24" s="20"/>
      <c r="I24" s="40">
        <f>+PlantData!G10+PlantData!G11</f>
        <v>3230312.6438461533</v>
      </c>
      <c r="J24" s="20"/>
      <c r="K24" s="40">
        <f>+PlantData!I10+PlantData!I11</f>
        <v>3463278.8323076926</v>
      </c>
      <c r="L24" s="20"/>
      <c r="M24" s="40">
        <f>+PlantData!K10+PlantData!K11</f>
        <v>4001480.886153847</v>
      </c>
      <c r="N24" s="20"/>
      <c r="O24" s="11">
        <f>+'[5]SCHB4'!$R$17+'[5]SCHB4'!$R$18</f>
        <v>4456040.033076923</v>
      </c>
      <c r="P24" s="20"/>
      <c r="Q24" s="86">
        <f>ROUND(O24,2)</f>
        <v>4456040.03</v>
      </c>
      <c r="R24" s="20"/>
      <c r="S24" s="20"/>
      <c r="T24" s="20"/>
      <c r="U24" s="21">
        <f>SUM('[2]SCHG1-10'!$R$19:$R$20)-'[3]SCHG1-20'!$G$42</f>
        <v>5328591.157819721</v>
      </c>
      <c r="V24" s="2"/>
    </row>
    <row r="25" spans="1:22" ht="12.75">
      <c r="A25" s="6" t="s">
        <v>26</v>
      </c>
      <c r="B25" s="6" t="s">
        <v>27</v>
      </c>
      <c r="C25" s="1" t="s">
        <v>28</v>
      </c>
      <c r="D25" s="2"/>
      <c r="E25" s="2"/>
      <c r="F25" s="2"/>
      <c r="G25" s="50">
        <f>+PlantData!E12</f>
        <v>15494971.756923076</v>
      </c>
      <c r="H25" s="20"/>
      <c r="I25" s="50">
        <f>+PlantData!G12</f>
        <v>15017404.596153842</v>
      </c>
      <c r="J25" s="20"/>
      <c r="K25" s="50">
        <f>+PlantData!I12</f>
        <v>14432002.997692307</v>
      </c>
      <c r="L25" s="20"/>
      <c r="M25" s="50">
        <f>+PlantData!K12</f>
        <v>14554469.900769232</v>
      </c>
      <c r="N25" s="20"/>
      <c r="O25" s="74">
        <f>+'[5]SCHB4'!$R$19</f>
        <v>15713614.209999999</v>
      </c>
      <c r="P25" s="20"/>
      <c r="Q25" s="86">
        <f aca="true" t="shared" si="0" ref="Q25:Q36">ROUND(O25,2)</f>
        <v>15713614.21</v>
      </c>
      <c r="R25" s="20"/>
      <c r="S25" s="20"/>
      <c r="T25" s="20"/>
      <c r="U25" s="21">
        <f>+'[2]SCHG1-10'!$R$21-'[3]SCHG1-20'!$G$43</f>
        <v>18462846.467357323</v>
      </c>
      <c r="V25" s="2"/>
    </row>
    <row r="26" spans="1:22" ht="12.75">
      <c r="A26" s="6" t="s">
        <v>29</v>
      </c>
      <c r="B26" s="6" t="s">
        <v>30</v>
      </c>
      <c r="C26" s="1" t="s">
        <v>31</v>
      </c>
      <c r="D26" s="2"/>
      <c r="E26" s="2"/>
      <c r="F26" s="79"/>
      <c r="G26" s="50">
        <f>+PlantData!E13+PlantData!E14</f>
        <v>363914497.34307694</v>
      </c>
      <c r="H26" s="20"/>
      <c r="I26" s="50">
        <f>+PlantData!G13+PlantData!G14</f>
        <v>409054768.9984616</v>
      </c>
      <c r="J26" s="20"/>
      <c r="K26" s="50">
        <f>+PlantData!I13+PlantData!I14</f>
        <v>421162463.0576923</v>
      </c>
      <c r="L26" s="20"/>
      <c r="M26" s="50">
        <f>+PlantData!K13+PlantData!K14</f>
        <v>434727761.6046154</v>
      </c>
      <c r="N26" s="20"/>
      <c r="O26" s="74">
        <f>SUM('[5]SCHB4'!$R$20:$R$21)</f>
        <v>454940781.1138461</v>
      </c>
      <c r="P26" s="20"/>
      <c r="Q26" s="86">
        <f t="shared" si="0"/>
        <v>454940781.11</v>
      </c>
      <c r="R26" s="20"/>
      <c r="S26" s="20"/>
      <c r="T26" s="20"/>
      <c r="U26" s="21">
        <f>SUM('[2]SCHG1-10'!$R$22:$R$23)</f>
        <v>550521168.845385</v>
      </c>
      <c r="V26" s="2"/>
    </row>
    <row r="27" spans="1:22" ht="12.75">
      <c r="A27" s="6" t="s">
        <v>32</v>
      </c>
      <c r="B27" s="6" t="s">
        <v>33</v>
      </c>
      <c r="C27" s="1" t="s">
        <v>34</v>
      </c>
      <c r="D27" s="2"/>
      <c r="E27" s="2"/>
      <c r="F27" s="66"/>
      <c r="G27" s="50">
        <v>0</v>
      </c>
      <c r="H27" s="20"/>
      <c r="I27" s="50">
        <v>0</v>
      </c>
      <c r="J27" s="20"/>
      <c r="K27" s="50">
        <v>0</v>
      </c>
      <c r="L27" s="20"/>
      <c r="M27" s="50">
        <v>0</v>
      </c>
      <c r="N27" s="20"/>
      <c r="O27" s="50">
        <v>0</v>
      </c>
      <c r="P27" s="20"/>
      <c r="Q27" s="86">
        <f t="shared" si="0"/>
        <v>0</v>
      </c>
      <c r="R27" s="20"/>
      <c r="S27" s="20"/>
      <c r="T27" s="20"/>
      <c r="U27" s="21">
        <v>0</v>
      </c>
      <c r="V27" s="2"/>
    </row>
    <row r="28" spans="1:22" ht="12.75">
      <c r="A28" s="6" t="s">
        <v>35</v>
      </c>
      <c r="B28" s="6" t="s">
        <v>36</v>
      </c>
      <c r="C28" s="1" t="s">
        <v>37</v>
      </c>
      <c r="D28" s="2"/>
      <c r="E28" s="2"/>
      <c r="F28" s="2"/>
      <c r="G28" s="50">
        <f>+PlantData!E15+PlantData!E16</f>
        <v>4217646.929230769</v>
      </c>
      <c r="H28" s="20"/>
      <c r="I28" s="50">
        <f>+PlantData!G15+PlantData!G16</f>
        <v>4681150.715384615</v>
      </c>
      <c r="J28" s="20"/>
      <c r="K28" s="50">
        <f>+PlantData!I15+PlantData!I16</f>
        <v>4880358.816153846</v>
      </c>
      <c r="L28" s="20"/>
      <c r="M28" s="50">
        <f>+PlantData!K15+PlantData!K16</f>
        <v>5048052.290769231</v>
      </c>
      <c r="N28" s="20"/>
      <c r="O28" s="74">
        <f>SUM('[5]SCHB4'!$R$22)</f>
        <v>5188049.067692309</v>
      </c>
      <c r="P28" s="20"/>
      <c r="Q28" s="86">
        <f t="shared" si="0"/>
        <v>5188049.07</v>
      </c>
      <c r="R28" s="20"/>
      <c r="S28" s="20"/>
      <c r="T28" s="20"/>
      <c r="U28" s="21">
        <f>SUM('[2]SCHG1-10'!$R$24)</f>
        <v>6509175.899999998</v>
      </c>
      <c r="V28" s="2"/>
    </row>
    <row r="29" spans="1:22" ht="12.75">
      <c r="A29" s="6" t="s">
        <v>38</v>
      </c>
      <c r="B29" s="6" t="s">
        <v>39</v>
      </c>
      <c r="C29" s="1" t="s">
        <v>40</v>
      </c>
      <c r="D29" s="2"/>
      <c r="E29" s="2"/>
      <c r="F29" s="2"/>
      <c r="G29" s="50">
        <f>+PlantData!E17+PlantData!E18</f>
        <v>6157461.167692307</v>
      </c>
      <c r="H29" s="20"/>
      <c r="I29" s="50">
        <f>+PlantData!G17+PlantData!G18</f>
        <v>6789112.002307693</v>
      </c>
      <c r="J29" s="20"/>
      <c r="K29" s="50">
        <f>+PlantData!I17+PlantData!I18</f>
        <v>8087650.180000002</v>
      </c>
      <c r="L29" s="20"/>
      <c r="M29" s="50">
        <f>+PlantData!K17+PlantData!K18</f>
        <v>8311274.177692308</v>
      </c>
      <c r="N29" s="20"/>
      <c r="O29" s="74">
        <f>SUM('[5]SCHB4'!$R$23)</f>
        <v>8439895.645384617</v>
      </c>
      <c r="P29" s="20"/>
      <c r="Q29" s="86">
        <f t="shared" si="0"/>
        <v>8439895.65</v>
      </c>
      <c r="R29" s="20"/>
      <c r="S29" s="20"/>
      <c r="T29" s="20"/>
      <c r="U29" s="21">
        <f>SUM('[2]SCHG1-10'!$R$25)</f>
        <v>9306050.519999998</v>
      </c>
      <c r="V29" s="2"/>
    </row>
    <row r="30" spans="1:22" ht="12.75">
      <c r="A30" s="6" t="s">
        <v>41</v>
      </c>
      <c r="B30" s="6" t="s">
        <v>42</v>
      </c>
      <c r="C30" s="1" t="s">
        <v>43</v>
      </c>
      <c r="D30" s="2"/>
      <c r="E30" s="2"/>
      <c r="F30" s="2"/>
      <c r="G30" s="50">
        <f>+PlantData!E19+PlantData!E20</f>
        <v>156949973.5353846</v>
      </c>
      <c r="H30" s="20"/>
      <c r="I30" s="50">
        <f>+PlantData!G19+PlantData!G20</f>
        <v>167737395.3546154</v>
      </c>
      <c r="J30" s="20"/>
      <c r="K30" s="50">
        <f>+PlantData!I19+PlantData!I20</f>
        <v>177249477.15538463</v>
      </c>
      <c r="L30" s="20"/>
      <c r="M30" s="50">
        <f>+PlantData!K19+PlantData!K20</f>
        <v>187153966.5746154</v>
      </c>
      <c r="N30" s="20"/>
      <c r="O30" s="74">
        <f>SUM('[5]SCHB4'!$R$24:$R$25)</f>
        <v>197559902.96923077</v>
      </c>
      <c r="P30" s="20"/>
      <c r="Q30" s="86">
        <f t="shared" si="0"/>
        <v>197559902.97</v>
      </c>
      <c r="R30" s="20"/>
      <c r="S30" s="20"/>
      <c r="T30" s="20"/>
      <c r="U30" s="21">
        <f>SUM('[2]SCHG1-10'!$R$26:$R$27)</f>
        <v>216316950.68999994</v>
      </c>
      <c r="V30" s="2"/>
    </row>
    <row r="31" spans="1:22" ht="12.75">
      <c r="A31" s="6" t="s">
        <v>44</v>
      </c>
      <c r="B31" s="6" t="s">
        <v>45</v>
      </c>
      <c r="C31" s="1" t="s">
        <v>46</v>
      </c>
      <c r="D31" s="2"/>
      <c r="E31" s="2"/>
      <c r="F31" s="2"/>
      <c r="G31" s="50">
        <f>+PlantData!E21+PlantData!E22+PlantData!E23</f>
        <v>52894667.963846155</v>
      </c>
      <c r="H31" s="20"/>
      <c r="I31" s="50">
        <f>+PlantData!G21+PlantData!G22+PlantData!G23</f>
        <v>56747839.43307692</v>
      </c>
      <c r="J31" s="20"/>
      <c r="K31" s="50">
        <f>+PlantData!I21+PlantData!I22+PlantData!I23</f>
        <v>60627631.535384625</v>
      </c>
      <c r="L31" s="20"/>
      <c r="M31" s="50">
        <f>+PlantData!K21+PlantData!K22+PlantData!K23</f>
        <v>64795371.41923078</v>
      </c>
      <c r="N31" s="20"/>
      <c r="O31" s="74">
        <f>SUM('[5]SCHB4'!$R$26:$R$27)</f>
        <v>69994300.99615386</v>
      </c>
      <c r="P31" s="20"/>
      <c r="Q31" s="86">
        <f t="shared" si="0"/>
        <v>69994301</v>
      </c>
      <c r="R31" s="20"/>
      <c r="S31" s="20"/>
      <c r="T31" s="20"/>
      <c r="U31" s="21">
        <f>SUM('[2]SCHG1-10'!$R$28:$R$29)</f>
        <v>78721614.43</v>
      </c>
      <c r="V31" s="2"/>
    </row>
    <row r="32" spans="1:22" ht="12.75">
      <c r="A32" s="6" t="s">
        <v>47</v>
      </c>
      <c r="B32" s="6" t="s">
        <v>48</v>
      </c>
      <c r="C32" s="1" t="s">
        <v>49</v>
      </c>
      <c r="D32" s="2"/>
      <c r="E32" s="2"/>
      <c r="F32" s="2"/>
      <c r="G32" s="50">
        <f>+PlantData!E24+PlantData!E25</f>
        <v>18116633.37153846</v>
      </c>
      <c r="H32" s="20"/>
      <c r="I32" s="50">
        <f>+PlantData!G24+PlantData!G25</f>
        <v>19470235.154615387</v>
      </c>
      <c r="J32" s="20"/>
      <c r="K32" s="50">
        <f>+PlantData!I24+PlantData!I25</f>
        <v>20485949.332307696</v>
      </c>
      <c r="L32" s="20"/>
      <c r="M32" s="50">
        <f>+PlantData!K24+PlantData!K25</f>
        <v>22021697.06538461</v>
      </c>
      <c r="N32" s="20"/>
      <c r="O32" s="74">
        <f>SUM('[5]SCHB4'!$R$28:$R$29)</f>
        <v>23878145.75</v>
      </c>
      <c r="P32" s="20"/>
      <c r="Q32" s="86">
        <f t="shared" si="0"/>
        <v>23878145.75</v>
      </c>
      <c r="R32" s="20"/>
      <c r="S32" s="20"/>
      <c r="T32" s="20"/>
      <c r="U32" s="21">
        <f>SUM('[2]SCHG1-10'!$R$30:$R$31)</f>
        <v>25809638.106153846</v>
      </c>
      <c r="V32" s="2"/>
    </row>
    <row r="33" spans="1:22" ht="12.75">
      <c r="A33" s="6" t="s">
        <v>50</v>
      </c>
      <c r="B33" s="6" t="s">
        <v>51</v>
      </c>
      <c r="C33" s="1" t="s">
        <v>52</v>
      </c>
      <c r="D33" s="2"/>
      <c r="E33" s="2"/>
      <c r="F33" s="2"/>
      <c r="G33" s="50">
        <f>+PlantData!E26</f>
        <v>8438296.340769231</v>
      </c>
      <c r="H33" s="20"/>
      <c r="I33" s="50">
        <f>+PlantData!G26</f>
        <v>8746190.572307691</v>
      </c>
      <c r="J33" s="20"/>
      <c r="K33" s="50">
        <f>+PlantData!I26</f>
        <v>8980106.00076923</v>
      </c>
      <c r="L33" s="20"/>
      <c r="M33" s="50">
        <f>+PlantData!K26</f>
        <v>9319863.664615383</v>
      </c>
      <c r="N33" s="20"/>
      <c r="O33" s="74">
        <f>+'[5]SCHB4'!$R$30</f>
        <v>9565802.340769231</v>
      </c>
      <c r="P33" s="20"/>
      <c r="Q33" s="86">
        <f t="shared" si="0"/>
        <v>9565802.34</v>
      </c>
      <c r="R33" s="20"/>
      <c r="S33" s="20"/>
      <c r="T33" s="20"/>
      <c r="U33" s="21">
        <f>+'[2]SCHG1-10'!$R$32</f>
        <v>9887387.851538466</v>
      </c>
      <c r="V33" s="2"/>
    </row>
    <row r="34" spans="1:22" ht="12.75">
      <c r="A34" s="6" t="s">
        <v>53</v>
      </c>
      <c r="B34" s="6" t="s">
        <v>54</v>
      </c>
      <c r="C34" s="1" t="s">
        <v>55</v>
      </c>
      <c r="D34" s="2"/>
      <c r="E34" s="2"/>
      <c r="F34" s="2"/>
      <c r="G34" s="50">
        <f>+PlantData!E27+PlantData!E28+PlantData!E29</f>
        <v>64263.644230756574</v>
      </c>
      <c r="H34" s="20"/>
      <c r="I34" s="50">
        <f>+PlantData!G27+PlantData!G28+PlantData!G29</f>
        <v>51942.37884614578</v>
      </c>
      <c r="J34" s="20"/>
      <c r="K34" s="50">
        <f>+PlantData!I27+PlantData!I28+PlantData!I29</f>
        <v>51942.38076922544</v>
      </c>
      <c r="L34" s="20"/>
      <c r="M34" s="50">
        <f>+PlantData!K27+PlantData!K28+PlantData!K29</f>
        <v>7991.135384615384</v>
      </c>
      <c r="N34" s="20"/>
      <c r="O34" s="74">
        <v>0</v>
      </c>
      <c r="P34" s="20"/>
      <c r="Q34" s="86">
        <f t="shared" si="0"/>
        <v>0</v>
      </c>
      <c r="R34" s="20"/>
      <c r="S34" s="20"/>
      <c r="T34" s="20"/>
      <c r="U34" s="11">
        <v>0</v>
      </c>
      <c r="V34" s="2"/>
    </row>
    <row r="35" spans="1:22" ht="12.75">
      <c r="A35" s="6" t="s">
        <v>56</v>
      </c>
      <c r="B35" s="6" t="s">
        <v>57</v>
      </c>
      <c r="C35" s="1" t="s">
        <v>58</v>
      </c>
      <c r="D35" s="2"/>
      <c r="E35" s="2"/>
      <c r="F35" s="2"/>
      <c r="G35" s="50">
        <f>+PlantData!E30</f>
        <v>1291566.4746153848</v>
      </c>
      <c r="H35" s="20"/>
      <c r="I35" s="50">
        <f>+PlantData!G30</f>
        <v>1426580.01</v>
      </c>
      <c r="J35" s="20"/>
      <c r="K35" s="50">
        <f>+PlantData!I30</f>
        <v>1589897.9653846151</v>
      </c>
      <c r="L35" s="20"/>
      <c r="M35" s="50">
        <f>+PlantData!K30</f>
        <v>1798379.8446153847</v>
      </c>
      <c r="N35" s="20"/>
      <c r="O35" s="74">
        <f>+'[5]SCHB4'!$R$31</f>
        <v>2115134.963846154</v>
      </c>
      <c r="P35" s="20"/>
      <c r="Q35" s="86">
        <f t="shared" si="0"/>
        <v>2115134.96</v>
      </c>
      <c r="R35" s="20"/>
      <c r="S35" s="20"/>
      <c r="T35" s="20"/>
      <c r="U35" s="11">
        <f>+'[2]SCHG1-10'!$R$33</f>
        <v>2430276.1500000013</v>
      </c>
      <c r="V35" s="2"/>
    </row>
    <row r="36" spans="1:22" ht="12.75">
      <c r="A36" s="12">
        <v>15</v>
      </c>
      <c r="B36" s="82">
        <v>106</v>
      </c>
      <c r="C36" s="83" t="s">
        <v>247</v>
      </c>
      <c r="D36" s="84"/>
      <c r="E36" s="84"/>
      <c r="F36" s="84"/>
      <c r="G36" s="122">
        <f>+PlantData!E50-2000</f>
        <v>69452642.96307692</v>
      </c>
      <c r="H36" s="85"/>
      <c r="I36" s="122">
        <f>+PlantData!G50</f>
        <v>38042179.02076923</v>
      </c>
      <c r="J36" s="85"/>
      <c r="K36" s="122">
        <f>+PlantData!I50</f>
        <v>40117070.20538462</v>
      </c>
      <c r="L36" s="85"/>
      <c r="M36" s="122">
        <f>+PlantData!K50</f>
        <v>41559134.05846154</v>
      </c>
      <c r="N36" s="85"/>
      <c r="O36" s="86">
        <f>+'[5]SCHB4'!$R$48</f>
        <v>39237458.56615385</v>
      </c>
      <c r="P36" s="85"/>
      <c r="Q36" s="86">
        <f t="shared" si="0"/>
        <v>39237458.57</v>
      </c>
      <c r="R36" s="20"/>
      <c r="S36" s="20"/>
      <c r="T36" s="20"/>
      <c r="U36" s="11">
        <f>+'[2]SCHG1-10'!$R$50</f>
        <v>1605352</v>
      </c>
      <c r="V36" s="2"/>
    </row>
    <row r="37" spans="1:22" ht="12.75">
      <c r="A37" s="6">
        <v>16</v>
      </c>
      <c r="B37" s="2"/>
      <c r="C37" s="1" t="s">
        <v>60</v>
      </c>
      <c r="D37" s="2"/>
      <c r="E37" s="2"/>
      <c r="F37" s="2"/>
      <c r="G37" s="14">
        <f>SUM(G24:G36)</f>
        <v>700414059.0965385</v>
      </c>
      <c r="H37" s="11"/>
      <c r="I37" s="14">
        <f>SUM(I24:I36)</f>
        <v>730995110.8803847</v>
      </c>
      <c r="J37" s="11"/>
      <c r="K37" s="14">
        <f>SUM(K24:K36)</f>
        <v>761127828.4592308</v>
      </c>
      <c r="L37" s="11"/>
      <c r="M37" s="14">
        <f>SUM(M24:M36)</f>
        <v>793299442.6223077</v>
      </c>
      <c r="N37" s="11"/>
      <c r="O37" s="14">
        <f>SUM(O24:O36)</f>
        <v>831089125.6561538</v>
      </c>
      <c r="P37" s="11"/>
      <c r="Q37" s="91">
        <f>SUM(Q24:Q36)</f>
        <v>831089125.6600001</v>
      </c>
      <c r="R37" s="11"/>
      <c r="S37" s="11"/>
      <c r="T37" s="11"/>
      <c r="U37" s="14">
        <f>SUM(U24:U36)</f>
        <v>924899052.1182542</v>
      </c>
      <c r="V37" s="11"/>
    </row>
    <row r="38" spans="1:22" ht="12.75">
      <c r="A38" s="12"/>
      <c r="B38" s="2"/>
      <c r="C38" s="2"/>
      <c r="D38" s="2"/>
      <c r="E38" s="2"/>
      <c r="F38" s="2"/>
      <c r="G38" s="51"/>
      <c r="H38" s="20"/>
      <c r="I38" s="51"/>
      <c r="J38" s="20"/>
      <c r="K38" s="51"/>
      <c r="L38" s="20"/>
      <c r="M38" s="51"/>
      <c r="N38" s="20"/>
      <c r="O38" s="51"/>
      <c r="P38" s="20"/>
      <c r="Q38" s="92"/>
      <c r="R38" s="20"/>
      <c r="S38" s="20"/>
      <c r="T38" s="20"/>
      <c r="U38" s="51"/>
      <c r="V38" s="20"/>
    </row>
    <row r="39" spans="1:22" ht="12.75">
      <c r="A39" s="12"/>
      <c r="B39" s="2"/>
      <c r="C39" s="2"/>
      <c r="D39" s="2"/>
      <c r="E39" s="2"/>
      <c r="F39" s="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85"/>
      <c r="R39" s="20"/>
      <c r="S39" s="20"/>
      <c r="T39" s="20"/>
      <c r="U39" s="20"/>
      <c r="V39" s="20"/>
    </row>
    <row r="40" spans="1:22" ht="12.75">
      <c r="A40" s="6" t="s">
        <v>61</v>
      </c>
      <c r="B40" s="2"/>
      <c r="C40" s="1" t="s">
        <v>62</v>
      </c>
      <c r="D40" s="2"/>
      <c r="E40" s="2"/>
      <c r="F40" s="78"/>
      <c r="G40" s="40">
        <f>SUM(PlantData!E31:E48)</f>
        <v>41730642.49942307</v>
      </c>
      <c r="H40" s="11"/>
      <c r="I40" s="40">
        <f>SUM(PlantData!G31:G48)</f>
        <v>40273567.86711538</v>
      </c>
      <c r="J40" s="20"/>
      <c r="K40" s="40">
        <f>SUM(PlantData!I31:I48)</f>
        <v>40003894.852692306</v>
      </c>
      <c r="L40" s="11"/>
      <c r="M40" s="40">
        <f>SUM(PlantData!K31:K48)</f>
        <v>41216027.982307695</v>
      </c>
      <c r="N40" s="20"/>
      <c r="O40" s="11">
        <f>SUM('[5]SCHB4'!$R$32:$R$47)</f>
        <v>41362377.926153846</v>
      </c>
      <c r="P40" s="11"/>
      <c r="Q40" s="88">
        <f>SUM('[6]SCHB2'!$I$13:$I$14)+O40</f>
        <v>40061092.926153846</v>
      </c>
      <c r="R40" s="20"/>
      <c r="S40" s="23"/>
      <c r="T40" s="20"/>
      <c r="U40" s="11">
        <f>SUM('[2]SCHG1-10'!$R$34:$R$49)-SUM('[3]SCHG1-20'!$G$44:$G$60)</f>
        <v>48873805.93853149</v>
      </c>
      <c r="V40" s="20"/>
    </row>
    <row r="41" spans="1:22" ht="12.75">
      <c r="A41" s="12"/>
      <c r="B41" s="2"/>
      <c r="C41" s="2"/>
      <c r="D41" s="2"/>
      <c r="E41" s="2"/>
      <c r="F41" s="2"/>
      <c r="G41" s="41"/>
      <c r="H41" s="20"/>
      <c r="I41" s="41"/>
      <c r="J41" s="20"/>
      <c r="K41" s="41"/>
      <c r="L41" s="20"/>
      <c r="M41" s="41"/>
      <c r="N41" s="20"/>
      <c r="O41" s="41"/>
      <c r="P41" s="20"/>
      <c r="Q41" s="85"/>
      <c r="R41" s="20"/>
      <c r="S41" s="23"/>
      <c r="T41" s="20"/>
      <c r="U41" s="20"/>
      <c r="V41" s="20"/>
    </row>
    <row r="42" spans="1:22" ht="12.75">
      <c r="A42" s="6" t="s">
        <v>63</v>
      </c>
      <c r="B42" s="2"/>
      <c r="C42" s="1" t="s">
        <v>64</v>
      </c>
      <c r="D42" s="2"/>
      <c r="E42" s="2"/>
      <c r="F42" s="2"/>
      <c r="G42" s="40">
        <v>228995</v>
      </c>
      <c r="H42" s="11"/>
      <c r="I42" s="40">
        <v>228995</v>
      </c>
      <c r="J42" s="11"/>
      <c r="K42" s="40">
        <v>228995</v>
      </c>
      <c r="L42" s="11"/>
      <c r="M42" s="40">
        <v>228995</v>
      </c>
      <c r="N42" s="11"/>
      <c r="O42" s="11">
        <f>+'[6]SCHB2'!$F$16</f>
        <v>228954.68000000002</v>
      </c>
      <c r="P42" s="11"/>
      <c r="Q42" s="88">
        <f>+'[6]SCHB2'!$L$16</f>
        <v>0</v>
      </c>
      <c r="R42" s="11"/>
      <c r="S42" s="24"/>
      <c r="T42" s="11"/>
      <c r="U42" s="11">
        <f>+'[4]SCDG1-1'!$M$22</f>
        <v>-0.3199999999778811</v>
      </c>
      <c r="V42" s="87"/>
    </row>
    <row r="43" spans="1:22" ht="12.75">
      <c r="A43" s="12"/>
      <c r="B43" s="2"/>
      <c r="C43" s="2"/>
      <c r="D43" s="2"/>
      <c r="E43" s="2"/>
      <c r="F43" s="2"/>
      <c r="G43" s="40"/>
      <c r="H43" s="11"/>
      <c r="I43" s="40"/>
      <c r="J43" s="20"/>
      <c r="K43" s="40"/>
      <c r="L43" s="11"/>
      <c r="M43" s="40"/>
      <c r="N43" s="20"/>
      <c r="O43" s="11"/>
      <c r="P43" s="11"/>
      <c r="Q43" s="88"/>
      <c r="R43" s="20"/>
      <c r="S43" s="20"/>
      <c r="T43" s="20"/>
      <c r="U43" s="11"/>
      <c r="V43" s="2"/>
    </row>
    <row r="44" spans="1:22" ht="12.75">
      <c r="A44" s="6" t="s">
        <v>65</v>
      </c>
      <c r="B44" s="2"/>
      <c r="C44" s="1" t="s">
        <v>66</v>
      </c>
      <c r="D44" s="2"/>
      <c r="E44" s="2"/>
      <c r="F44" s="2"/>
      <c r="G44" s="40">
        <v>5249000</v>
      </c>
      <c r="H44" s="11"/>
      <c r="I44" s="40">
        <v>5249000</v>
      </c>
      <c r="J44" s="20"/>
      <c r="K44" s="40">
        <v>5249000</v>
      </c>
      <c r="L44" s="11"/>
      <c r="M44" s="40">
        <v>5249000</v>
      </c>
      <c r="N44" s="20"/>
      <c r="O44" s="11">
        <f>+'[6]SCHB2'!$F$15</f>
        <v>5248670.869999999</v>
      </c>
      <c r="P44" s="11"/>
      <c r="Q44" s="88">
        <f>+'[6]SCHB2'!$L$15</f>
        <v>2301791.869999999</v>
      </c>
      <c r="R44" s="20"/>
      <c r="S44" s="20"/>
      <c r="T44" s="20"/>
      <c r="U44" s="88">
        <f>+'[4]SCDG1-1'!$M$20</f>
        <v>2301670.869999999</v>
      </c>
      <c r="V44" s="87"/>
    </row>
    <row r="45" spans="1:22" ht="12.75">
      <c r="A45" s="12"/>
      <c r="B45" s="2"/>
      <c r="C45" s="2"/>
      <c r="D45" s="2"/>
      <c r="E45" s="2"/>
      <c r="F45" s="2"/>
      <c r="G45" s="40"/>
      <c r="H45" s="11"/>
      <c r="I45" s="40"/>
      <c r="J45" s="20"/>
      <c r="K45" s="40"/>
      <c r="L45" s="11"/>
      <c r="M45" s="40"/>
      <c r="N45" s="20"/>
      <c r="O45" s="40"/>
      <c r="P45" s="11"/>
      <c r="Q45" s="88"/>
      <c r="R45" s="20"/>
      <c r="S45" s="20"/>
      <c r="T45" s="20"/>
      <c r="U45" s="11"/>
      <c r="V45" s="2"/>
    </row>
    <row r="46" spans="1:22" ht="12.75">
      <c r="A46" s="6" t="s">
        <v>67</v>
      </c>
      <c r="B46" s="2"/>
      <c r="C46" s="1" t="s">
        <v>68</v>
      </c>
      <c r="D46" s="2"/>
      <c r="E46" s="2"/>
      <c r="F46" s="2"/>
      <c r="G46" s="40">
        <v>16685000</v>
      </c>
      <c r="H46" s="11"/>
      <c r="I46" s="40">
        <v>15132000</v>
      </c>
      <c r="J46" s="20"/>
      <c r="K46" s="40">
        <v>11259000</v>
      </c>
      <c r="L46" s="11"/>
      <c r="M46" s="40">
        <v>16011000</v>
      </c>
      <c r="N46" s="20"/>
      <c r="O46" s="11">
        <f>+'[6]SCHB2'!$F$17</f>
        <v>20636658.51538462</v>
      </c>
      <c r="P46" s="11"/>
      <c r="Q46" s="88">
        <f>+'[6]SCHB2'!$L$17</f>
        <v>20539632.005384617</v>
      </c>
      <c r="R46" s="20"/>
      <c r="S46" s="20"/>
      <c r="T46" s="20"/>
      <c r="U46" s="88">
        <f>+'[4]SCDG1-1'!$M$19</f>
        <v>18249444.37</v>
      </c>
      <c r="V46" s="87"/>
    </row>
    <row r="47" spans="1:22" ht="12.75">
      <c r="A47" s="12"/>
      <c r="B47" s="2"/>
      <c r="C47" s="2"/>
      <c r="D47" s="2"/>
      <c r="E47" s="2"/>
      <c r="F47" s="2"/>
      <c r="G47" s="40"/>
      <c r="H47" s="11"/>
      <c r="I47" s="40"/>
      <c r="J47" s="20"/>
      <c r="K47" s="40"/>
      <c r="L47" s="11"/>
      <c r="M47" s="40"/>
      <c r="N47" s="20"/>
      <c r="O47" s="40"/>
      <c r="P47" s="11"/>
      <c r="Q47" s="88"/>
      <c r="R47" s="20"/>
      <c r="S47" s="20"/>
      <c r="T47" s="20"/>
      <c r="U47" s="11"/>
      <c r="V47" s="2"/>
    </row>
    <row r="48" spans="1:22" ht="12.75">
      <c r="A48" s="6" t="s">
        <v>69</v>
      </c>
      <c r="B48" s="2"/>
      <c r="C48" s="1" t="s">
        <v>70</v>
      </c>
      <c r="D48" s="2"/>
      <c r="E48" s="2"/>
      <c r="F48" s="2"/>
      <c r="G48" s="40">
        <v>0</v>
      </c>
      <c r="H48" s="11"/>
      <c r="I48" s="40">
        <v>0</v>
      </c>
      <c r="J48" s="20"/>
      <c r="K48" s="40">
        <v>0</v>
      </c>
      <c r="L48" s="11"/>
      <c r="M48" s="40">
        <v>0</v>
      </c>
      <c r="N48" s="20"/>
      <c r="O48" s="40">
        <v>0</v>
      </c>
      <c r="P48" s="11"/>
      <c r="Q48" s="60">
        <v>0</v>
      </c>
      <c r="R48" s="20"/>
      <c r="S48" s="20"/>
      <c r="T48" s="20"/>
      <c r="U48" s="60">
        <v>0</v>
      </c>
      <c r="V48" s="2"/>
    </row>
    <row r="49" spans="1:22" ht="12.75">
      <c r="A49" s="12"/>
      <c r="B49" s="2"/>
      <c r="C49" s="2"/>
      <c r="D49" s="2"/>
      <c r="E49" s="2"/>
      <c r="F49" s="2"/>
      <c r="G49" s="41"/>
      <c r="H49" s="20"/>
      <c r="I49" s="41"/>
      <c r="J49" s="20"/>
      <c r="K49" s="41"/>
      <c r="L49" s="20"/>
      <c r="M49" s="41"/>
      <c r="N49" s="20"/>
      <c r="O49" s="41"/>
      <c r="P49" s="20"/>
      <c r="Q49" s="85"/>
      <c r="R49" s="20"/>
      <c r="S49" s="20"/>
      <c r="T49" s="20"/>
      <c r="U49" s="85"/>
      <c r="V49" s="2"/>
    </row>
    <row r="50" spans="1:22" ht="12.75">
      <c r="A50" s="6" t="s">
        <v>71</v>
      </c>
      <c r="B50" s="2"/>
      <c r="C50" s="1" t="s">
        <v>72</v>
      </c>
      <c r="D50" s="2"/>
      <c r="E50" s="2"/>
      <c r="F50" s="2"/>
      <c r="G50" s="40">
        <v>0</v>
      </c>
      <c r="H50" s="11"/>
      <c r="I50" s="40">
        <v>0</v>
      </c>
      <c r="J50" s="11"/>
      <c r="K50" s="40">
        <v>0</v>
      </c>
      <c r="L50" s="11"/>
      <c r="M50" s="40">
        <v>0</v>
      </c>
      <c r="N50" s="11"/>
      <c r="O50" s="11">
        <f>+'[5]SCHB4'!$R$58</f>
        <v>0</v>
      </c>
      <c r="P50" s="11"/>
      <c r="Q50" s="60">
        <v>0</v>
      </c>
      <c r="R50" s="11"/>
      <c r="S50" s="11"/>
      <c r="T50" s="11"/>
      <c r="U50" s="60">
        <v>0</v>
      </c>
      <c r="V50" s="13"/>
    </row>
    <row r="51" spans="1:22" ht="12.75">
      <c r="A51" s="2"/>
      <c r="B51" s="2"/>
      <c r="C51" s="2"/>
      <c r="D51" s="2"/>
      <c r="E51" s="2"/>
      <c r="F51" s="2"/>
      <c r="G51" s="42"/>
      <c r="H51" s="11"/>
      <c r="I51" s="42"/>
      <c r="J51" s="11"/>
      <c r="K51" s="42"/>
      <c r="L51" s="11"/>
      <c r="M51" s="42"/>
      <c r="N51" s="11"/>
      <c r="O51" s="22"/>
      <c r="P51" s="11"/>
      <c r="Q51" s="89"/>
      <c r="R51" s="20"/>
      <c r="S51" s="20"/>
      <c r="T51" s="11"/>
      <c r="U51" s="22"/>
      <c r="V51" s="2"/>
    </row>
    <row r="52" spans="1:25" ht="13.5" thickBot="1">
      <c r="A52" s="12">
        <v>22</v>
      </c>
      <c r="B52" s="2"/>
      <c r="C52" s="1" t="s">
        <v>73</v>
      </c>
      <c r="D52" s="2"/>
      <c r="E52" s="2"/>
      <c r="F52" s="2"/>
      <c r="G52" s="16">
        <f>G18+G20+G37+G40+G42+G44+G46+G48+G50</f>
        <v>778274273.5505769</v>
      </c>
      <c r="H52" s="11"/>
      <c r="I52" s="16">
        <f>I18+I20+I37+I40+I42+I44+I46+I48+I50</f>
        <v>807516571.7421155</v>
      </c>
      <c r="J52" s="11"/>
      <c r="K52" s="16">
        <f>K18+K20+K37+K40+K42+K44+K46+K48+K50</f>
        <v>833672752.865</v>
      </c>
      <c r="L52" s="11"/>
      <c r="M52" s="16">
        <f>M18+M20+M37+M40+M42+M44+M46+M48+M50</f>
        <v>872543817.7015384</v>
      </c>
      <c r="N52" s="11"/>
      <c r="O52" s="16">
        <f>O18+O20+O37+O40+O42+O44+O46+O48+O50</f>
        <v>915955260.2576923</v>
      </c>
      <c r="P52" s="11"/>
      <c r="Q52" s="16">
        <f>Q18+Q20+Q37+Q40+Q42+Q44+Q46+Q48+Q50</f>
        <v>911381115.0715386</v>
      </c>
      <c r="R52" s="11"/>
      <c r="S52" s="11"/>
      <c r="T52" s="11"/>
      <c r="U52" s="16">
        <f>U37+U40+U42+U44+U46+U48+U50+U18+U20</f>
        <v>1009374290.2203631</v>
      </c>
      <c r="V52" s="2"/>
      <c r="X52" s="129">
        <f>+'[4]SCDG1-1'!$M$24</f>
        <v>1009374293.150363</v>
      </c>
      <c r="Y52" t="s">
        <v>344</v>
      </c>
    </row>
    <row r="53" spans="1:24" ht="13.5" thickTop="1">
      <c r="A53" s="2"/>
      <c r="B53" s="53"/>
      <c r="C53" s="53"/>
      <c r="D53" s="53"/>
      <c r="E53" s="55"/>
      <c r="F53" s="2"/>
      <c r="G53" s="52"/>
      <c r="H53" s="2"/>
      <c r="I53" s="52"/>
      <c r="J53" s="2"/>
      <c r="K53" s="52"/>
      <c r="L53" s="2"/>
      <c r="M53" s="52"/>
      <c r="N53" s="2"/>
      <c r="O53" s="52"/>
      <c r="P53" s="2"/>
      <c r="Q53" s="52"/>
      <c r="R53" s="2"/>
      <c r="S53" s="2"/>
      <c r="T53" s="2"/>
      <c r="U53" s="52"/>
      <c r="V53" s="2"/>
      <c r="X53" s="130">
        <f>+X52-U52</f>
        <v>2.929999828338623</v>
      </c>
    </row>
    <row r="54" spans="1:22" ht="12.75">
      <c r="A54" s="2"/>
      <c r="B54" s="2"/>
      <c r="C54" s="2"/>
      <c r="D54" s="2"/>
      <c r="E54" s="2"/>
      <c r="F54" s="5"/>
      <c r="G54" s="53"/>
      <c r="H54" s="2"/>
      <c r="I54" s="53"/>
      <c r="J54" s="2"/>
      <c r="K54" s="53"/>
      <c r="L54" s="2"/>
      <c r="M54" s="53"/>
      <c r="N54" s="2"/>
      <c r="O54" s="56"/>
      <c r="P54" s="2"/>
      <c r="Q54" s="53"/>
      <c r="R54" s="2"/>
      <c r="S54" s="2"/>
      <c r="T54" s="2"/>
      <c r="U54" s="56"/>
      <c r="V54" s="2"/>
    </row>
    <row r="55" spans="1:22" ht="12.75">
      <c r="A55" s="2"/>
      <c r="B55" s="2"/>
      <c r="C55" s="2"/>
      <c r="D55" s="2"/>
      <c r="E55" s="2"/>
      <c r="F55" s="5"/>
      <c r="G55" s="20"/>
      <c r="H55" s="2"/>
      <c r="I55" s="20"/>
      <c r="J55" s="2"/>
      <c r="K55" s="20"/>
      <c r="L55" s="2"/>
      <c r="M55" s="20"/>
      <c r="N55" s="2"/>
      <c r="O55" s="20"/>
      <c r="P55" s="2"/>
      <c r="Q55" s="20"/>
      <c r="R55" s="2"/>
      <c r="S55" s="2"/>
      <c r="T55" s="2"/>
      <c r="U55" s="2"/>
      <c r="V55" s="2"/>
    </row>
    <row r="56" spans="1:22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54"/>
      <c r="L56" s="3"/>
      <c r="M56" s="54"/>
      <c r="N56" s="3"/>
      <c r="O56" s="54"/>
      <c r="P56" s="3"/>
      <c r="Q56" s="3"/>
      <c r="R56" s="3"/>
      <c r="S56" s="3"/>
      <c r="T56" s="3"/>
      <c r="U56" s="3"/>
      <c r="V56" s="3"/>
    </row>
    <row r="57" spans="1:22" ht="12.75">
      <c r="A57" s="1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" t="s">
        <v>353</v>
      </c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1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1" t="s">
        <v>1</v>
      </c>
      <c r="L65" s="2"/>
      <c r="M65" s="2"/>
      <c r="N65" s="2"/>
      <c r="O65" s="2"/>
      <c r="P65" s="2"/>
      <c r="Q65" s="2"/>
      <c r="R65" s="2"/>
      <c r="S65" s="1" t="s">
        <v>75</v>
      </c>
      <c r="T65" s="2"/>
      <c r="U65" s="2"/>
      <c r="V65" s="2"/>
    </row>
    <row r="66" spans="1:22" ht="13.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1" t="s">
        <v>3</v>
      </c>
      <c r="B67" s="2"/>
      <c r="C67" s="2"/>
      <c r="D67" s="2"/>
      <c r="E67" s="2"/>
      <c r="F67" s="2"/>
      <c r="G67" s="2"/>
      <c r="H67" s="2"/>
      <c r="J67" s="1" t="s">
        <v>4</v>
      </c>
      <c r="K67" s="2"/>
      <c r="L67" s="2"/>
      <c r="M67" s="4"/>
      <c r="N67" s="2"/>
      <c r="O67" s="2"/>
      <c r="P67" s="2"/>
      <c r="Q67" s="2"/>
      <c r="R67" s="2"/>
      <c r="S67" s="1" t="s">
        <v>5</v>
      </c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7" t="s">
        <v>177</v>
      </c>
      <c r="M68" s="2"/>
      <c r="N68" s="2"/>
      <c r="O68" s="2"/>
      <c r="P68" s="2"/>
      <c r="Q68" s="2"/>
      <c r="R68" s="2"/>
      <c r="S68" s="1" t="str">
        <f>+S4</f>
        <v>HISTORIC BASE YEAR DATA:  12/31/07</v>
      </c>
      <c r="T68" s="2"/>
      <c r="U68" s="2"/>
      <c r="V68" s="2"/>
    </row>
    <row r="69" spans="1:22" ht="12.75">
      <c r="A69" s="1" t="s">
        <v>6</v>
      </c>
      <c r="B69" s="2"/>
      <c r="C69" s="2" t="str">
        <f>+C5</f>
        <v>PEOPLES GAS SYSTEM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" t="str">
        <f>+S5</f>
        <v>PROJECTED TEST YEAR:      12/31/09</v>
      </c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" t="str">
        <f>+S6</f>
        <v>PRIOR YEARS:   12/31/03 - 12/31/06</v>
      </c>
      <c r="T70" s="2"/>
      <c r="U70" s="2"/>
      <c r="V70" s="2"/>
    </row>
    <row r="71" spans="1:22" ht="12.75">
      <c r="A71" s="1" t="s">
        <v>76</v>
      </c>
      <c r="B71" s="2"/>
      <c r="C71" s="5" t="str">
        <f>+C7</f>
        <v>080318-GU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" t="str">
        <f>+S7</f>
        <v>WITNESS: </v>
      </c>
      <c r="T71" s="2"/>
      <c r="U71" s="2" t="str">
        <f>+U$7</f>
        <v>S. RICHARDS</v>
      </c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 thickBo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7" t="str">
        <f>+O10</f>
        <v>HISTORIC BASE YEAR ENDED 12/31/07</v>
      </c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38" t="s">
        <v>181</v>
      </c>
      <c r="H75" s="2"/>
      <c r="I75" s="38" t="s">
        <v>181</v>
      </c>
      <c r="J75" s="2"/>
      <c r="K75" s="38" t="s">
        <v>181</v>
      </c>
      <c r="L75" s="2"/>
      <c r="M75" s="38" t="s">
        <v>181</v>
      </c>
      <c r="N75" s="2"/>
      <c r="O75" s="1"/>
      <c r="P75" s="2"/>
      <c r="Q75" s="2"/>
      <c r="R75" s="2"/>
      <c r="S75" s="2"/>
      <c r="T75" s="2"/>
      <c r="U75" s="6" t="s">
        <v>8</v>
      </c>
      <c r="V75" s="2"/>
    </row>
    <row r="76" spans="1:22" ht="12.75">
      <c r="A76" s="2"/>
      <c r="B76" s="2"/>
      <c r="C76" s="2"/>
      <c r="D76" s="2"/>
      <c r="E76" s="2"/>
      <c r="F76" s="2"/>
      <c r="G76" s="6" t="s">
        <v>182</v>
      </c>
      <c r="H76" s="2"/>
      <c r="I76" s="6" t="s">
        <v>182</v>
      </c>
      <c r="J76" s="2"/>
      <c r="K76" s="6" t="s">
        <v>182</v>
      </c>
      <c r="L76" s="2"/>
      <c r="M76" s="6" t="s">
        <v>182</v>
      </c>
      <c r="N76" s="2"/>
      <c r="O76" s="6" t="s">
        <v>183</v>
      </c>
      <c r="P76" s="2"/>
      <c r="Q76" s="6" t="s">
        <v>9</v>
      </c>
      <c r="R76" s="2"/>
      <c r="S76" s="2"/>
      <c r="T76" s="2"/>
      <c r="U76" s="6" t="s">
        <v>10</v>
      </c>
      <c r="V76" s="2"/>
    </row>
    <row r="77" spans="1:22" ht="12.75">
      <c r="A77" s="2"/>
      <c r="B77" s="2"/>
      <c r="C77" s="2"/>
      <c r="D77" s="2"/>
      <c r="E77" s="2"/>
      <c r="F77" s="2"/>
      <c r="G77" s="7">
        <f>+G13</f>
        <v>37986</v>
      </c>
      <c r="H77" s="2"/>
      <c r="I77" s="7">
        <f>+I13</f>
        <v>38352</v>
      </c>
      <c r="J77" s="2"/>
      <c r="K77" s="7">
        <f>+K13</f>
        <v>38717</v>
      </c>
      <c r="L77" s="2"/>
      <c r="M77" s="7">
        <f>+M13</f>
        <v>39082</v>
      </c>
      <c r="N77" s="2"/>
      <c r="O77" s="39" t="s">
        <v>184</v>
      </c>
      <c r="P77" s="2"/>
      <c r="Q77" s="6" t="s">
        <v>11</v>
      </c>
      <c r="R77" s="2"/>
      <c r="S77" s="2"/>
      <c r="T77" s="2"/>
      <c r="U77" s="18" t="str">
        <f>+U13</f>
        <v>ENDED 12/31/09</v>
      </c>
      <c r="V77" s="2"/>
    </row>
    <row r="78" spans="1:22" ht="13.5" thickBot="1">
      <c r="A78" s="3"/>
      <c r="B78" s="3"/>
      <c r="C78" s="3"/>
      <c r="D78" s="3"/>
      <c r="E78" s="3"/>
      <c r="F78" s="3"/>
      <c r="G78" s="64"/>
      <c r="H78" s="9"/>
      <c r="I78" s="8"/>
      <c r="J78" s="9"/>
      <c r="K78" s="8"/>
      <c r="L78" s="9"/>
      <c r="M78" s="8"/>
      <c r="N78" s="9"/>
      <c r="O78" s="8"/>
      <c r="P78" s="10"/>
      <c r="Q78" s="8"/>
      <c r="R78" s="10"/>
      <c r="S78" s="8"/>
      <c r="T78" s="10"/>
      <c r="U78" s="8"/>
      <c r="V78" s="3"/>
    </row>
    <row r="79" spans="1:22" ht="12.75">
      <c r="A79" s="1" t="s">
        <v>12</v>
      </c>
      <c r="B79" s="1" t="s">
        <v>77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6" t="s">
        <v>78</v>
      </c>
      <c r="B80" s="26" t="s">
        <v>79</v>
      </c>
      <c r="C80" s="26" t="s">
        <v>80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1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6" t="s">
        <v>16</v>
      </c>
      <c r="B82" s="6" t="s">
        <v>17</v>
      </c>
      <c r="C82" s="1" t="s">
        <v>18</v>
      </c>
      <c r="D82" s="2"/>
      <c r="E82" s="2"/>
      <c r="F82" s="2"/>
      <c r="G82" s="40">
        <v>0</v>
      </c>
      <c r="H82" s="11"/>
      <c r="I82" s="40">
        <v>0</v>
      </c>
      <c r="J82" s="11"/>
      <c r="K82" s="40">
        <v>0</v>
      </c>
      <c r="L82" s="11"/>
      <c r="M82" s="40">
        <v>0</v>
      </c>
      <c r="N82" s="11"/>
      <c r="O82" s="11">
        <v>0</v>
      </c>
      <c r="P82" s="11"/>
      <c r="Q82" s="88">
        <f>O82</f>
        <v>0</v>
      </c>
      <c r="R82" s="11"/>
      <c r="S82" s="11"/>
      <c r="T82" s="11"/>
      <c r="U82" s="11">
        <v>0</v>
      </c>
      <c r="V82" s="11"/>
    </row>
    <row r="83" spans="1:22" ht="12.75">
      <c r="A83" s="12"/>
      <c r="B83" s="2"/>
      <c r="C83" s="2"/>
      <c r="D83" s="2"/>
      <c r="E83" s="2"/>
      <c r="F83" s="2"/>
      <c r="G83" s="40"/>
      <c r="H83" s="20"/>
      <c r="I83" s="40"/>
      <c r="J83" s="20"/>
      <c r="K83" s="40"/>
      <c r="L83" s="20"/>
      <c r="M83" s="40"/>
      <c r="N83" s="20"/>
      <c r="O83" s="11"/>
      <c r="P83" s="20"/>
      <c r="Q83" s="88"/>
      <c r="R83" s="2"/>
      <c r="S83" s="2"/>
      <c r="T83" s="2"/>
      <c r="U83" s="11"/>
      <c r="V83" s="2"/>
    </row>
    <row r="84" spans="1:22" ht="12.75">
      <c r="A84" s="6" t="s">
        <v>19</v>
      </c>
      <c r="B84" s="6" t="s">
        <v>20</v>
      </c>
      <c r="C84" s="1" t="s">
        <v>21</v>
      </c>
      <c r="D84" s="2"/>
      <c r="E84" s="2"/>
      <c r="F84" s="2"/>
      <c r="G84" s="40">
        <f>SUM(Reserves!E6:E9)</f>
        <v>-7796604.686923076</v>
      </c>
      <c r="H84" s="20"/>
      <c r="I84" s="40">
        <f>SUM(Reserves!G6:G9)</f>
        <v>-9880502.056923077</v>
      </c>
      <c r="J84" s="20"/>
      <c r="K84" s="40">
        <f>SUM(Reserves!I6:I9)</f>
        <v>-10812303.036153845</v>
      </c>
      <c r="L84" s="20"/>
      <c r="M84" s="40">
        <f>SUM(Reserves!K6:K9)</f>
        <v>-11889218.863846153</v>
      </c>
      <c r="N84" s="20"/>
      <c r="O84" s="11">
        <f>SUM('[7]SCHLB10'!$R$13:$R$16)*-1</f>
        <v>-13079609</v>
      </c>
      <c r="P84" s="20"/>
      <c r="Q84" s="88">
        <f aca="true" t="shared" si="1" ref="Q84:Q99">O84</f>
        <v>-13079609</v>
      </c>
      <c r="R84" s="2"/>
      <c r="S84" s="2"/>
      <c r="T84" s="2"/>
      <c r="U84" s="11">
        <f>SUM('[10]SCHG1-14'!$S$13:$S$16)*-1</f>
        <v>-12876171.16230769</v>
      </c>
      <c r="V84" s="2"/>
    </row>
    <row r="85" spans="1:22" ht="12.75">
      <c r="A85" s="12"/>
      <c r="B85" s="2"/>
      <c r="C85" s="2"/>
      <c r="D85" s="2"/>
      <c r="E85" s="2"/>
      <c r="F85" s="2"/>
      <c r="G85" s="40"/>
      <c r="H85" s="20"/>
      <c r="I85" s="40"/>
      <c r="J85" s="20"/>
      <c r="K85" s="40"/>
      <c r="L85" s="20"/>
      <c r="M85" s="40"/>
      <c r="N85" s="20"/>
      <c r="O85" s="11"/>
      <c r="P85" s="20"/>
      <c r="Q85" s="88"/>
      <c r="R85" s="2"/>
      <c r="S85" s="2"/>
      <c r="T85" s="2"/>
      <c r="U85" s="11"/>
      <c r="V85" s="2"/>
    </row>
    <row r="86" spans="1:22" ht="12.75">
      <c r="A86" s="12"/>
      <c r="B86" s="2"/>
      <c r="C86" s="26" t="s">
        <v>22</v>
      </c>
      <c r="D86" s="2"/>
      <c r="E86" s="2"/>
      <c r="F86" s="2"/>
      <c r="G86" s="40"/>
      <c r="H86" s="20"/>
      <c r="I86" s="40"/>
      <c r="J86" s="20"/>
      <c r="K86" s="40"/>
      <c r="L86" s="20"/>
      <c r="M86" s="40"/>
      <c r="N86" s="20"/>
      <c r="O86" s="11"/>
      <c r="P86" s="20"/>
      <c r="Q86" s="88"/>
      <c r="R86" s="2"/>
      <c r="S86" s="2"/>
      <c r="T86" s="2"/>
      <c r="U86" s="11"/>
      <c r="V86" s="2"/>
    </row>
    <row r="87" spans="1:22" ht="12.75">
      <c r="A87" s="12"/>
      <c r="B87" s="2"/>
      <c r="C87" s="17"/>
      <c r="D87" s="2"/>
      <c r="E87" s="2"/>
      <c r="F87" s="2"/>
      <c r="G87" s="40"/>
      <c r="H87" s="20"/>
      <c r="I87" s="40"/>
      <c r="J87" s="20"/>
      <c r="K87" s="40"/>
      <c r="L87" s="20"/>
      <c r="M87" s="40"/>
      <c r="N87" s="20"/>
      <c r="O87" s="11"/>
      <c r="P87" s="20"/>
      <c r="Q87" s="88"/>
      <c r="R87" s="2"/>
      <c r="S87" s="2"/>
      <c r="T87" s="2"/>
      <c r="U87" s="11"/>
      <c r="V87" s="2"/>
    </row>
    <row r="88" spans="1:22" ht="12.75">
      <c r="A88" s="6" t="s">
        <v>23</v>
      </c>
      <c r="B88" s="6" t="s">
        <v>24</v>
      </c>
      <c r="C88" s="1" t="s">
        <v>25</v>
      </c>
      <c r="D88" s="2"/>
      <c r="E88" s="2"/>
      <c r="F88" s="2"/>
      <c r="G88" s="40">
        <f>+Reserves!E10</f>
        <v>13235.317692307694</v>
      </c>
      <c r="H88" s="20"/>
      <c r="I88" s="40">
        <f>+Reserves!G10</f>
        <v>30497.903076923085</v>
      </c>
      <c r="J88" s="20"/>
      <c r="K88" s="40">
        <f>+Reserves!I10</f>
        <v>3602.53</v>
      </c>
      <c r="L88" s="20"/>
      <c r="M88" s="40">
        <f>+Reserves!K10</f>
        <v>3602.53</v>
      </c>
      <c r="N88" s="20"/>
      <c r="O88" s="11">
        <f>ROUND(-'[8]SCHB9'!$R$14,0)</f>
        <v>3603</v>
      </c>
      <c r="P88" s="20"/>
      <c r="Q88" s="88">
        <f t="shared" si="1"/>
        <v>3603</v>
      </c>
      <c r="R88" s="2"/>
      <c r="S88" s="2"/>
      <c r="T88" s="2"/>
      <c r="U88" s="11">
        <f>(+'[9]SCHG1-12'!$R$13+'[10]SCHG1-14'!$S$17)*-1</f>
        <v>-3245506.0407692306</v>
      </c>
      <c r="V88" s="2"/>
    </row>
    <row r="89" spans="1:22" ht="12.75">
      <c r="A89" s="6" t="s">
        <v>26</v>
      </c>
      <c r="B89" s="6" t="s">
        <v>27</v>
      </c>
      <c r="C89" s="1" t="s">
        <v>28</v>
      </c>
      <c r="D89" s="2"/>
      <c r="E89" s="2"/>
      <c r="F89" s="2"/>
      <c r="G89" s="40">
        <f>+Reserves!E12</f>
        <v>-2946331.9707692307</v>
      </c>
      <c r="H89" s="20"/>
      <c r="I89" s="40">
        <f>+Reserves!G12</f>
        <v>-1980823.856923077</v>
      </c>
      <c r="J89" s="20"/>
      <c r="K89" s="40">
        <f>+Reserves!I12</f>
        <v>-2977756.856923077</v>
      </c>
      <c r="L89" s="20"/>
      <c r="M89" s="40">
        <f>+Reserves!K12</f>
        <v>-3352639.623076923</v>
      </c>
      <c r="N89" s="20"/>
      <c r="O89" s="11">
        <f>ROUND(-'[8]SCHB9'!$R$15,0)</f>
        <v>-3692506</v>
      </c>
      <c r="P89" s="20"/>
      <c r="Q89" s="88">
        <f t="shared" si="1"/>
        <v>-3692506</v>
      </c>
      <c r="R89" s="2"/>
      <c r="S89" s="2"/>
      <c r="T89" s="2"/>
      <c r="U89" s="11">
        <f>+'[9]SCHG1-12'!$R$14*-1</f>
        <v>-3878799.320769231</v>
      </c>
      <c r="V89" s="2"/>
    </row>
    <row r="90" spans="1:22" ht="12.75">
      <c r="A90" s="6" t="s">
        <v>29</v>
      </c>
      <c r="B90" s="6" t="s">
        <v>30</v>
      </c>
      <c r="C90" s="1" t="s">
        <v>31</v>
      </c>
      <c r="D90" s="2"/>
      <c r="E90" s="2"/>
      <c r="F90" s="2"/>
      <c r="G90" s="40">
        <f>+Reserves!E13+Reserves!E14+Reserves!E49+Reserves!E50</f>
        <v>-147973910.72769228</v>
      </c>
      <c r="H90" s="20"/>
      <c r="I90" s="40">
        <f>+Reserves!G13+Reserves!G14+Reserves!G49+Reserves!G50</f>
        <v>-159140591.5346154</v>
      </c>
      <c r="J90" s="20"/>
      <c r="K90" s="40">
        <f>+Reserves!I13+Reserves!I14+Reserves!I49+Reserves!I50</f>
        <v>-171613550.94384614</v>
      </c>
      <c r="L90" s="20"/>
      <c r="M90" s="40">
        <f>+Reserves!K13+Reserves!K14+Reserves!K49+Reserves!K50</f>
        <v>-183919171.86846155</v>
      </c>
      <c r="N90" s="20"/>
      <c r="O90" s="11">
        <f>ROUND(-'[8]SCHB9'!$R$16-'[8]SCHB9'!$R$17,0)</f>
        <v>-198156746</v>
      </c>
      <c r="P90" s="20"/>
      <c r="Q90" s="88">
        <f t="shared" si="1"/>
        <v>-198156746</v>
      </c>
      <c r="R90" s="2"/>
      <c r="S90" s="2"/>
      <c r="T90" s="2"/>
      <c r="U90" s="11">
        <f>SUM('[9]SCHG1-12'!$R$15:$R$16)*-1</f>
        <v>-229756989.73846155</v>
      </c>
      <c r="V90" s="2"/>
    </row>
    <row r="91" spans="1:22" ht="12.75">
      <c r="A91" s="6" t="s">
        <v>32</v>
      </c>
      <c r="B91" s="6" t="s">
        <v>33</v>
      </c>
      <c r="C91" s="1" t="s">
        <v>34</v>
      </c>
      <c r="D91" s="2"/>
      <c r="E91" s="2"/>
      <c r="F91" s="2"/>
      <c r="G91" s="40">
        <v>0</v>
      </c>
      <c r="H91" s="20"/>
      <c r="I91" s="40">
        <v>0</v>
      </c>
      <c r="J91" s="20"/>
      <c r="K91" s="40">
        <v>0</v>
      </c>
      <c r="L91" s="20"/>
      <c r="M91" s="40">
        <v>0</v>
      </c>
      <c r="N91" s="20"/>
      <c r="O91" s="11">
        <v>0</v>
      </c>
      <c r="P91" s="20"/>
      <c r="Q91" s="88">
        <f t="shared" si="1"/>
        <v>0</v>
      </c>
      <c r="R91" s="2"/>
      <c r="S91" s="2"/>
      <c r="T91" s="2"/>
      <c r="U91" s="11">
        <v>0</v>
      </c>
      <c r="V91" s="2"/>
    </row>
    <row r="92" spans="1:22" ht="12.75">
      <c r="A92" s="6" t="s">
        <v>35</v>
      </c>
      <c r="B92" s="6" t="s">
        <v>36</v>
      </c>
      <c r="C92" s="1" t="s">
        <v>37</v>
      </c>
      <c r="D92" s="2"/>
      <c r="E92" s="2"/>
      <c r="F92" s="2"/>
      <c r="G92" s="40">
        <f>+Reserves!E15+Reserves!E16</f>
        <v>-1133764.269230769</v>
      </c>
      <c r="H92" s="20"/>
      <c r="I92" s="40">
        <f>+Reserves!G15+Reserves!G16</f>
        <v>-1267524.4900000002</v>
      </c>
      <c r="J92" s="20"/>
      <c r="K92" s="40">
        <f>+Reserves!I15+Reserves!I16</f>
        <v>-1435517.7484615387</v>
      </c>
      <c r="L92" s="20"/>
      <c r="M92" s="40">
        <f>+Reserves!K15+Reserves!K16</f>
        <v>-1534914.3315384616</v>
      </c>
      <c r="N92" s="20"/>
      <c r="O92" s="11">
        <f>ROUND(-'[8]SCHB9'!$R$18,0)</f>
        <v>-1649797</v>
      </c>
      <c r="P92" s="20"/>
      <c r="Q92" s="88">
        <f t="shared" si="1"/>
        <v>-1649797</v>
      </c>
      <c r="R92" s="2"/>
      <c r="S92" s="2"/>
      <c r="T92" s="2"/>
      <c r="U92" s="11">
        <f>SUM('[9]SCHG1-12'!$R$17)*-1</f>
        <v>-1790495.6953846156</v>
      </c>
      <c r="V92" s="2"/>
    </row>
    <row r="93" spans="1:22" ht="12.75">
      <c r="A93" s="6" t="s">
        <v>38</v>
      </c>
      <c r="B93" s="6" t="s">
        <v>39</v>
      </c>
      <c r="C93" s="27" t="s">
        <v>248</v>
      </c>
      <c r="D93" s="2"/>
      <c r="E93" s="2"/>
      <c r="F93" s="2"/>
      <c r="G93" s="40">
        <f>+Reserves!E17+Reserves!E18</f>
        <v>-1878475.6684615384</v>
      </c>
      <c r="H93" s="20"/>
      <c r="I93" s="40">
        <f>+Reserves!G17+Reserves!G18</f>
        <v>-2035234.5392307693</v>
      </c>
      <c r="J93" s="20"/>
      <c r="K93" s="40">
        <f>+Reserves!I17+Reserves!I18</f>
        <v>-2230767.9869230767</v>
      </c>
      <c r="L93" s="20"/>
      <c r="M93" s="40">
        <f>+Reserves!K17+Reserves!K18</f>
        <v>-2421024.6884615384</v>
      </c>
      <c r="N93" s="20"/>
      <c r="O93" s="11">
        <f>-'[8]SCHB9'!$R$19</f>
        <v>-2642517</v>
      </c>
      <c r="P93" s="20"/>
      <c r="Q93" s="88">
        <f t="shared" si="1"/>
        <v>-2642517</v>
      </c>
      <c r="R93" s="2"/>
      <c r="S93" s="2"/>
      <c r="T93" s="2"/>
      <c r="U93" s="11">
        <f>SUM('[9]SCHG1-12'!$R$18:$R$18)*-1</f>
        <v>-2997387.61</v>
      </c>
      <c r="V93" s="2"/>
    </row>
    <row r="94" spans="1:22" ht="12.75">
      <c r="A94" s="6" t="s">
        <v>41</v>
      </c>
      <c r="B94" s="6" t="s">
        <v>42</v>
      </c>
      <c r="C94" s="1" t="s">
        <v>43</v>
      </c>
      <c r="D94" s="2"/>
      <c r="E94" s="2"/>
      <c r="F94" s="2"/>
      <c r="G94" s="40">
        <f>+Reserves!E19+Reserves!E20</f>
        <v>-65652376.56307692</v>
      </c>
      <c r="H94" s="20"/>
      <c r="I94" s="40">
        <f>+Reserves!G19+Reserves!G20</f>
        <v>-70913333.15230769</v>
      </c>
      <c r="J94" s="20"/>
      <c r="K94" s="40">
        <f>+Reserves!I19+Reserves!I20</f>
        <v>-76160756.50230768</v>
      </c>
      <c r="L94" s="20"/>
      <c r="M94" s="40">
        <f>+Reserves!K19+Reserves!K20</f>
        <v>-82066689.26076922</v>
      </c>
      <c r="N94" s="20"/>
      <c r="O94" s="11">
        <f>ROUND(-'[8]SCHB9'!$R$20-'[8]SCHB9'!$R$21,0)</f>
        <v>-88852128</v>
      </c>
      <c r="P94" s="20"/>
      <c r="Q94" s="88">
        <f t="shared" si="1"/>
        <v>-88852128</v>
      </c>
      <c r="R94" s="2"/>
      <c r="S94" s="2"/>
      <c r="U94" s="20">
        <f>SUM('[9]SCHG1-12'!$R$19:$R$20)*-1</f>
        <v>-105933799.68769231</v>
      </c>
      <c r="V94" s="2"/>
    </row>
    <row r="95" spans="1:22" ht="12.75">
      <c r="A95" s="6" t="s">
        <v>44</v>
      </c>
      <c r="B95" s="6" t="s">
        <v>45</v>
      </c>
      <c r="C95" s="1" t="s">
        <v>46</v>
      </c>
      <c r="D95" s="2"/>
      <c r="E95" s="2"/>
      <c r="F95" s="2"/>
      <c r="G95" s="40">
        <f>+Reserves!E21+Reserves!E22+Reserves!E23</f>
        <v>-15312358.484615386</v>
      </c>
      <c r="H95" s="20"/>
      <c r="I95" s="40">
        <f>+Reserves!G21+Reserves!G22+Reserves!G23</f>
        <v>-15746264.735384617</v>
      </c>
      <c r="J95" s="20"/>
      <c r="K95" s="40">
        <f>+Reserves!I21+Reserves!I22+Reserves!I23</f>
        <v>-16536971.033076923</v>
      </c>
      <c r="L95" s="20"/>
      <c r="M95" s="40">
        <f>+Reserves!K21+Reserves!K22+Reserves!K23</f>
        <v>-18282975.52846154</v>
      </c>
      <c r="N95" s="20"/>
      <c r="O95" s="11">
        <f>ROUND(-'[8]SCHB9'!$R$22-'[8]SCHB9'!$R$23,0)</f>
        <v>-21075133</v>
      </c>
      <c r="P95" s="20"/>
      <c r="Q95" s="88">
        <f t="shared" si="1"/>
        <v>-21075133</v>
      </c>
      <c r="R95" s="2"/>
      <c r="S95" s="2"/>
      <c r="T95" s="2"/>
      <c r="U95" s="11">
        <f>SUM('[9]SCHG1-12'!$R$21:$R$22)*-1</f>
        <v>-26328858.693076923</v>
      </c>
      <c r="V95" s="2"/>
    </row>
    <row r="96" spans="1:22" ht="12.75">
      <c r="A96" s="6" t="s">
        <v>47</v>
      </c>
      <c r="B96" s="6" t="s">
        <v>48</v>
      </c>
      <c r="C96" s="1" t="s">
        <v>49</v>
      </c>
      <c r="D96" s="2"/>
      <c r="E96" s="2"/>
      <c r="F96" s="2"/>
      <c r="G96" s="40">
        <f>+Reserves!E24+Reserves!E25</f>
        <v>-6259727.216153845</v>
      </c>
      <c r="H96" s="20"/>
      <c r="I96" s="40">
        <f>+Reserves!G24+Reserves!G25</f>
        <v>-6765656.21</v>
      </c>
      <c r="J96" s="20"/>
      <c r="K96" s="40">
        <f>+Reserves!I24+Reserves!I25</f>
        <v>-7283868.716153847</v>
      </c>
      <c r="L96" s="20"/>
      <c r="M96" s="40">
        <f>+Reserves!K24+Reserves!K25</f>
        <v>-8028538.317692308</v>
      </c>
      <c r="N96" s="20"/>
      <c r="O96" s="11">
        <f>ROUND(-'[8]SCHB9'!$R$24-'[8]SCHB9'!$R$25,0)</f>
        <v>-8897037</v>
      </c>
      <c r="P96" s="20"/>
      <c r="Q96" s="88">
        <f t="shared" si="1"/>
        <v>-8897037</v>
      </c>
      <c r="R96" s="2"/>
      <c r="S96" s="2"/>
      <c r="T96" s="2"/>
      <c r="U96" s="11">
        <f>SUM('[9]SCHG1-12'!$R$23:$R$24)*-1</f>
        <v>-9736417.90846154</v>
      </c>
      <c r="V96" s="2"/>
    </row>
    <row r="97" spans="1:22" ht="12.75">
      <c r="A97" s="6" t="s">
        <v>50</v>
      </c>
      <c r="B97" s="6" t="s">
        <v>51</v>
      </c>
      <c r="C97" s="1" t="s">
        <v>52</v>
      </c>
      <c r="D97" s="2"/>
      <c r="E97" s="2"/>
      <c r="F97" s="2"/>
      <c r="G97" s="40">
        <f>+Reserves!E26</f>
        <v>-2761433.3969230773</v>
      </c>
      <c r="H97" s="20"/>
      <c r="I97" s="40">
        <f>+Reserves!G26</f>
        <v>-2772505.44</v>
      </c>
      <c r="J97" s="20"/>
      <c r="K97" s="40">
        <f>+Reserves!I26</f>
        <v>-3019734.7784615387</v>
      </c>
      <c r="L97" s="20"/>
      <c r="M97" s="40">
        <f>+Reserves!K26</f>
        <v>-3291490.357692308</v>
      </c>
      <c r="N97" s="20"/>
      <c r="O97" s="11">
        <f>ROUND(-'[8]SCHB9'!$R$26,0)</f>
        <v>-3564824</v>
      </c>
      <c r="P97" s="20"/>
      <c r="Q97" s="88">
        <f t="shared" si="1"/>
        <v>-3564824</v>
      </c>
      <c r="R97" s="2"/>
      <c r="S97" s="2"/>
      <c r="T97" s="2"/>
      <c r="U97" s="11">
        <f>+'[9]SCHG1-12'!$R$25*-1</f>
        <v>-4221482.910769231</v>
      </c>
      <c r="V97" s="2"/>
    </row>
    <row r="98" spans="1:22" ht="12.75">
      <c r="A98" s="6" t="s">
        <v>53</v>
      </c>
      <c r="B98" s="6" t="s">
        <v>54</v>
      </c>
      <c r="C98" s="1" t="s">
        <v>55</v>
      </c>
      <c r="D98" s="2"/>
      <c r="E98" s="2"/>
      <c r="F98" s="2"/>
      <c r="G98" s="40">
        <f>+Reserves!E27+Reserves!E28+Reserves!E29</f>
        <v>-24161.82384615385</v>
      </c>
      <c r="H98" s="20"/>
      <c r="I98" s="40">
        <f>+Reserves!G27+Reserves!G28+Reserves!G29</f>
        <v>-7358.23</v>
      </c>
      <c r="J98" s="20"/>
      <c r="K98" s="40">
        <f>+Reserves!I27+Reserves!I28+Reserves!I29</f>
        <v>-12552.31</v>
      </c>
      <c r="L98" s="20"/>
      <c r="M98" s="40">
        <f>+Reserves!K27+Reserves!K28+Reserves!K29</f>
        <v>-2363.964102564592</v>
      </c>
      <c r="N98" s="20"/>
      <c r="O98" s="11">
        <v>0</v>
      </c>
      <c r="P98" s="20"/>
      <c r="Q98" s="88">
        <f t="shared" si="1"/>
        <v>0</v>
      </c>
      <c r="R98" s="2"/>
      <c r="S98" s="2"/>
      <c r="T98" s="2"/>
      <c r="U98" s="11">
        <v>0</v>
      </c>
      <c r="V98" s="2"/>
    </row>
    <row r="99" spans="1:22" ht="12.75">
      <c r="A99" s="6" t="s">
        <v>56</v>
      </c>
      <c r="B99" s="6" t="s">
        <v>57</v>
      </c>
      <c r="C99" s="1" t="s">
        <v>58</v>
      </c>
      <c r="D99" s="2"/>
      <c r="E99" s="2"/>
      <c r="F99" s="2"/>
      <c r="G99" s="121">
        <f>+Reserves!E30-118335</f>
        <v>-726177.3546153846</v>
      </c>
      <c r="H99" s="20"/>
      <c r="I99" s="121">
        <f>+Reserves!G30</f>
        <v>-636695.7484615385</v>
      </c>
      <c r="J99" s="20"/>
      <c r="K99" s="121">
        <f>+Reserves!I30+2386</f>
        <v>-741381.8553846154</v>
      </c>
      <c r="L99" s="20"/>
      <c r="M99" s="121">
        <f>+Reserves!K30-73147</f>
        <v>-939080.6907692308</v>
      </c>
      <c r="N99" s="20"/>
      <c r="O99" s="11">
        <f>ROUND(-'[8]SCHB9'!$R$27,0)</f>
        <v>-968129</v>
      </c>
      <c r="P99" s="20"/>
      <c r="Q99" s="88">
        <f t="shared" si="1"/>
        <v>-968129</v>
      </c>
      <c r="R99" s="2"/>
      <c r="S99" s="2"/>
      <c r="T99" s="2"/>
      <c r="U99" s="11">
        <f>+'[9]SCHG1-12'!$R$26*-1</f>
        <v>-1203884.8523076924</v>
      </c>
      <c r="V99" s="2"/>
    </row>
    <row r="100" spans="1:22" ht="12.75">
      <c r="A100" s="12"/>
      <c r="B100" s="2"/>
      <c r="C100" s="2"/>
      <c r="D100" s="2"/>
      <c r="E100" s="2"/>
      <c r="F100" s="2"/>
      <c r="G100" s="22"/>
      <c r="H100" s="20"/>
      <c r="I100" s="22"/>
      <c r="J100" s="20"/>
      <c r="K100" s="22"/>
      <c r="L100" s="20"/>
      <c r="M100" s="22"/>
      <c r="N100" s="20"/>
      <c r="O100" s="22"/>
      <c r="P100" s="20"/>
      <c r="Q100" s="88"/>
      <c r="R100" s="2"/>
      <c r="S100" s="2"/>
      <c r="T100" s="2"/>
      <c r="U100" s="22"/>
      <c r="V100" s="2"/>
    </row>
    <row r="101" spans="1:22" ht="12.75">
      <c r="A101" s="6" t="s">
        <v>59</v>
      </c>
      <c r="B101" s="2"/>
      <c r="C101" s="1" t="s">
        <v>81</v>
      </c>
      <c r="D101" s="2"/>
      <c r="E101" s="2"/>
      <c r="F101" s="2"/>
      <c r="G101" s="14">
        <f>SUM(G88:G99)</f>
        <v>-244655482.15769225</v>
      </c>
      <c r="H101" s="11"/>
      <c r="I101" s="14">
        <f>SUM(I88:I99)</f>
        <v>-261235490.03384617</v>
      </c>
      <c r="J101" s="11"/>
      <c r="K101" s="14">
        <f>SUM(K88:K99)</f>
        <v>-282009256.2015384</v>
      </c>
      <c r="L101" s="11"/>
      <c r="M101" s="14">
        <f>SUM(M88:M99)</f>
        <v>-303835286.1010256</v>
      </c>
      <c r="N101" s="11"/>
      <c r="O101" s="14">
        <f>SUM(O88:O99)</f>
        <v>-329495214</v>
      </c>
      <c r="P101" s="11"/>
      <c r="Q101" s="91">
        <f>SUM(Q88:Q99)</f>
        <v>-329495214</v>
      </c>
      <c r="R101" s="11"/>
      <c r="S101" s="11"/>
      <c r="T101" s="11"/>
      <c r="U101" s="14">
        <f>SUM(U88:U99)</f>
        <v>-389093622.45769227</v>
      </c>
      <c r="V101" s="11"/>
    </row>
    <row r="102" spans="1:22" ht="12.75">
      <c r="A102" s="12"/>
      <c r="B102" s="2"/>
      <c r="C102" s="2"/>
      <c r="D102" s="2"/>
      <c r="E102" s="2"/>
      <c r="F102" s="2"/>
      <c r="G102" s="51"/>
      <c r="H102" s="20"/>
      <c r="I102" s="22"/>
      <c r="J102" s="20"/>
      <c r="K102" s="22"/>
      <c r="L102" s="20"/>
      <c r="M102" s="51"/>
      <c r="N102" s="76"/>
      <c r="O102" s="51"/>
      <c r="P102" s="76"/>
      <c r="Q102" s="89"/>
      <c r="R102" s="2"/>
      <c r="S102" s="2"/>
      <c r="T102" s="2"/>
      <c r="U102" s="51"/>
      <c r="V102" s="57"/>
    </row>
    <row r="103" spans="1:22" ht="12.75">
      <c r="A103" s="6" t="s">
        <v>61</v>
      </c>
      <c r="B103" s="2"/>
      <c r="C103" s="1" t="s">
        <v>62</v>
      </c>
      <c r="D103" s="2"/>
      <c r="E103" s="2"/>
      <c r="F103" s="2"/>
      <c r="G103" s="40">
        <f>SUM(Reserves!E33:E48)+Reserves!E31</f>
        <v>-15021737.501538463</v>
      </c>
      <c r="H103" s="20"/>
      <c r="I103" s="40">
        <f>SUM(Reserves!G33:G48)+Reserves!G31</f>
        <v>-15931282.835384617</v>
      </c>
      <c r="J103" s="20"/>
      <c r="K103" s="40">
        <f>SUM(Reserves!I33:I48)+Reserves!I31</f>
        <v>-17283003.40538461</v>
      </c>
      <c r="L103" s="20"/>
      <c r="M103" s="40">
        <f>SUM(Reserves!K33:K48)+Reserves!K31</f>
        <v>-20373244.213589743</v>
      </c>
      <c r="N103" s="20"/>
      <c r="O103" s="11">
        <f>ROUND(SUM('[8]SCHB9'!$R$28:$R$42)*-1,0)</f>
        <v>-20255608</v>
      </c>
      <c r="P103" s="20"/>
      <c r="Q103" s="88">
        <f>SUM('[6]SCHB2'!$I$23:$I$24)+O103</f>
        <v>-19975040</v>
      </c>
      <c r="R103" s="80"/>
      <c r="S103" s="15"/>
      <c r="T103" s="2"/>
      <c r="U103" s="11">
        <f>(SUM('[9]SCHG1-12'!$R$27:$R$45)+'[10]SCHG1-14'!$S$18)*-1+'[4]SCDG1-1'!$K$29</f>
        <v>-22753303.86263674</v>
      </c>
      <c r="V103" s="2"/>
    </row>
    <row r="104" spans="1:22" ht="12.75">
      <c r="A104" s="6" t="s">
        <v>63</v>
      </c>
      <c r="B104" s="2"/>
      <c r="C104" s="1" t="s">
        <v>82</v>
      </c>
      <c r="D104" s="2"/>
      <c r="E104" s="2"/>
      <c r="F104" s="2"/>
      <c r="G104" s="40">
        <v>1528926</v>
      </c>
      <c r="H104" s="20"/>
      <c r="I104" s="40">
        <v>262722</v>
      </c>
      <c r="J104" s="20"/>
      <c r="K104" s="40">
        <v>1302026</v>
      </c>
      <c r="L104" s="20"/>
      <c r="M104" s="40">
        <v>1384670</v>
      </c>
      <c r="N104" s="61"/>
      <c r="O104" s="88">
        <f>ROUND(-'[8]SCHB9'!$R$46,0)</f>
        <v>1829159</v>
      </c>
      <c r="P104" s="61"/>
      <c r="Q104" s="88">
        <f>+O104</f>
        <v>1829159</v>
      </c>
      <c r="R104" s="2"/>
      <c r="S104" s="2"/>
      <c r="T104" s="2"/>
      <c r="U104" s="88">
        <f>-'[9]SCHG1-12'!$R$50</f>
        <v>1862906.6099999996</v>
      </c>
      <c r="V104" s="81"/>
    </row>
    <row r="105" spans="1:22" s="141" customFormat="1" ht="12.75">
      <c r="A105" s="137" t="s">
        <v>65</v>
      </c>
      <c r="B105" s="84"/>
      <c r="C105" s="83" t="s">
        <v>83</v>
      </c>
      <c r="D105" s="84"/>
      <c r="E105" s="84"/>
      <c r="F105" s="84"/>
      <c r="G105" s="60">
        <v>-2566674.59</v>
      </c>
      <c r="H105" s="85"/>
      <c r="I105" s="60">
        <v>-2723046.23</v>
      </c>
      <c r="J105" s="85"/>
      <c r="K105" s="60">
        <v>-2879417.87</v>
      </c>
      <c r="L105" s="85"/>
      <c r="M105" s="60">
        <v>-3035789.51</v>
      </c>
      <c r="N105" s="138"/>
      <c r="O105" s="88">
        <f>ROUND(+'[6]SCHB2'!$F$25,0)</f>
        <v>-3192161</v>
      </c>
      <c r="P105" s="85"/>
      <c r="Q105" s="88">
        <f>+'[6]SCHB2'!$L$25</f>
        <v>-1366956.3846153845</v>
      </c>
      <c r="R105" s="139"/>
      <c r="S105" s="84"/>
      <c r="T105" s="84"/>
      <c r="U105" s="88">
        <f>-'[10]SCHG1-14'!$S$25</f>
        <v>-3504168</v>
      </c>
      <c r="V105" s="140"/>
    </row>
    <row r="106" spans="1:22" ht="12.75">
      <c r="A106" s="6" t="s">
        <v>67</v>
      </c>
      <c r="B106" s="2"/>
      <c r="C106" s="1" t="s">
        <v>84</v>
      </c>
      <c r="D106" s="2"/>
      <c r="E106" s="2"/>
      <c r="F106" s="2"/>
      <c r="G106" s="60">
        <f>+Reserves!E11+Reserves!E32</f>
        <v>-653700.13</v>
      </c>
      <c r="H106" s="85"/>
      <c r="I106" s="60">
        <f>+Reserves!G11+Reserves!G32</f>
        <v>-693280.5999999999</v>
      </c>
      <c r="J106" s="85"/>
      <c r="K106" s="60">
        <f>+Reserves!I11+Reserves!I32</f>
        <v>-735798.3423076923</v>
      </c>
      <c r="L106" s="85"/>
      <c r="M106" s="60">
        <f>+Reserves!K11+Reserves!K32</f>
        <v>-792949.1738461538</v>
      </c>
      <c r="N106" s="61"/>
      <c r="O106" s="88">
        <f>SUM('[7]SCHLB10'!$R$17:$R$18)*-1</f>
        <v>-847618</v>
      </c>
      <c r="P106" s="20"/>
      <c r="Q106" s="88">
        <f>+'[6]SCHB2'!$L$26-Q84</f>
        <v>-847619</v>
      </c>
      <c r="R106" s="2"/>
      <c r="S106" s="2"/>
      <c r="T106" s="2"/>
      <c r="U106" s="88">
        <v>0</v>
      </c>
      <c r="V106" s="2"/>
    </row>
    <row r="107" spans="1:22" ht="12.75">
      <c r="A107" s="6" t="s">
        <v>69</v>
      </c>
      <c r="B107" s="2"/>
      <c r="C107" s="1" t="s">
        <v>85</v>
      </c>
      <c r="D107" s="2"/>
      <c r="E107" s="2"/>
      <c r="F107" s="2"/>
      <c r="G107" s="60">
        <v>0</v>
      </c>
      <c r="H107" s="85"/>
      <c r="I107" s="60">
        <v>0</v>
      </c>
      <c r="J107" s="85"/>
      <c r="K107" s="60">
        <v>0</v>
      </c>
      <c r="L107" s="85"/>
      <c r="M107" s="60">
        <v>0</v>
      </c>
      <c r="N107" s="20"/>
      <c r="O107" s="88">
        <v>0</v>
      </c>
      <c r="P107" s="20"/>
      <c r="Q107" s="60">
        <v>0</v>
      </c>
      <c r="R107" s="2"/>
      <c r="S107" s="2"/>
      <c r="T107" s="2"/>
      <c r="U107" s="88">
        <v>0</v>
      </c>
      <c r="V107" s="2"/>
    </row>
    <row r="108" spans="1:22" ht="12.75">
      <c r="A108" s="6" t="s">
        <v>71</v>
      </c>
      <c r="B108" s="2"/>
      <c r="C108" s="1" t="s">
        <v>86</v>
      </c>
      <c r="D108" s="2"/>
      <c r="E108" s="2"/>
      <c r="F108" s="2"/>
      <c r="G108" s="60">
        <v>-2364000</v>
      </c>
      <c r="H108" s="85"/>
      <c r="I108" s="60">
        <v>-2628000</v>
      </c>
      <c r="J108" s="85"/>
      <c r="K108" s="60">
        <v>-3115000</v>
      </c>
      <c r="L108" s="85"/>
      <c r="M108" s="60">
        <v>-4250000</v>
      </c>
      <c r="N108" s="20"/>
      <c r="O108" s="88">
        <f>ROUND(+'[6]SCHB2'!$F$22,0)</f>
        <v>-5953944</v>
      </c>
      <c r="P108" s="20"/>
      <c r="Q108" s="88">
        <f>+'[6]SCHB2'!$L$22</f>
        <v>-5953944.186153846</v>
      </c>
      <c r="R108" s="80"/>
      <c r="S108" s="2"/>
      <c r="T108" s="2"/>
      <c r="U108" s="88">
        <f>+'[4]SCDG1-1'!$M$30</f>
        <v>-7916126.78</v>
      </c>
      <c r="V108" s="81"/>
    </row>
    <row r="109" spans="1:22" ht="12.75">
      <c r="A109" s="12"/>
      <c r="B109" s="2"/>
      <c r="C109" s="2"/>
      <c r="D109" s="2"/>
      <c r="E109" s="2"/>
      <c r="F109" s="2"/>
      <c r="G109" s="22"/>
      <c r="H109" s="20"/>
      <c r="I109" s="22"/>
      <c r="J109" s="20"/>
      <c r="K109" s="22"/>
      <c r="L109" s="20"/>
      <c r="M109" s="22"/>
      <c r="N109" s="20"/>
      <c r="O109" s="22"/>
      <c r="P109" s="20"/>
      <c r="Q109" s="22"/>
      <c r="R109" s="2"/>
      <c r="S109" s="2"/>
      <c r="T109" s="2"/>
      <c r="U109" s="22"/>
      <c r="V109" s="2"/>
    </row>
    <row r="110" spans="1:22" ht="13.5" thickBot="1">
      <c r="A110" s="6" t="s">
        <v>87</v>
      </c>
      <c r="B110" s="2"/>
      <c r="C110" s="1" t="s">
        <v>88</v>
      </c>
      <c r="D110" s="2"/>
      <c r="E110" s="2"/>
      <c r="F110" s="2"/>
      <c r="G110" s="16">
        <f>G82+G84+G101+G103+G104+G105+G106+G107+G108</f>
        <v>-271529273.06615376</v>
      </c>
      <c r="H110" s="11"/>
      <c r="I110" s="16">
        <f>I82+I84+I101+I103+I104+I105+I106+I107+I108</f>
        <v>-292828879.7561539</v>
      </c>
      <c r="J110" s="11"/>
      <c r="K110" s="16">
        <f>K82+K84+K101+K103+K104+K105+K106+K107+K108</f>
        <v>-315532752.8553845</v>
      </c>
      <c r="L110" s="11"/>
      <c r="M110" s="16">
        <f>M82+M84+M101+M103+M104+M105+M106+M107+M108</f>
        <v>-342791817.8623076</v>
      </c>
      <c r="N110" s="11"/>
      <c r="O110" s="16">
        <f>O82+O84+O101+O103+O104+O105+O106+O107+O108</f>
        <v>-370994995</v>
      </c>
      <c r="P110" s="11"/>
      <c r="Q110" s="16">
        <f>Q82+Q84+Q101+Q103+Q104+Q105+Q106+Q107+Q108</f>
        <v>-368889223.5707692</v>
      </c>
      <c r="R110" s="11"/>
      <c r="S110" s="11"/>
      <c r="T110" s="11"/>
      <c r="U110" s="16">
        <f>U82+U84+U101+U103+U104+U105+U106+U107+U108</f>
        <v>-434280485.65263665</v>
      </c>
      <c r="V110" s="11"/>
    </row>
    <row r="111" spans="1:22" ht="13.5" thickTop="1">
      <c r="A111" s="12"/>
      <c r="B111" s="2"/>
      <c r="C111" s="2"/>
      <c r="D111" s="2"/>
      <c r="E111" s="2"/>
      <c r="F111" s="2"/>
      <c r="G111" s="51"/>
      <c r="H111" s="20"/>
      <c r="I111" s="51"/>
      <c r="J111" s="20"/>
      <c r="K111" s="51"/>
      <c r="L111" s="20"/>
      <c r="M111" s="51"/>
      <c r="N111" s="20"/>
      <c r="O111" s="51"/>
      <c r="P111" s="20"/>
      <c r="Q111" s="22"/>
      <c r="R111" s="2"/>
      <c r="S111" s="2"/>
      <c r="T111" s="2"/>
      <c r="U111" s="22"/>
      <c r="V111" s="2"/>
    </row>
    <row r="112" spans="1:22" ht="12.75">
      <c r="A112" s="6" t="s">
        <v>89</v>
      </c>
      <c r="B112" s="2"/>
      <c r="C112" s="1" t="s">
        <v>90</v>
      </c>
      <c r="D112" s="2"/>
      <c r="E112" s="2"/>
      <c r="F112" s="2"/>
      <c r="G112" s="11">
        <f>SUM(G52+G110)</f>
        <v>506745000.48442316</v>
      </c>
      <c r="H112" s="20"/>
      <c r="I112" s="11">
        <f>SUM(I52+I110)</f>
        <v>514687691.9859616</v>
      </c>
      <c r="J112" s="20"/>
      <c r="K112" s="11">
        <f>SUM(K52+K110)</f>
        <v>518140000.0096155</v>
      </c>
      <c r="L112" s="20"/>
      <c r="M112" s="11">
        <f>SUM(M52+M110)</f>
        <v>529751999.83923084</v>
      </c>
      <c r="N112" s="20"/>
      <c r="O112" s="11">
        <f>SUM(O52+O110)</f>
        <v>544960265.2576923</v>
      </c>
      <c r="P112" s="20"/>
      <c r="Q112" s="11">
        <f>Q110+Q52</f>
        <v>542491891.5007694</v>
      </c>
      <c r="R112" s="13"/>
      <c r="S112" s="13"/>
      <c r="T112" s="13"/>
      <c r="U112" s="11">
        <f>U110+U52</f>
        <v>575093804.5677265</v>
      </c>
      <c r="V112" s="2"/>
    </row>
    <row r="113" spans="1:22" ht="12.75">
      <c r="A113" s="6" t="s">
        <v>91</v>
      </c>
      <c r="B113" s="2"/>
      <c r="C113" s="1" t="s">
        <v>92</v>
      </c>
      <c r="D113" s="2"/>
      <c r="E113" s="2"/>
      <c r="F113" s="2"/>
      <c r="G113" s="60">
        <v>-808000</v>
      </c>
      <c r="H113" s="85"/>
      <c r="I113" s="60">
        <v>-5597000</v>
      </c>
      <c r="J113" s="85"/>
      <c r="K113" s="60">
        <v>2291000</v>
      </c>
      <c r="L113" s="85"/>
      <c r="M113" s="60">
        <v>-15694000</v>
      </c>
      <c r="N113" s="85"/>
      <c r="O113" s="11">
        <f>(+'[6]SCHB2'!$F$36)</f>
        <v>-8367604.936922908</v>
      </c>
      <c r="P113" s="20"/>
      <c r="Q113" s="88">
        <f>+'[6]SCHB2'!$L$36</f>
        <v>-28713410.993076753</v>
      </c>
      <c r="R113" s="80"/>
      <c r="S113" s="2"/>
      <c r="T113" s="2"/>
      <c r="U113" s="88">
        <f>+'[4]SCDG1-1'!$M$39</f>
        <v>-11494370.870289877</v>
      </c>
      <c r="V113" s="81"/>
    </row>
    <row r="114" spans="1:22" ht="12.75">
      <c r="A114" s="12"/>
      <c r="B114" s="2"/>
      <c r="C114" s="2"/>
      <c r="D114" s="2"/>
      <c r="E114" s="2"/>
      <c r="F114" s="2"/>
      <c r="G114" s="22"/>
      <c r="H114" s="20"/>
      <c r="I114" s="22"/>
      <c r="J114" s="20"/>
      <c r="K114" s="22"/>
      <c r="L114" s="20"/>
      <c r="M114" s="22"/>
      <c r="N114" s="20"/>
      <c r="O114" s="22"/>
      <c r="P114" s="20"/>
      <c r="Q114" s="22"/>
      <c r="R114" s="2"/>
      <c r="S114" s="2"/>
      <c r="T114" s="2"/>
      <c r="U114" s="22"/>
      <c r="V114" s="2"/>
    </row>
    <row r="115" spans="1:25" ht="13.5" thickBot="1">
      <c r="A115" s="6" t="s">
        <v>93</v>
      </c>
      <c r="B115" s="2"/>
      <c r="C115" s="1" t="s">
        <v>94</v>
      </c>
      <c r="D115" s="2"/>
      <c r="E115" s="2"/>
      <c r="F115" s="2"/>
      <c r="G115" s="16">
        <f>SUM(G112+G113)</f>
        <v>505937000.48442316</v>
      </c>
      <c r="H115" s="11"/>
      <c r="I115" s="16">
        <f>SUM(I112+I113)</f>
        <v>509090691.9859616</v>
      </c>
      <c r="J115" s="11"/>
      <c r="K115" s="16">
        <f>SUM(K112+K113)</f>
        <v>520431000.0096155</v>
      </c>
      <c r="L115" s="11"/>
      <c r="M115" s="16">
        <f>SUM(M112+M113)</f>
        <v>514057999.83923084</v>
      </c>
      <c r="N115" s="11"/>
      <c r="O115" s="16">
        <f>SUM(O112+O113)</f>
        <v>536592660.3207694</v>
      </c>
      <c r="P115" s="11"/>
      <c r="Q115" s="16">
        <f>SUM(Q112+Q113)</f>
        <v>513778480.50769264</v>
      </c>
      <c r="R115" s="11"/>
      <c r="S115" s="11"/>
      <c r="T115" s="11"/>
      <c r="U115" s="16">
        <f>SUM(U112+U113)</f>
        <v>563599433.6974366</v>
      </c>
      <c r="V115" s="11"/>
      <c r="X115" s="129">
        <f>+'[4]SCDG1-1'!$M$43</f>
        <v>563599436.2431337</v>
      </c>
      <c r="Y115" t="s">
        <v>344</v>
      </c>
    </row>
    <row r="116" spans="1:24" ht="13.5" thickTop="1">
      <c r="A116" s="2"/>
      <c r="B116" s="2"/>
      <c r="C116" s="2"/>
      <c r="D116" s="2"/>
      <c r="E116" s="2"/>
      <c r="F116" s="2"/>
      <c r="G116" s="142"/>
      <c r="H116" s="57"/>
      <c r="I116" s="142"/>
      <c r="J116" s="57"/>
      <c r="K116" s="142"/>
      <c r="L116" s="57"/>
      <c r="M116" s="142"/>
      <c r="N116" s="2"/>
      <c r="O116" s="52"/>
      <c r="P116" s="2"/>
      <c r="Q116" s="52"/>
      <c r="R116" s="2"/>
      <c r="S116" s="2"/>
      <c r="T116" s="2"/>
      <c r="U116" s="52"/>
      <c r="V116" s="2"/>
      <c r="X116" s="130">
        <f>+X115-U115</f>
        <v>2.5456970930099487</v>
      </c>
    </row>
    <row r="117" spans="1:24" ht="12.75">
      <c r="A117" s="2"/>
      <c r="B117" s="2"/>
      <c r="C117" s="2"/>
      <c r="D117" s="2"/>
      <c r="E117" s="2"/>
      <c r="F117" s="2"/>
      <c r="H117" s="2"/>
      <c r="I117" s="20"/>
      <c r="J117" s="2"/>
      <c r="K117" s="20"/>
      <c r="L117" s="2"/>
      <c r="M117" s="85"/>
      <c r="N117" s="20"/>
      <c r="R117" s="2"/>
      <c r="S117" s="2"/>
      <c r="T117" s="2"/>
      <c r="U117" s="20"/>
      <c r="V117" s="2"/>
      <c r="X117" s="132">
        <f>+'[4]SCDG1-1'!$H$43</f>
        <v>513778482.9446154</v>
      </c>
    </row>
    <row r="118" spans="1:24" ht="12.75">
      <c r="A118" s="2"/>
      <c r="B118" s="2"/>
      <c r="C118" s="2"/>
      <c r="D118" s="2"/>
      <c r="E118" s="2"/>
      <c r="F118" s="5"/>
      <c r="G118" s="71"/>
      <c r="H118" s="2"/>
      <c r="I118" s="57"/>
      <c r="J118" s="2"/>
      <c r="K118" s="57"/>
      <c r="L118" s="2"/>
      <c r="M118" s="57"/>
      <c r="N118" s="77"/>
      <c r="R118" s="2"/>
      <c r="S118" s="2"/>
      <c r="T118" s="2"/>
      <c r="U118" s="2"/>
      <c r="V118" s="2"/>
      <c r="X118" s="114">
        <f>+X117-Q115</f>
        <v>2.436922788619995</v>
      </c>
    </row>
    <row r="119" spans="1:25" ht="12.75">
      <c r="A119" s="2"/>
      <c r="B119" s="2"/>
      <c r="C119" s="2"/>
      <c r="D119" s="2"/>
      <c r="E119" s="2"/>
      <c r="F119" s="5"/>
      <c r="G119" s="62"/>
      <c r="H119" s="2"/>
      <c r="I119" s="20"/>
      <c r="J119" s="2"/>
      <c r="K119" s="20"/>
      <c r="L119" s="2"/>
      <c r="M119" s="2"/>
      <c r="N119" s="2"/>
      <c r="O119" s="20"/>
      <c r="P119" s="2"/>
      <c r="Q119" s="2"/>
      <c r="R119" s="2"/>
      <c r="S119" s="2"/>
      <c r="T119" s="2"/>
      <c r="U119" s="2"/>
      <c r="V119" s="2"/>
      <c r="X119" s="100">
        <f>+'[4]SCDG1-1'!$F$43</f>
        <v>536592661.57538474</v>
      </c>
      <c r="Y119" s="131" t="s">
        <v>344</v>
      </c>
    </row>
    <row r="120" spans="1:25" ht="13.5" thickBot="1">
      <c r="A120" s="3"/>
      <c r="B120" s="3"/>
      <c r="C120" s="3"/>
      <c r="D120" s="3"/>
      <c r="E120" s="3"/>
      <c r="F120" s="3"/>
      <c r="G120" s="63"/>
      <c r="H120" s="3"/>
      <c r="I120" s="72"/>
      <c r="J120" s="3"/>
      <c r="K120" s="3"/>
      <c r="L120" s="3"/>
      <c r="M120" s="54"/>
      <c r="N120" s="3"/>
      <c r="O120" s="3"/>
      <c r="P120" s="3"/>
      <c r="Q120" s="3"/>
      <c r="R120" s="3"/>
      <c r="S120" s="3"/>
      <c r="T120" s="3"/>
      <c r="U120" s="3"/>
      <c r="V120" s="3"/>
      <c r="X120" s="133">
        <f>+X119-O115</f>
        <v>1.254615306854248</v>
      </c>
      <c r="Y120" s="2"/>
    </row>
    <row r="121" spans="1:24" ht="12.75">
      <c r="A121" s="1" t="s">
        <v>95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 t="s">
        <v>353</v>
      </c>
      <c r="T121" s="2"/>
      <c r="U121" s="2"/>
      <c r="V121" s="2"/>
      <c r="X121" s="123"/>
    </row>
    <row r="122" spans="1:2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1" ht="12.75">
      <c r="A125" s="1" t="s">
        <v>0</v>
      </c>
      <c r="B125" s="2"/>
      <c r="C125" s="2"/>
      <c r="D125" s="2"/>
      <c r="E125" s="2"/>
      <c r="F125" s="2"/>
      <c r="G125" s="2"/>
      <c r="H125" s="2"/>
      <c r="I125" s="2"/>
      <c r="J125" s="2"/>
      <c r="K125" s="1" t="s">
        <v>1</v>
      </c>
      <c r="L125" s="2"/>
      <c r="M125" s="2"/>
      <c r="N125" s="2"/>
      <c r="O125" s="2"/>
      <c r="P125" s="2"/>
      <c r="Q125" s="2"/>
      <c r="R125" s="2"/>
      <c r="S125" s="1" t="s">
        <v>96</v>
      </c>
      <c r="T125" s="2"/>
      <c r="U125" s="2"/>
    </row>
    <row r="126" spans="1:21" ht="13.5" thickBo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1" t="s">
        <v>3</v>
      </c>
      <c r="B127" s="2"/>
      <c r="C127" s="2"/>
      <c r="D127" s="2"/>
      <c r="E127" s="2"/>
      <c r="F127" s="2"/>
      <c r="G127" s="2"/>
      <c r="H127" s="2"/>
      <c r="J127" s="1" t="s">
        <v>97</v>
      </c>
      <c r="K127" s="2"/>
      <c r="L127" s="2"/>
      <c r="M127" s="4"/>
      <c r="N127" s="2"/>
      <c r="O127" s="2"/>
      <c r="P127" s="2"/>
      <c r="Q127" s="2"/>
      <c r="R127" s="2"/>
      <c r="S127" s="1" t="s">
        <v>5</v>
      </c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7" t="s">
        <v>178</v>
      </c>
      <c r="K128" s="2"/>
      <c r="L128" s="2"/>
      <c r="M128" s="2"/>
      <c r="N128" s="2"/>
      <c r="O128" s="2"/>
      <c r="P128" s="2"/>
      <c r="Q128" s="2"/>
      <c r="R128" s="2"/>
      <c r="S128" s="1" t="str">
        <f>+S4</f>
        <v>HISTORIC BASE YEAR DATA:  12/31/07</v>
      </c>
      <c r="T128" s="2"/>
      <c r="U128" s="2"/>
    </row>
    <row r="129" spans="1:21" ht="12.75">
      <c r="A129" s="1" t="s">
        <v>6</v>
      </c>
      <c r="B129" s="2"/>
      <c r="C129" s="2" t="str">
        <f>+C5</f>
        <v>PEOPLES GAS SYSTEM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" t="str">
        <f>+S5</f>
        <v>PROJECTED TEST YEAR:      12/31/09</v>
      </c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" t="str">
        <f>+S6</f>
        <v>PRIOR YEARS:   12/31/03 - 12/31/06</v>
      </c>
      <c r="T130" s="2"/>
      <c r="U130" s="2"/>
    </row>
    <row r="131" spans="1:21" ht="12.75">
      <c r="A131" s="1" t="s">
        <v>76</v>
      </c>
      <c r="B131" s="2"/>
      <c r="C131" s="5" t="str">
        <f>+C7</f>
        <v>080318-GU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" t="str">
        <f>+S7</f>
        <v>WITNESS: </v>
      </c>
      <c r="T131" s="2"/>
      <c r="U131" s="2" t="str">
        <f>+U$7</f>
        <v>S. RICHARDS</v>
      </c>
    </row>
    <row r="132" spans="1:2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3.5" thickBo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7" t="str">
        <f>+O74</f>
        <v>HISTORIC BASE YEAR ENDED 12/31/07</v>
      </c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/>
      <c r="P135" s="2"/>
      <c r="Q135" s="2"/>
      <c r="R135" s="2"/>
      <c r="S135" s="2"/>
      <c r="T135" s="2"/>
      <c r="U135" s="6" t="s">
        <v>8</v>
      </c>
      <c r="V135" s="2"/>
    </row>
    <row r="136" spans="1:22" ht="12.75">
      <c r="A136" s="2"/>
      <c r="B136" s="2"/>
      <c r="C136" s="2"/>
      <c r="D136" s="2"/>
      <c r="E136" s="2"/>
      <c r="F136" s="2"/>
      <c r="G136" s="6"/>
      <c r="H136" s="2"/>
      <c r="I136" s="6"/>
      <c r="J136" s="2"/>
      <c r="K136" s="6"/>
      <c r="L136" s="2"/>
      <c r="M136" s="6"/>
      <c r="N136" s="2"/>
      <c r="O136" s="6" t="s">
        <v>183</v>
      </c>
      <c r="P136" s="2"/>
      <c r="Q136" s="6" t="s">
        <v>9</v>
      </c>
      <c r="R136" s="2"/>
      <c r="S136" s="2"/>
      <c r="T136" s="2"/>
      <c r="U136" s="6" t="s">
        <v>10</v>
      </c>
      <c r="V136" s="2"/>
    </row>
    <row r="137" spans="1:22" ht="12.75">
      <c r="A137" s="2"/>
      <c r="B137" s="2"/>
      <c r="C137" s="2"/>
      <c r="D137" s="2"/>
      <c r="E137" s="2"/>
      <c r="F137" s="2"/>
      <c r="G137" s="7">
        <f>+G13</f>
        <v>37986</v>
      </c>
      <c r="H137" s="2"/>
      <c r="I137" s="7">
        <f>+I13</f>
        <v>38352</v>
      </c>
      <c r="J137" s="2"/>
      <c r="K137" s="7">
        <f>+K13</f>
        <v>38717</v>
      </c>
      <c r="L137" s="2"/>
      <c r="M137" s="7">
        <f>+M13</f>
        <v>39082</v>
      </c>
      <c r="N137" s="2"/>
      <c r="O137" s="39" t="s">
        <v>184</v>
      </c>
      <c r="P137" s="2"/>
      <c r="Q137" s="6" t="s">
        <v>11</v>
      </c>
      <c r="R137" s="2"/>
      <c r="S137" s="2"/>
      <c r="T137" s="2"/>
      <c r="U137" s="18" t="str">
        <f>+U13</f>
        <v>ENDED 12/31/09</v>
      </c>
      <c r="V137" s="2"/>
    </row>
    <row r="138" spans="1:22" ht="13.5" thickBot="1">
      <c r="A138" s="3"/>
      <c r="B138" s="3"/>
      <c r="C138" s="3"/>
      <c r="D138" s="3"/>
      <c r="E138" s="3"/>
      <c r="F138" s="3"/>
      <c r="G138" s="8"/>
      <c r="H138" s="9"/>
      <c r="I138" s="8"/>
      <c r="J138" s="9"/>
      <c r="K138" s="8"/>
      <c r="L138" s="9"/>
      <c r="M138" s="8"/>
      <c r="N138" s="9"/>
      <c r="O138" s="8"/>
      <c r="P138" s="10"/>
      <c r="Q138" s="8"/>
      <c r="R138" s="10"/>
      <c r="S138" s="8"/>
      <c r="T138" s="10"/>
      <c r="U138" s="8"/>
      <c r="V138" s="3"/>
    </row>
    <row r="139" spans="1:22" ht="12.75">
      <c r="A139" s="1" t="s">
        <v>12</v>
      </c>
      <c r="B139" s="1" t="s">
        <v>77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6" t="s">
        <v>78</v>
      </c>
      <c r="B140" s="26" t="s">
        <v>79</v>
      </c>
      <c r="C140" s="26" t="s">
        <v>98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6" t="s">
        <v>16</v>
      </c>
      <c r="B142" s="6" t="s">
        <v>99</v>
      </c>
      <c r="C142" s="1" t="s">
        <v>18</v>
      </c>
      <c r="D142" s="2"/>
      <c r="E142" s="2"/>
      <c r="F142" s="2"/>
      <c r="G142" s="40">
        <v>0</v>
      </c>
      <c r="H142" s="41"/>
      <c r="I142" s="40">
        <v>0</v>
      </c>
      <c r="J142" s="41"/>
      <c r="K142" s="40">
        <v>0</v>
      </c>
      <c r="L142" s="41"/>
      <c r="M142" s="40">
        <v>0</v>
      </c>
      <c r="N142" s="41"/>
      <c r="O142" s="40">
        <v>0</v>
      </c>
      <c r="P142" s="41"/>
      <c r="Q142" s="60">
        <v>0</v>
      </c>
      <c r="R142" s="41"/>
      <c r="S142" s="41"/>
      <c r="T142" s="41"/>
      <c r="U142" s="40">
        <v>0</v>
      </c>
      <c r="V142" s="2"/>
    </row>
    <row r="143" spans="1:22" ht="12.75">
      <c r="A143" s="12"/>
      <c r="B143" s="2"/>
      <c r="C143" s="2"/>
      <c r="D143" s="2"/>
      <c r="E143" s="2"/>
      <c r="F143" s="2"/>
      <c r="G143" s="85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"/>
    </row>
    <row r="144" spans="1:22" ht="12.75">
      <c r="A144" s="12"/>
      <c r="B144" s="2"/>
      <c r="C144" s="2"/>
      <c r="D144" s="2"/>
      <c r="E144" s="2"/>
      <c r="F144" s="2"/>
      <c r="G144" s="85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"/>
    </row>
    <row r="145" spans="1:22" ht="12.75">
      <c r="A145" s="12"/>
      <c r="B145" s="2"/>
      <c r="C145" s="26" t="s">
        <v>22</v>
      </c>
      <c r="D145" s="2"/>
      <c r="E145" s="2"/>
      <c r="F145" s="2"/>
      <c r="G145" s="88"/>
      <c r="H145" s="20"/>
      <c r="I145" s="11"/>
      <c r="J145" s="20"/>
      <c r="K145" s="11"/>
      <c r="L145" s="20"/>
      <c r="M145" s="11"/>
      <c r="N145" s="20"/>
      <c r="O145" s="11"/>
      <c r="P145" s="20"/>
      <c r="Q145" s="11"/>
      <c r="R145" s="20"/>
      <c r="S145" s="20"/>
      <c r="T145" s="20"/>
      <c r="U145" s="11"/>
      <c r="V145" s="2"/>
    </row>
    <row r="146" spans="1:22" ht="12.75">
      <c r="A146" s="12"/>
      <c r="B146" s="2"/>
      <c r="C146" s="17"/>
      <c r="D146" s="2"/>
      <c r="E146" s="2"/>
      <c r="F146" s="2"/>
      <c r="G146" s="88"/>
      <c r="H146" s="20"/>
      <c r="I146" s="11"/>
      <c r="J146" s="20"/>
      <c r="K146" s="11"/>
      <c r="L146" s="20"/>
      <c r="M146" s="11"/>
      <c r="N146" s="20"/>
      <c r="O146" s="11"/>
      <c r="P146" s="20"/>
      <c r="Q146" s="11"/>
      <c r="R146" s="20"/>
      <c r="S146" s="20"/>
      <c r="T146" s="20"/>
      <c r="U146" s="11"/>
      <c r="V146" s="2"/>
    </row>
    <row r="147" spans="1:22" ht="12.75">
      <c r="A147" s="6" t="s">
        <v>19</v>
      </c>
      <c r="B147" s="6" t="s">
        <v>100</v>
      </c>
      <c r="C147" s="27" t="s">
        <v>101</v>
      </c>
      <c r="D147" s="2"/>
      <c r="E147" s="2"/>
      <c r="F147" s="2"/>
      <c r="G147" s="60">
        <f>+'O&amp;M Data'!B6</f>
        <v>426437</v>
      </c>
      <c r="H147" s="20"/>
      <c r="I147" s="60">
        <f>+'O&amp;M Data'!C6</f>
        <v>286561</v>
      </c>
      <c r="J147" s="20"/>
      <c r="K147" s="60">
        <f>+'O&amp;M Data'!D6</f>
        <v>247117</v>
      </c>
      <c r="L147" s="20"/>
      <c r="M147" s="60">
        <f>+'O&amp;M Data'!E6</f>
        <v>304342</v>
      </c>
      <c r="N147" s="20"/>
      <c r="O147" s="88">
        <f>+'[11]SCHG2-19'!$E$29</f>
        <v>336399</v>
      </c>
      <c r="P147" s="20"/>
      <c r="Q147" s="88">
        <f>+'[11]SCHG2-19'!$I$29</f>
        <v>336399</v>
      </c>
      <c r="R147" s="20"/>
      <c r="S147" s="20"/>
      <c r="T147" s="20"/>
      <c r="U147" s="11">
        <f>+'[11]SCHG2-19'!$M$29</f>
        <v>361375.8680016</v>
      </c>
      <c r="V147" s="2"/>
    </row>
    <row r="148" spans="1:22" ht="12.75">
      <c r="A148" s="6" t="s">
        <v>23</v>
      </c>
      <c r="B148" s="6" t="s">
        <v>102</v>
      </c>
      <c r="C148" s="1" t="s">
        <v>103</v>
      </c>
      <c r="D148" s="2"/>
      <c r="E148" s="2"/>
      <c r="F148" s="2"/>
      <c r="G148" s="60">
        <f>+'O&amp;M Data'!B7</f>
        <v>56364</v>
      </c>
      <c r="H148" s="20"/>
      <c r="I148" s="60">
        <f>+'O&amp;M Data'!C7</f>
        <v>53100</v>
      </c>
      <c r="J148" s="20"/>
      <c r="K148" s="60">
        <f>+'O&amp;M Data'!D7</f>
        <v>28738</v>
      </c>
      <c r="L148" s="20"/>
      <c r="M148" s="60">
        <f>+'O&amp;M Data'!E7</f>
        <v>5364</v>
      </c>
      <c r="N148" s="20"/>
      <c r="O148" s="88">
        <f>+'[11]SCHG2-19'!$E$36</f>
        <v>5509</v>
      </c>
      <c r="P148" s="20"/>
      <c r="Q148" s="88">
        <f>+'[11]SCHG2-19'!$I$36</f>
        <v>5509</v>
      </c>
      <c r="R148" s="20"/>
      <c r="S148" s="20"/>
      <c r="T148" s="20"/>
      <c r="U148" s="74">
        <f>+'[11]SCHG2-19'!$M$36</f>
        <v>369911.04150649</v>
      </c>
      <c r="V148" s="2"/>
    </row>
    <row r="149" spans="1:22" ht="12.75">
      <c r="A149" s="6" t="s">
        <v>26</v>
      </c>
      <c r="B149" s="6" t="s">
        <v>104</v>
      </c>
      <c r="C149" s="1" t="s">
        <v>105</v>
      </c>
      <c r="D149" s="2"/>
      <c r="E149" s="2"/>
      <c r="F149" s="2"/>
      <c r="G149" s="60">
        <f>+'O&amp;M Data'!B8</f>
        <v>20829</v>
      </c>
      <c r="H149" s="20"/>
      <c r="I149" s="60">
        <f>+'O&amp;M Data'!C8</f>
        <v>7133</v>
      </c>
      <c r="J149" s="20"/>
      <c r="K149" s="60">
        <f>+'O&amp;M Data'!D8</f>
        <v>6659</v>
      </c>
      <c r="L149" s="20"/>
      <c r="M149" s="60">
        <f>+'O&amp;M Data'!E8</f>
        <v>18048</v>
      </c>
      <c r="N149" s="20"/>
      <c r="O149" s="88">
        <f>+'[11]SCHG2-19'!$E$43</f>
        <v>1938</v>
      </c>
      <c r="P149" s="20"/>
      <c r="Q149" s="88">
        <f>+'[11]SCHG2-19'!$I$43</f>
        <v>1938</v>
      </c>
      <c r="R149" s="20"/>
      <c r="S149" s="20"/>
      <c r="T149" s="20"/>
      <c r="U149" s="74">
        <f>+'[11]SCHG2-19'!$M$43</f>
        <v>1884.4870941300014</v>
      </c>
      <c r="V149" s="2"/>
    </row>
    <row r="150" spans="1:22" ht="12.75">
      <c r="A150" s="6" t="s">
        <v>29</v>
      </c>
      <c r="B150" s="6" t="s">
        <v>106</v>
      </c>
      <c r="C150" s="1" t="s">
        <v>107</v>
      </c>
      <c r="D150" s="2"/>
      <c r="E150" s="2"/>
      <c r="F150" s="2"/>
      <c r="G150" s="60">
        <f>+'O&amp;M Data'!B9</f>
        <v>45</v>
      </c>
      <c r="H150" s="20"/>
      <c r="I150" s="60">
        <f>+'O&amp;M Data'!C9</f>
        <v>0</v>
      </c>
      <c r="J150" s="20"/>
      <c r="K150" s="60">
        <f>+'O&amp;M Data'!D9</f>
        <v>34</v>
      </c>
      <c r="L150" s="20"/>
      <c r="M150" s="60">
        <f>+'O&amp;M Data'!E9</f>
        <v>0</v>
      </c>
      <c r="N150" s="20"/>
      <c r="O150" s="88">
        <v>0</v>
      </c>
      <c r="P150" s="20"/>
      <c r="Q150" s="88">
        <v>0</v>
      </c>
      <c r="R150" s="20"/>
      <c r="S150" s="20"/>
      <c r="T150" s="20"/>
      <c r="U150" s="50">
        <v>0</v>
      </c>
      <c r="V150" s="2"/>
    </row>
    <row r="151" spans="1:22" ht="12.75">
      <c r="A151" s="6" t="s">
        <v>32</v>
      </c>
      <c r="B151" s="6" t="s">
        <v>108</v>
      </c>
      <c r="C151" s="1" t="s">
        <v>109</v>
      </c>
      <c r="D151" s="2"/>
      <c r="E151" s="2"/>
      <c r="F151" s="2"/>
      <c r="G151" s="60">
        <f>+'O&amp;M Data'!B10</f>
        <v>5224597</v>
      </c>
      <c r="H151" s="20"/>
      <c r="I151" s="60">
        <f>+'O&amp;M Data'!C10</f>
        <v>5575835</v>
      </c>
      <c r="J151" s="20"/>
      <c r="K151" s="60">
        <f>+'O&amp;M Data'!D10</f>
        <v>6139057</v>
      </c>
      <c r="L151" s="20"/>
      <c r="M151" s="60">
        <f>+'O&amp;M Data'!E10</f>
        <v>6279344</v>
      </c>
      <c r="N151" s="20"/>
      <c r="O151" s="88">
        <f>+'[11]SCHG2-19'!$E$50</f>
        <v>6095614</v>
      </c>
      <c r="P151" s="20"/>
      <c r="Q151" s="88">
        <f>+'[11]SCHG2-19'!$I$50</f>
        <v>6095614</v>
      </c>
      <c r="R151" s="20"/>
      <c r="S151" s="20"/>
      <c r="T151" s="20"/>
      <c r="U151" s="74">
        <f>+'[11]SCHG2-19'!$M$50</f>
        <v>6596577.85089246</v>
      </c>
      <c r="V151" s="2"/>
    </row>
    <row r="152" spans="1:22" ht="12.75">
      <c r="A152" s="6" t="s">
        <v>35</v>
      </c>
      <c r="B152" s="6" t="s">
        <v>110</v>
      </c>
      <c r="C152" s="1" t="s">
        <v>111</v>
      </c>
      <c r="D152" s="2"/>
      <c r="E152" s="2"/>
      <c r="F152" s="2"/>
      <c r="G152" s="60">
        <f>+'O&amp;M Data'!B11</f>
        <v>132436</v>
      </c>
      <c r="H152" s="20"/>
      <c r="I152" s="60">
        <f>+'O&amp;M Data'!C11</f>
        <v>124499</v>
      </c>
      <c r="J152" s="20"/>
      <c r="K152" s="60">
        <f>+'O&amp;M Data'!D11</f>
        <v>142238</v>
      </c>
      <c r="L152" s="20"/>
      <c r="M152" s="60">
        <f>+'O&amp;M Data'!E11</f>
        <v>141329</v>
      </c>
      <c r="N152" s="20"/>
      <c r="O152" s="88">
        <f>+'[11]SCHG2-19'!$E$57</f>
        <v>164862</v>
      </c>
      <c r="P152" s="20"/>
      <c r="Q152" s="88">
        <f>+'[11]SCHG2-19'!$I$57</f>
        <v>164862</v>
      </c>
      <c r="R152" s="20"/>
      <c r="S152" s="20"/>
      <c r="T152" s="20"/>
      <c r="U152" s="74">
        <f>+'[11]SCHG2-19'!$M$57</f>
        <v>176062.705311</v>
      </c>
      <c r="V152" s="2"/>
    </row>
    <row r="153" spans="1:22" ht="12.75">
      <c r="A153" s="6" t="s">
        <v>38</v>
      </c>
      <c r="B153" s="6" t="s">
        <v>112</v>
      </c>
      <c r="C153" s="1" t="s">
        <v>113</v>
      </c>
      <c r="D153" s="2"/>
      <c r="E153" s="2"/>
      <c r="F153" s="2"/>
      <c r="G153" s="60">
        <f>+'O&amp;M Data'!B12</f>
        <v>78458</v>
      </c>
      <c r="H153" s="20"/>
      <c r="I153" s="60">
        <f>+'O&amp;M Data'!C12</f>
        <v>87313</v>
      </c>
      <c r="J153" s="20"/>
      <c r="K153" s="60">
        <f>+'O&amp;M Data'!D12</f>
        <v>56230</v>
      </c>
      <c r="L153" s="20"/>
      <c r="M153" s="60">
        <f>+'O&amp;M Data'!E12</f>
        <v>65231</v>
      </c>
      <c r="N153" s="20"/>
      <c r="O153" s="88">
        <f>+'[11]SCHG2-19'!$E$80</f>
        <v>-3887</v>
      </c>
      <c r="P153" s="20"/>
      <c r="Q153" s="88">
        <f>+'[11]SCHG2-19'!$I$80</f>
        <v>-3887</v>
      </c>
      <c r="R153" s="20"/>
      <c r="S153" s="20"/>
      <c r="T153" s="20"/>
      <c r="U153" s="74">
        <f>+'[11]SCHG2-19'!$M$80</f>
        <v>-4062.2332799999986</v>
      </c>
      <c r="V153" s="2"/>
    </row>
    <row r="154" spans="1:22" ht="12.75">
      <c r="A154" s="6" t="s">
        <v>41</v>
      </c>
      <c r="B154" s="6" t="s">
        <v>114</v>
      </c>
      <c r="C154" s="1" t="s">
        <v>115</v>
      </c>
      <c r="D154" s="2"/>
      <c r="E154" s="2"/>
      <c r="F154" s="2"/>
      <c r="G154" s="60">
        <f>+'O&amp;M Data'!B13</f>
        <v>61363</v>
      </c>
      <c r="H154" s="20"/>
      <c r="I154" s="60">
        <f>+'O&amp;M Data'!C13</f>
        <v>43547</v>
      </c>
      <c r="J154" s="20"/>
      <c r="K154" s="60">
        <f>+'O&amp;M Data'!D13</f>
        <v>55665</v>
      </c>
      <c r="L154" s="20"/>
      <c r="M154" s="60">
        <f>+'O&amp;M Data'!E13</f>
        <v>43619</v>
      </c>
      <c r="N154" s="20"/>
      <c r="O154" s="88">
        <f>+'[11]SCHG2-19'!$E$87</f>
        <v>73706</v>
      </c>
      <c r="P154" s="20"/>
      <c r="Q154" s="88">
        <f>+'[11]SCHG2-19'!$I$87</f>
        <v>73706</v>
      </c>
      <c r="R154" s="20"/>
      <c r="S154" s="20"/>
      <c r="T154" s="20"/>
      <c r="U154" s="74">
        <f>+'[11]SCHG2-19'!$M$87</f>
        <v>78729.3961056</v>
      </c>
      <c r="V154" s="2"/>
    </row>
    <row r="155" spans="1:22" ht="12.75">
      <c r="A155" s="6" t="s">
        <v>44</v>
      </c>
      <c r="B155" s="6" t="s">
        <v>116</v>
      </c>
      <c r="C155" s="1" t="s">
        <v>117</v>
      </c>
      <c r="D155" s="2"/>
      <c r="E155" s="2"/>
      <c r="F155" s="2"/>
      <c r="G155" s="60">
        <f>+'O&amp;M Data'!B14</f>
        <v>2103142</v>
      </c>
      <c r="H155" s="20"/>
      <c r="I155" s="60">
        <f>+'O&amp;M Data'!C14</f>
        <v>2332217</v>
      </c>
      <c r="J155" s="20"/>
      <c r="K155" s="60">
        <f>+'O&amp;M Data'!D14</f>
        <v>2569580</v>
      </c>
      <c r="L155" s="20"/>
      <c r="M155" s="60">
        <f>+'O&amp;M Data'!E14</f>
        <v>1841056</v>
      </c>
      <c r="N155" s="20"/>
      <c r="O155" s="88">
        <f>+'[11]SCHG2-19'!$E$94</f>
        <v>2115226</v>
      </c>
      <c r="P155" s="20"/>
      <c r="Q155" s="88">
        <f>+'[11]SCHG2-19'!$I$94</f>
        <v>2115226</v>
      </c>
      <c r="R155" s="20"/>
      <c r="S155" s="20"/>
      <c r="T155" s="20"/>
      <c r="U155" s="74">
        <f>+'[11]SCHG2-19'!$M$94</f>
        <v>3093303.72349818</v>
      </c>
      <c r="V155" s="2"/>
    </row>
    <row r="156" spans="1:22" ht="12.75">
      <c r="A156" s="6" t="s">
        <v>47</v>
      </c>
      <c r="B156" s="6" t="s">
        <v>118</v>
      </c>
      <c r="C156" s="1" t="s">
        <v>119</v>
      </c>
      <c r="D156" s="2"/>
      <c r="E156" s="2"/>
      <c r="F156" s="2"/>
      <c r="G156" s="60">
        <f>+'O&amp;M Data'!B15</f>
        <v>1762288</v>
      </c>
      <c r="H156" s="20"/>
      <c r="I156" s="60">
        <f>+'O&amp;M Data'!C15</f>
        <v>1808079</v>
      </c>
      <c r="J156" s="20"/>
      <c r="K156" s="60">
        <f>+'O&amp;M Data'!D15</f>
        <v>2016821</v>
      </c>
      <c r="L156" s="20"/>
      <c r="M156" s="60">
        <f>+'O&amp;M Data'!E15</f>
        <v>2316295</v>
      </c>
      <c r="N156" s="20"/>
      <c r="O156" s="88">
        <f>+'[11]SCHG2-19'!$E$101</f>
        <v>2287598</v>
      </c>
      <c r="P156" s="20"/>
      <c r="Q156" s="88">
        <f>+'[11]SCHG2-19'!$I$101</f>
        <v>2287598</v>
      </c>
      <c r="R156" s="20"/>
      <c r="S156" s="20"/>
      <c r="T156" s="20"/>
      <c r="U156" s="74">
        <f>+'[11]SCHG2-19'!$M$101</f>
        <v>2481648.22944018</v>
      </c>
      <c r="V156" s="2"/>
    </row>
    <row r="157" spans="1:22" ht="12.75">
      <c r="A157" s="6" t="s">
        <v>50</v>
      </c>
      <c r="B157" s="6" t="s">
        <v>120</v>
      </c>
      <c r="C157" s="1" t="s">
        <v>121</v>
      </c>
      <c r="D157" s="2"/>
      <c r="E157" s="2"/>
      <c r="F157" s="2"/>
      <c r="G157" s="60">
        <f>+'O&amp;M Data'!B16</f>
        <v>1042195</v>
      </c>
      <c r="H157" s="20"/>
      <c r="I157" s="60">
        <f>+'O&amp;M Data'!C16</f>
        <v>1572952</v>
      </c>
      <c r="J157" s="20"/>
      <c r="K157" s="60">
        <f>+'O&amp;M Data'!D16</f>
        <v>1482786</v>
      </c>
      <c r="L157" s="20"/>
      <c r="M157" s="60">
        <f>+'O&amp;M Data'!E16</f>
        <v>1432577</v>
      </c>
      <c r="N157" s="20"/>
      <c r="O157" s="88">
        <f>+'[11]SCHG2-19'!$E$108</f>
        <v>1383529</v>
      </c>
      <c r="P157" s="20"/>
      <c r="Q157" s="88">
        <f>+'[11]SCHG2-19'!$I$108</f>
        <v>1383529</v>
      </c>
      <c r="R157" s="20"/>
      <c r="S157" s="20"/>
      <c r="T157" s="20"/>
      <c r="U157" s="74">
        <f>+'[11]SCHG2-19'!$M$108</f>
        <v>1569525.311542</v>
      </c>
      <c r="V157" s="2"/>
    </row>
    <row r="158" spans="1:22" ht="12.75">
      <c r="A158" s="6" t="s">
        <v>53</v>
      </c>
      <c r="B158" s="6" t="s">
        <v>122</v>
      </c>
      <c r="C158" s="1" t="s">
        <v>123</v>
      </c>
      <c r="D158" s="2"/>
      <c r="E158" s="2"/>
      <c r="F158" s="2"/>
      <c r="G158" s="60">
        <f>+'O&amp;M Data'!B17</f>
        <v>116808</v>
      </c>
      <c r="H158" s="20"/>
      <c r="I158" s="60">
        <f>+'O&amp;M Data'!C17</f>
        <v>120361</v>
      </c>
      <c r="J158" s="20"/>
      <c r="K158" s="60">
        <f>+'O&amp;M Data'!D17</f>
        <v>108507</v>
      </c>
      <c r="L158" s="20"/>
      <c r="M158" s="60">
        <f>+'O&amp;M Data'!E17</f>
        <v>133024</v>
      </c>
      <c r="N158" s="20"/>
      <c r="O158" s="88">
        <f>+'[11]SCHG2-19'!$E$115</f>
        <v>146692</v>
      </c>
      <c r="P158" s="20"/>
      <c r="Q158" s="88">
        <f>+'[11]SCHG2-19'!$I$115</f>
        <v>146692</v>
      </c>
      <c r="R158" s="20"/>
      <c r="S158" s="20"/>
      <c r="T158" s="20"/>
      <c r="U158" s="74">
        <f>+'[11]SCHG2-19'!$M$115</f>
        <v>154115.935428</v>
      </c>
      <c r="V158" s="2"/>
    </row>
    <row r="159" spans="1:22" ht="12.75">
      <c r="A159" s="6" t="s">
        <v>56</v>
      </c>
      <c r="B159" s="6" t="s">
        <v>124</v>
      </c>
      <c r="C159" s="1" t="s">
        <v>101</v>
      </c>
      <c r="D159" s="2"/>
      <c r="E159" s="2"/>
      <c r="F159" s="2"/>
      <c r="G159" s="60">
        <f>+'O&amp;M Data'!B18</f>
        <v>0</v>
      </c>
      <c r="H159" s="20"/>
      <c r="I159" s="60">
        <f>+'O&amp;M Data'!C18</f>
        <v>1483</v>
      </c>
      <c r="J159" s="20"/>
      <c r="K159" s="60">
        <f>+'O&amp;M Data'!D18</f>
        <v>0</v>
      </c>
      <c r="L159" s="20"/>
      <c r="M159" s="60">
        <f>+'O&amp;M Data'!E18</f>
        <v>0</v>
      </c>
      <c r="N159" s="20"/>
      <c r="O159" s="88">
        <v>0</v>
      </c>
      <c r="P159" s="20"/>
      <c r="Q159" s="88">
        <v>0</v>
      </c>
      <c r="R159" s="20"/>
      <c r="S159" s="20"/>
      <c r="T159" s="20"/>
      <c r="U159" s="50">
        <v>0</v>
      </c>
      <c r="V159" s="2"/>
    </row>
    <row r="160" spans="1:22" ht="12.75">
      <c r="A160" s="6" t="s">
        <v>59</v>
      </c>
      <c r="B160" s="6" t="s">
        <v>125</v>
      </c>
      <c r="C160" s="1" t="s">
        <v>126</v>
      </c>
      <c r="D160" s="2"/>
      <c r="E160" s="2"/>
      <c r="F160" s="2"/>
      <c r="G160" s="60">
        <f>+'O&amp;M Data'!B19</f>
        <v>212735</v>
      </c>
      <c r="H160" s="20"/>
      <c r="I160" s="60">
        <f>+'O&amp;M Data'!C19</f>
        <v>164707</v>
      </c>
      <c r="J160" s="20"/>
      <c r="K160" s="60">
        <f>+'O&amp;M Data'!D19</f>
        <v>205147</v>
      </c>
      <c r="L160" s="20"/>
      <c r="M160" s="60">
        <f>+'O&amp;M Data'!E19</f>
        <v>349841</v>
      </c>
      <c r="N160" s="20"/>
      <c r="O160" s="88">
        <f>+'[11]SCHG2-19'!$E$141</f>
        <v>208153</v>
      </c>
      <c r="P160" s="20"/>
      <c r="Q160" s="88">
        <f>+'[11]SCHG2-19'!$I$141</f>
        <v>208153</v>
      </c>
      <c r="R160" s="20"/>
      <c r="S160" s="20"/>
      <c r="T160" s="20"/>
      <c r="U160" s="74">
        <f>+'[11]SCHG2-19'!$M$141</f>
        <v>222230.33893665002</v>
      </c>
      <c r="V160" s="2"/>
    </row>
    <row r="161" spans="1:22" ht="12.75">
      <c r="A161" s="6" t="s">
        <v>61</v>
      </c>
      <c r="B161" s="6" t="s">
        <v>127</v>
      </c>
      <c r="C161" s="1" t="s">
        <v>31</v>
      </c>
      <c r="D161" s="2"/>
      <c r="E161" s="2"/>
      <c r="F161" s="2"/>
      <c r="G161" s="60">
        <f>+'O&amp;M Data'!B20</f>
        <v>1192312</v>
      </c>
      <c r="H161" s="20"/>
      <c r="I161" s="60">
        <f>+'O&amp;M Data'!C20</f>
        <v>1104168</v>
      </c>
      <c r="J161" s="20"/>
      <c r="K161" s="60">
        <f>+'O&amp;M Data'!D20</f>
        <v>1212817</v>
      </c>
      <c r="L161" s="20"/>
      <c r="M161" s="60">
        <f>+'O&amp;M Data'!E20</f>
        <v>1496614</v>
      </c>
      <c r="N161" s="20"/>
      <c r="O161" s="88">
        <f>+'[11]SCHG2-19'!$E$148</f>
        <v>1888624</v>
      </c>
      <c r="P161" s="20"/>
      <c r="Q161" s="88">
        <f>+'[11]SCHG2-19'!$I$148</f>
        <v>1888624</v>
      </c>
      <c r="R161" s="20"/>
      <c r="S161" s="20"/>
      <c r="T161" s="20"/>
      <c r="U161" s="74">
        <f>+'[11]SCHG2-19'!$M$148</f>
        <v>2522843.61551217</v>
      </c>
      <c r="V161" s="2"/>
    </row>
    <row r="162" spans="1:22" ht="12.75">
      <c r="A162" s="6" t="s">
        <v>63</v>
      </c>
      <c r="B162" s="6" t="s">
        <v>128</v>
      </c>
      <c r="C162" s="1" t="s">
        <v>129</v>
      </c>
      <c r="D162" s="2"/>
      <c r="E162" s="2"/>
      <c r="F162" s="2"/>
      <c r="G162" s="60">
        <v>0</v>
      </c>
      <c r="H162" s="20"/>
      <c r="I162" s="60">
        <v>0</v>
      </c>
      <c r="J162" s="20"/>
      <c r="K162" s="60">
        <v>0</v>
      </c>
      <c r="L162" s="20"/>
      <c r="M162" s="60">
        <v>0</v>
      </c>
      <c r="N162" s="20"/>
      <c r="O162" s="88">
        <v>0</v>
      </c>
      <c r="P162" s="20"/>
      <c r="Q162" s="88">
        <v>0</v>
      </c>
      <c r="R162" s="20"/>
      <c r="S162" s="20"/>
      <c r="T162" s="20"/>
      <c r="U162" s="50">
        <v>0</v>
      </c>
      <c r="V162" s="2"/>
    </row>
    <row r="163" spans="1:22" ht="12.75">
      <c r="A163" s="6" t="s">
        <v>65</v>
      </c>
      <c r="B163" s="6" t="s">
        <v>130</v>
      </c>
      <c r="C163" s="1" t="s">
        <v>111</v>
      </c>
      <c r="D163" s="2"/>
      <c r="E163" s="2"/>
      <c r="F163" s="2"/>
      <c r="G163" s="60">
        <f>+'O&amp;M Data'!B21</f>
        <v>233509</v>
      </c>
      <c r="H163" s="20"/>
      <c r="I163" s="60">
        <f>+'O&amp;M Data'!C21</f>
        <v>222651</v>
      </c>
      <c r="J163" s="20"/>
      <c r="K163" s="60">
        <f>+'O&amp;M Data'!D21</f>
        <v>233413</v>
      </c>
      <c r="L163" s="20"/>
      <c r="M163" s="60">
        <f>+'O&amp;M Data'!E21</f>
        <v>240903</v>
      </c>
      <c r="N163" s="20"/>
      <c r="O163" s="88">
        <f>+'[11]SCHG2-19'!$E$155</f>
        <v>248600</v>
      </c>
      <c r="P163" s="20"/>
      <c r="Q163" s="88">
        <f>+'[11]SCHG2-19'!$I$155</f>
        <v>248600</v>
      </c>
      <c r="R163" s="20"/>
      <c r="S163" s="20"/>
      <c r="T163" s="20"/>
      <c r="U163" s="74">
        <f>+'[11]SCHG2-19'!$M$155</f>
        <v>269225.94805869</v>
      </c>
      <c r="V163" s="2"/>
    </row>
    <row r="164" spans="1:22" ht="12.75">
      <c r="A164" s="6" t="s">
        <v>67</v>
      </c>
      <c r="B164" s="6" t="s">
        <v>131</v>
      </c>
      <c r="C164" s="1" t="s">
        <v>113</v>
      </c>
      <c r="D164" s="2"/>
      <c r="E164" s="2"/>
      <c r="F164" s="2"/>
      <c r="G164" s="60">
        <f>+'O&amp;M Data'!B22</f>
        <v>160653</v>
      </c>
      <c r="H164" s="20"/>
      <c r="I164" s="60">
        <f>+'O&amp;M Data'!C22</f>
        <v>220298</v>
      </c>
      <c r="J164" s="20"/>
      <c r="K164" s="60">
        <f>+'O&amp;M Data'!D22</f>
        <v>457253</v>
      </c>
      <c r="L164" s="20"/>
      <c r="M164" s="60">
        <f>+'O&amp;M Data'!E22</f>
        <v>374347</v>
      </c>
      <c r="N164" s="20"/>
      <c r="O164" s="88">
        <f>+'[11]SCHG2-19'!$E$162</f>
        <v>423508</v>
      </c>
      <c r="P164" s="20"/>
      <c r="Q164" s="88">
        <f>+'[11]SCHG2-19'!$I$162</f>
        <v>423508</v>
      </c>
      <c r="R164" s="20"/>
      <c r="S164" s="20"/>
      <c r="T164" s="20"/>
      <c r="U164" s="74">
        <f>+'[11]SCHG2-19'!$M$162</f>
        <v>459123.2023674</v>
      </c>
      <c r="V164" s="2"/>
    </row>
    <row r="165" spans="1:22" ht="12.75">
      <c r="A165" s="6" t="s">
        <v>69</v>
      </c>
      <c r="B165" s="6" t="s">
        <v>132</v>
      </c>
      <c r="C165" s="1" t="s">
        <v>133</v>
      </c>
      <c r="D165" s="2"/>
      <c r="E165" s="2"/>
      <c r="F165" s="2"/>
      <c r="G165" s="60">
        <f>+'O&amp;M Data'!B23</f>
        <v>422223</v>
      </c>
      <c r="H165" s="20"/>
      <c r="I165" s="60">
        <f>+'O&amp;M Data'!C23</f>
        <v>469054</v>
      </c>
      <c r="J165" s="20"/>
      <c r="K165" s="60">
        <f>+'O&amp;M Data'!D23</f>
        <v>432627</v>
      </c>
      <c r="L165" s="20"/>
      <c r="M165" s="60">
        <f>+'O&amp;M Data'!E23</f>
        <v>437649</v>
      </c>
      <c r="N165" s="20"/>
      <c r="O165" s="88">
        <f>+'[11]SCHG2-19'!$E$185</f>
        <v>499001</v>
      </c>
      <c r="P165" s="20"/>
      <c r="Q165" s="88">
        <f>+'[11]SCHG2-19'!$I$185</f>
        <v>499001</v>
      </c>
      <c r="R165" s="20"/>
      <c r="S165" s="20"/>
      <c r="T165" s="20"/>
      <c r="U165" s="74">
        <f>+'[11]SCHG2-19'!$M$185</f>
        <v>538436.7394941901</v>
      </c>
      <c r="V165" s="2"/>
    </row>
    <row r="166" spans="1:22" ht="12.75">
      <c r="A166" s="6" t="s">
        <v>71</v>
      </c>
      <c r="B166" s="6" t="s">
        <v>134</v>
      </c>
      <c r="C166" s="1" t="s">
        <v>43</v>
      </c>
      <c r="D166" s="2"/>
      <c r="E166" s="2"/>
      <c r="F166" s="2"/>
      <c r="G166" s="60">
        <f>+'O&amp;M Data'!B24</f>
        <v>493408</v>
      </c>
      <c r="H166" s="20"/>
      <c r="I166" s="60">
        <f>+'O&amp;M Data'!C24</f>
        <v>433180</v>
      </c>
      <c r="J166" s="20"/>
      <c r="K166" s="60">
        <f>+'O&amp;M Data'!D24</f>
        <v>503316</v>
      </c>
      <c r="L166" s="20"/>
      <c r="M166" s="60">
        <f>+'O&amp;M Data'!E24</f>
        <v>544580</v>
      </c>
      <c r="N166" s="20"/>
      <c r="O166" s="88">
        <f>+'[11]SCHG2-19'!$E$192</f>
        <v>582189</v>
      </c>
      <c r="P166" s="20"/>
      <c r="Q166" s="88">
        <f>+'[11]SCHG2-19'!$I$192</f>
        <v>582189</v>
      </c>
      <c r="R166" s="20"/>
      <c r="S166" s="20"/>
      <c r="T166" s="20"/>
      <c r="U166" s="74">
        <f>+'[11]SCHG2-19'!$M$192</f>
        <v>630097.2658663499</v>
      </c>
      <c r="V166" s="2"/>
    </row>
    <row r="167" spans="1:22" ht="12.75">
      <c r="A167" s="6" t="s">
        <v>87</v>
      </c>
      <c r="B167" s="6" t="s">
        <v>135</v>
      </c>
      <c r="C167" s="1" t="s">
        <v>136</v>
      </c>
      <c r="D167" s="2"/>
      <c r="E167" s="2"/>
      <c r="F167" s="2"/>
      <c r="G167" s="60">
        <f>+'O&amp;M Data'!B25</f>
        <v>374357</v>
      </c>
      <c r="H167" s="20"/>
      <c r="I167" s="60">
        <f>+'O&amp;M Data'!C25</f>
        <v>364666</v>
      </c>
      <c r="J167" s="20"/>
      <c r="K167" s="60">
        <f>+'O&amp;M Data'!D25</f>
        <v>361432</v>
      </c>
      <c r="L167" s="20"/>
      <c r="M167" s="60">
        <f>+'O&amp;M Data'!E25</f>
        <v>390962</v>
      </c>
      <c r="N167" s="20"/>
      <c r="O167" s="88">
        <f>+'[11]SCHG2-19'!$E$199</f>
        <v>423998</v>
      </c>
      <c r="P167" s="20"/>
      <c r="Q167" s="88">
        <f>+'[11]SCHG2-19'!$I$199</f>
        <v>423998</v>
      </c>
      <c r="R167" s="20"/>
      <c r="S167" s="20"/>
      <c r="T167" s="20"/>
      <c r="U167" s="74">
        <f>+'[11]SCHG2-19'!$M$199</f>
        <v>457928.32182849</v>
      </c>
      <c r="V167" s="2"/>
    </row>
    <row r="168" spans="1:22" ht="12.75">
      <c r="A168" s="6" t="s">
        <v>89</v>
      </c>
      <c r="B168" s="6" t="s">
        <v>137</v>
      </c>
      <c r="C168" s="1" t="s">
        <v>58</v>
      </c>
      <c r="D168" s="2"/>
      <c r="E168" s="2"/>
      <c r="F168" s="2"/>
      <c r="G168" s="60">
        <f>+'O&amp;M Data'!B26</f>
        <v>138550</v>
      </c>
      <c r="H168" s="20"/>
      <c r="I168" s="60">
        <f>+'O&amp;M Data'!C26</f>
        <v>111741</v>
      </c>
      <c r="J168" s="20"/>
      <c r="K168" s="60">
        <f>+'O&amp;M Data'!D26</f>
        <v>79416</v>
      </c>
      <c r="L168" s="20"/>
      <c r="M168" s="60">
        <f>+'O&amp;M Data'!E26</f>
        <v>60297</v>
      </c>
      <c r="N168" s="20"/>
      <c r="O168" s="88">
        <f>+'[11]SCHG2-19'!$E$206</f>
        <v>86035</v>
      </c>
      <c r="P168" s="20"/>
      <c r="Q168" s="88">
        <f>+'[11]SCHG2-19'!$I$206</f>
        <v>86035</v>
      </c>
      <c r="R168" s="20"/>
      <c r="S168" s="20"/>
      <c r="T168" s="20"/>
      <c r="U168" s="74">
        <f>+'[11]SCHG2-19'!$M$206</f>
        <v>92472.62547747002</v>
      </c>
      <c r="V168" s="2"/>
    </row>
    <row r="169" spans="1:22" ht="12.75">
      <c r="A169" s="12"/>
      <c r="B169" s="2"/>
      <c r="C169" s="2"/>
      <c r="D169" s="2"/>
      <c r="E169" s="2"/>
      <c r="F169" s="2"/>
      <c r="G169" s="89"/>
      <c r="H169" s="20"/>
      <c r="I169" s="22"/>
      <c r="J169" s="20"/>
      <c r="K169" s="22"/>
      <c r="L169" s="20"/>
      <c r="M169" s="22"/>
      <c r="N169" s="20"/>
      <c r="O169" s="22"/>
      <c r="P169" s="20"/>
      <c r="Q169" s="22"/>
      <c r="R169" s="20"/>
      <c r="S169" s="20"/>
      <c r="T169" s="20"/>
      <c r="U169" s="22"/>
      <c r="V169" s="2"/>
    </row>
    <row r="170" spans="1:22" ht="12.75">
      <c r="A170" s="6" t="s">
        <v>91</v>
      </c>
      <c r="B170" s="2"/>
      <c r="C170" s="1" t="s">
        <v>138</v>
      </c>
      <c r="D170" s="2"/>
      <c r="E170" s="2"/>
      <c r="F170" s="2"/>
      <c r="G170" s="14">
        <f>SUM(G147:G168)</f>
        <v>14252709</v>
      </c>
      <c r="H170" s="11"/>
      <c r="I170" s="14">
        <f>SUM(I147:I168)</f>
        <v>15103545</v>
      </c>
      <c r="J170" s="11"/>
      <c r="K170" s="14">
        <f>SUM(K147:K168)</f>
        <v>16338853</v>
      </c>
      <c r="L170" s="11"/>
      <c r="M170" s="14">
        <f>SUM(M147:M168)</f>
        <v>16475422</v>
      </c>
      <c r="N170" s="11"/>
      <c r="O170" s="14">
        <f>SUM(O147:O169)</f>
        <v>16967294</v>
      </c>
      <c r="P170" s="11"/>
      <c r="Q170" s="14">
        <f>SUM(Q147:Q169)</f>
        <v>16967294</v>
      </c>
      <c r="R170" s="11"/>
      <c r="S170" s="11"/>
      <c r="T170" s="11"/>
      <c r="U170" s="14">
        <f>SUM(U147:U168)</f>
        <v>20071430.373081047</v>
      </c>
      <c r="V170" s="11"/>
    </row>
    <row r="171" spans="1:22" ht="12.75">
      <c r="A171" s="2"/>
      <c r="B171" s="2"/>
      <c r="C171" s="2"/>
      <c r="D171" s="2"/>
      <c r="E171" s="2"/>
      <c r="F171" s="2"/>
      <c r="G171" s="22"/>
      <c r="H171" s="20"/>
      <c r="I171" s="22"/>
      <c r="J171" s="20"/>
      <c r="K171" s="51"/>
      <c r="L171" s="20"/>
      <c r="M171" s="22"/>
      <c r="N171" s="20"/>
      <c r="O171" s="51"/>
      <c r="P171" s="20"/>
      <c r="Q171" s="29"/>
      <c r="R171" s="20"/>
      <c r="S171" s="20"/>
      <c r="T171" s="20"/>
      <c r="U171" s="51"/>
      <c r="V171" s="2"/>
    </row>
    <row r="172" spans="1:22" ht="12.75">
      <c r="A172" s="2"/>
      <c r="B172" s="2"/>
      <c r="C172" s="2"/>
      <c r="D172" s="2"/>
      <c r="E172" s="2"/>
      <c r="F172" s="2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1"/>
      <c r="V172" s="2"/>
    </row>
    <row r="173" spans="1:22" ht="12.75">
      <c r="A173" s="2"/>
      <c r="B173" s="2"/>
      <c r="C173" s="2"/>
      <c r="D173" s="2"/>
      <c r="E173" s="2"/>
      <c r="F173" s="2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11"/>
      <c r="V173" s="2"/>
    </row>
    <row r="174" spans="1:22" ht="12.75">
      <c r="A174" s="2"/>
      <c r="B174" s="2"/>
      <c r="C174" s="2"/>
      <c r="D174" s="2"/>
      <c r="E174" s="2"/>
      <c r="F174" s="2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11"/>
      <c r="V174" s="2"/>
    </row>
    <row r="175" spans="1:22" ht="12.75">
      <c r="A175" s="2"/>
      <c r="B175" s="2"/>
      <c r="C175" s="2"/>
      <c r="D175" s="2"/>
      <c r="E175" s="2"/>
      <c r="F175" s="2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11"/>
      <c r="V175" s="2"/>
    </row>
    <row r="176" spans="1:22" ht="12.75">
      <c r="A176" s="2"/>
      <c r="B176" s="2"/>
      <c r="C176" s="2"/>
      <c r="D176" s="2"/>
      <c r="E176" s="2"/>
      <c r="F176" s="2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11"/>
      <c r="V176" s="2"/>
    </row>
    <row r="177" spans="1:22" ht="12.75">
      <c r="A177" s="2"/>
      <c r="B177" s="2"/>
      <c r="C177" s="2"/>
      <c r="D177" s="2"/>
      <c r="E177" s="2"/>
      <c r="F177" s="5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11"/>
      <c r="V177" s="2"/>
    </row>
    <row r="178" spans="1:22" ht="12.75">
      <c r="A178" s="2"/>
      <c r="B178" s="2"/>
      <c r="C178" s="2"/>
      <c r="D178" s="2"/>
      <c r="E178" s="2"/>
      <c r="F178" s="5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11"/>
      <c r="V178" s="2"/>
    </row>
    <row r="179" spans="1:22" ht="12.75">
      <c r="A179" s="2"/>
      <c r="B179" s="2"/>
      <c r="C179" s="2"/>
      <c r="D179" s="2"/>
      <c r="E179" s="2"/>
      <c r="F179" s="2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11"/>
      <c r="V179" s="2"/>
    </row>
    <row r="180" spans="1:22" ht="13.5" thickBot="1">
      <c r="A180" s="3"/>
      <c r="B180" s="3"/>
      <c r="C180" s="3"/>
      <c r="D180" s="3"/>
      <c r="E180" s="3"/>
      <c r="F180" s="3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"/>
    </row>
    <row r="181" spans="1:22" ht="12.75">
      <c r="A181" s="1" t="s">
        <v>139</v>
      </c>
      <c r="B181" s="2"/>
      <c r="C181" s="2"/>
      <c r="D181" s="2"/>
      <c r="E181" s="2"/>
      <c r="F181" s="2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1" t="s">
        <v>353</v>
      </c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11"/>
      <c r="V182" s="2"/>
    </row>
    <row r="183" spans="1:22" ht="12.75">
      <c r="A183" s="2"/>
      <c r="B183" s="2"/>
      <c r="C183" s="2"/>
      <c r="D183" s="2"/>
      <c r="E183" s="2"/>
      <c r="F183" s="2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11"/>
      <c r="V183" s="2"/>
    </row>
    <row r="184" spans="1:22" ht="12.75">
      <c r="A184" s="2"/>
      <c r="B184" s="2"/>
      <c r="C184" s="2"/>
      <c r="D184" s="2"/>
      <c r="E184" s="2"/>
      <c r="F184" s="2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"/>
    </row>
    <row r="185" spans="1:22" ht="12.75">
      <c r="A185" s="2"/>
      <c r="B185" s="2"/>
      <c r="C185" s="2"/>
      <c r="D185" s="2"/>
      <c r="E185" s="2"/>
      <c r="F185" s="2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"/>
    </row>
    <row r="186" spans="1:22" ht="12.75">
      <c r="A186" s="1" t="s">
        <v>0</v>
      </c>
      <c r="B186" s="2"/>
      <c r="C186" s="2"/>
      <c r="D186" s="2"/>
      <c r="E186" s="2"/>
      <c r="F186" s="2"/>
      <c r="G186" s="20"/>
      <c r="H186" s="20"/>
      <c r="I186" s="20"/>
      <c r="J186" s="20"/>
      <c r="K186" s="31" t="s">
        <v>1</v>
      </c>
      <c r="L186" s="20"/>
      <c r="M186" s="20"/>
      <c r="N186" s="20"/>
      <c r="O186" s="20"/>
      <c r="P186" s="20"/>
      <c r="Q186" s="20"/>
      <c r="R186" s="20"/>
      <c r="S186" s="1" t="s">
        <v>140</v>
      </c>
      <c r="T186" s="2"/>
      <c r="U186" s="2"/>
      <c r="V186" s="2"/>
    </row>
    <row r="187" spans="1:22" ht="13.5" thickBot="1">
      <c r="A187" s="3"/>
      <c r="B187" s="3"/>
      <c r="C187" s="3"/>
      <c r="D187" s="3"/>
      <c r="E187" s="3"/>
      <c r="F187" s="3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"/>
      <c r="T187" s="3"/>
      <c r="U187" s="3"/>
      <c r="V187" s="3"/>
    </row>
    <row r="188" spans="1:22" ht="12.75">
      <c r="A188" s="1" t="s">
        <v>3</v>
      </c>
      <c r="B188" s="2"/>
      <c r="C188" s="2"/>
      <c r="D188" s="2"/>
      <c r="E188" s="2"/>
      <c r="F188" s="2"/>
      <c r="G188" s="20"/>
      <c r="H188" s="20"/>
      <c r="I188" s="32"/>
      <c r="J188" s="31" t="s">
        <v>97</v>
      </c>
      <c r="K188" s="20"/>
      <c r="L188" s="20"/>
      <c r="M188" s="11"/>
      <c r="N188" s="20"/>
      <c r="O188" s="20"/>
      <c r="P188" s="20"/>
      <c r="Q188" s="20"/>
      <c r="R188" s="20"/>
      <c r="S188" s="1" t="s">
        <v>5</v>
      </c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0"/>
      <c r="H189" s="20"/>
      <c r="I189" s="20"/>
      <c r="J189" s="33" t="s">
        <v>178</v>
      </c>
      <c r="K189" s="20"/>
      <c r="L189" s="20"/>
      <c r="M189" s="20"/>
      <c r="N189" s="20"/>
      <c r="O189" s="20"/>
      <c r="P189" s="20"/>
      <c r="Q189" s="20"/>
      <c r="R189" s="20"/>
      <c r="S189" s="1" t="str">
        <f>+S4</f>
        <v>HISTORIC BASE YEAR DATA:  12/31/07</v>
      </c>
      <c r="T189" s="2"/>
      <c r="U189" s="2"/>
      <c r="V189" s="2"/>
    </row>
    <row r="190" spans="1:22" ht="12.75">
      <c r="A190" s="1" t="s">
        <v>6</v>
      </c>
      <c r="B190" s="2"/>
      <c r="C190" s="2" t="str">
        <f>+C5</f>
        <v>PEOPLES GAS SYSTEM</v>
      </c>
      <c r="D190" s="2"/>
      <c r="E190" s="2"/>
      <c r="F190" s="2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1" t="str">
        <f>+S5</f>
        <v>PROJECTED TEST YEAR:      12/31/09</v>
      </c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1" t="str">
        <f>+S6</f>
        <v>PRIOR YEARS:   12/31/03 - 12/31/06</v>
      </c>
      <c r="T191" s="2"/>
      <c r="U191" s="2"/>
      <c r="V191" s="2"/>
    </row>
    <row r="192" spans="1:22" ht="12.75">
      <c r="A192" s="1" t="s">
        <v>7</v>
      </c>
      <c r="B192" s="2"/>
      <c r="C192" s="5" t="str">
        <f>+C7</f>
        <v>080318-GU</v>
      </c>
      <c r="D192" s="2"/>
      <c r="E192" s="2"/>
      <c r="F192" s="2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1" t="str">
        <f>+S7</f>
        <v>WITNESS: </v>
      </c>
      <c r="T192" s="2"/>
      <c r="U192" s="2" t="str">
        <f>+U$7</f>
        <v>S. RICHARDS</v>
      </c>
      <c r="V192" s="2"/>
    </row>
    <row r="193" spans="1:22" ht="12.75">
      <c r="A193" s="2"/>
      <c r="B193" s="2"/>
      <c r="C193" s="2"/>
      <c r="D193" s="2"/>
      <c r="E193" s="2"/>
      <c r="F193" s="2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"/>
    </row>
    <row r="194" spans="1:22" ht="13.5" thickBot="1">
      <c r="A194" s="3"/>
      <c r="B194" s="3"/>
      <c r="C194" s="3"/>
      <c r="D194" s="3"/>
      <c r="E194" s="3"/>
      <c r="F194" s="3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"/>
    </row>
    <row r="195" spans="1:22" ht="12.75">
      <c r="A195" s="2"/>
      <c r="B195" s="2"/>
      <c r="C195" s="2"/>
      <c r="D195" s="2"/>
      <c r="E195" s="2"/>
      <c r="F195" s="2"/>
      <c r="G195" s="20"/>
      <c r="H195" s="20"/>
      <c r="I195" s="20"/>
      <c r="J195" s="20"/>
      <c r="K195" s="20"/>
      <c r="L195" s="20"/>
      <c r="M195" s="20"/>
      <c r="N195" s="20"/>
      <c r="O195" s="27" t="str">
        <f>+O134</f>
        <v>HISTORIC BASE YEAR ENDED 12/31/07</v>
      </c>
      <c r="P195" s="2"/>
      <c r="Q195" s="2"/>
      <c r="R195" s="20"/>
      <c r="S195" s="20"/>
      <c r="T195" s="20"/>
      <c r="U195" s="20"/>
      <c r="V195" s="2"/>
    </row>
    <row r="196" spans="1:22" ht="12.75">
      <c r="A196" s="2"/>
      <c r="B196" s="2"/>
      <c r="C196" s="2"/>
      <c r="D196" s="2"/>
      <c r="E196" s="2"/>
      <c r="F196" s="2"/>
      <c r="G196" s="20"/>
      <c r="H196" s="20"/>
      <c r="I196" s="20"/>
      <c r="J196" s="20"/>
      <c r="K196" s="20"/>
      <c r="L196" s="20"/>
      <c r="M196" s="20"/>
      <c r="N196" s="20"/>
      <c r="O196" s="1"/>
      <c r="P196" s="2"/>
      <c r="Q196" s="2"/>
      <c r="R196" s="20"/>
      <c r="S196" s="20"/>
      <c r="T196" s="20"/>
      <c r="U196" s="34" t="s">
        <v>8</v>
      </c>
      <c r="V196" s="2"/>
    </row>
    <row r="197" spans="1:22" ht="12.75">
      <c r="A197" s="2"/>
      <c r="B197" s="2"/>
      <c r="C197" s="2"/>
      <c r="D197" s="2"/>
      <c r="E197" s="2"/>
      <c r="F197" s="2"/>
      <c r="G197" s="34"/>
      <c r="H197" s="20"/>
      <c r="I197" s="34"/>
      <c r="J197" s="20"/>
      <c r="K197" s="34"/>
      <c r="L197" s="20"/>
      <c r="M197" s="34"/>
      <c r="N197" s="20"/>
      <c r="O197" s="6" t="s">
        <v>183</v>
      </c>
      <c r="P197" s="2"/>
      <c r="Q197" s="6" t="s">
        <v>9</v>
      </c>
      <c r="R197" s="20"/>
      <c r="S197" s="20"/>
      <c r="T197" s="20"/>
      <c r="U197" s="34" t="s">
        <v>10</v>
      </c>
      <c r="V197" s="2"/>
    </row>
    <row r="198" spans="1:22" ht="12.75">
      <c r="A198" s="2"/>
      <c r="B198" s="2"/>
      <c r="C198" s="2"/>
      <c r="D198" s="2"/>
      <c r="E198" s="2"/>
      <c r="F198" s="2"/>
      <c r="G198" s="7">
        <f>+G13</f>
        <v>37986</v>
      </c>
      <c r="H198" s="2"/>
      <c r="I198" s="7">
        <f>+I13</f>
        <v>38352</v>
      </c>
      <c r="J198" s="2"/>
      <c r="K198" s="7">
        <f>+K13</f>
        <v>38717</v>
      </c>
      <c r="L198" s="2"/>
      <c r="M198" s="7">
        <f>+M13</f>
        <v>39082</v>
      </c>
      <c r="N198" s="2"/>
      <c r="O198" s="39" t="s">
        <v>184</v>
      </c>
      <c r="P198" s="2"/>
      <c r="Q198" s="6" t="s">
        <v>11</v>
      </c>
      <c r="R198" s="20"/>
      <c r="S198" s="20"/>
      <c r="T198" s="20"/>
      <c r="U198" s="59" t="str">
        <f>+U13</f>
        <v>ENDED 12/31/09</v>
      </c>
      <c r="V198" s="2"/>
    </row>
    <row r="199" spans="1:22" ht="13.5" thickBot="1">
      <c r="A199" s="3"/>
      <c r="B199" s="3"/>
      <c r="C199" s="3"/>
      <c r="D199" s="3"/>
      <c r="E199" s="3"/>
      <c r="F199" s="3"/>
      <c r="G199" s="35"/>
      <c r="H199" s="36"/>
      <c r="I199" s="35"/>
      <c r="J199" s="36"/>
      <c r="K199" s="35"/>
      <c r="L199" s="36"/>
      <c r="M199" s="35"/>
      <c r="N199" s="36"/>
      <c r="O199" s="35"/>
      <c r="P199" s="37"/>
      <c r="Q199" s="35"/>
      <c r="R199" s="37"/>
      <c r="S199" s="35"/>
      <c r="T199" s="37"/>
      <c r="U199" s="35"/>
      <c r="V199" s="3"/>
    </row>
    <row r="200" spans="1:22" ht="12.75">
      <c r="A200" s="1" t="s">
        <v>12</v>
      </c>
      <c r="B200" s="1" t="s">
        <v>77</v>
      </c>
      <c r="C200" s="2"/>
      <c r="D200" s="2"/>
      <c r="E200" s="2"/>
      <c r="F200" s="2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"/>
    </row>
    <row r="201" spans="1:22" ht="12.75">
      <c r="A201" s="26" t="s">
        <v>78</v>
      </c>
      <c r="B201" s="26" t="s">
        <v>79</v>
      </c>
      <c r="C201" s="26" t="s">
        <v>98</v>
      </c>
      <c r="D201" s="2"/>
      <c r="E201" s="2"/>
      <c r="F201" s="2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"/>
    </row>
    <row r="202" spans="1:22" ht="12.75">
      <c r="A202" s="1"/>
      <c r="B202" s="1"/>
      <c r="C202" s="17"/>
      <c r="D202" s="2"/>
      <c r="E202" s="2"/>
      <c r="F202" s="2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"/>
    </row>
    <row r="203" spans="1:22" ht="12.75">
      <c r="A203" s="2"/>
      <c r="B203" s="2"/>
      <c r="C203" s="2"/>
      <c r="D203" s="2"/>
      <c r="E203" s="2"/>
      <c r="F203" s="2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"/>
    </row>
    <row r="204" spans="1:22" ht="12.75">
      <c r="A204" s="2"/>
      <c r="B204" s="2"/>
      <c r="C204" s="26" t="s">
        <v>141</v>
      </c>
      <c r="D204" s="2"/>
      <c r="E204" s="2"/>
      <c r="F204" s="2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"/>
    </row>
    <row r="205" spans="1:22" ht="12.75">
      <c r="A205" s="2"/>
      <c r="B205" s="2"/>
      <c r="C205" s="17"/>
      <c r="D205" s="2"/>
      <c r="E205" s="2"/>
      <c r="F205" s="2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"/>
    </row>
    <row r="206" spans="1:22" ht="12.75">
      <c r="A206" s="6">
        <v>1</v>
      </c>
      <c r="B206" s="6" t="s">
        <v>142</v>
      </c>
      <c r="C206" s="1" t="s">
        <v>143</v>
      </c>
      <c r="D206" s="2"/>
      <c r="E206" s="2"/>
      <c r="F206" s="2"/>
      <c r="G206" s="40">
        <f>+'O&amp;M Data'!B28</f>
        <v>0</v>
      </c>
      <c r="H206" s="20"/>
      <c r="I206" s="40">
        <f>+'O&amp;M Data'!C28</f>
        <v>0</v>
      </c>
      <c r="J206" s="20"/>
      <c r="K206" s="40">
        <f>+'O&amp;M Data'!D28</f>
        <v>0</v>
      </c>
      <c r="L206" s="20"/>
      <c r="M206" s="40">
        <f>+'O&amp;M Data'!E28</f>
        <v>0</v>
      </c>
      <c r="N206" s="20"/>
      <c r="O206" s="88">
        <f>+'[1]SCHG2-19'!$E$232</f>
        <v>0</v>
      </c>
      <c r="P206" s="20"/>
      <c r="Q206" s="88">
        <f>+'[11]SCHG2-19'!$I$232</f>
        <v>0</v>
      </c>
      <c r="R206" s="20"/>
      <c r="S206" s="20"/>
      <c r="T206" s="20"/>
      <c r="U206" s="11">
        <f>+'[11]SCHG2-19'!$M$232</f>
        <v>0</v>
      </c>
      <c r="V206" s="2"/>
    </row>
    <row r="207" spans="1:22" ht="12.75">
      <c r="A207" s="6">
        <v>2</v>
      </c>
      <c r="B207" s="6" t="s">
        <v>144</v>
      </c>
      <c r="C207" s="1" t="s">
        <v>145</v>
      </c>
      <c r="D207" s="2"/>
      <c r="E207" s="2"/>
      <c r="F207" s="2"/>
      <c r="G207" s="40">
        <f>+'O&amp;M Data'!B29</f>
        <v>1738886</v>
      </c>
      <c r="H207" s="20"/>
      <c r="I207" s="40">
        <f>+'O&amp;M Data'!C29</f>
        <v>1876326</v>
      </c>
      <c r="J207" s="20"/>
      <c r="K207" s="40">
        <f>+'O&amp;M Data'!D29</f>
        <v>1969125</v>
      </c>
      <c r="L207" s="20"/>
      <c r="M207" s="40">
        <f>+'O&amp;M Data'!E29</f>
        <v>2385590</v>
      </c>
      <c r="N207" s="20"/>
      <c r="O207" s="88">
        <f>+'[11]SCHG2-19'!$E$239</f>
        <v>2399583</v>
      </c>
      <c r="P207" s="20"/>
      <c r="Q207" s="88">
        <f>+'[11]SCHG2-19'!$I$239</f>
        <v>2399583</v>
      </c>
      <c r="R207" s="20"/>
      <c r="S207" s="20"/>
      <c r="T207" s="20"/>
      <c r="U207" s="11">
        <f>+'[11]SCHG2-19'!$M$239</f>
        <v>2583748.5406023604</v>
      </c>
      <c r="V207" s="2"/>
    </row>
    <row r="208" spans="1:22" ht="12.75">
      <c r="A208" s="6">
        <v>3</v>
      </c>
      <c r="B208" s="6" t="s">
        <v>146</v>
      </c>
      <c r="C208" s="1" t="s">
        <v>147</v>
      </c>
      <c r="D208" s="2"/>
      <c r="E208" s="2"/>
      <c r="F208" s="2"/>
      <c r="G208" s="40">
        <f>+'O&amp;M Data'!B30</f>
        <v>4632512</v>
      </c>
      <c r="H208" s="20"/>
      <c r="I208" s="40">
        <f>+'O&amp;M Data'!C30</f>
        <v>4884163</v>
      </c>
      <c r="J208" s="20"/>
      <c r="K208" s="40">
        <f>+'O&amp;M Data'!D30</f>
        <v>4883275</v>
      </c>
      <c r="L208" s="20"/>
      <c r="M208" s="40">
        <f>+'O&amp;M Data'!E30</f>
        <v>5032731</v>
      </c>
      <c r="N208" s="20"/>
      <c r="O208" s="88">
        <f>+'[11]SCHG2-19'!$E$246</f>
        <v>5213801</v>
      </c>
      <c r="P208" s="20"/>
      <c r="Q208" s="88">
        <f>+'[11]SCHG2-19'!$I$246</f>
        <v>5213801</v>
      </c>
      <c r="R208" s="20"/>
      <c r="S208" s="20"/>
      <c r="T208" s="20"/>
      <c r="U208" s="11">
        <f>+'[11]SCHG2-19'!$M$246</f>
        <v>5613877.20866607</v>
      </c>
      <c r="V208" s="2"/>
    </row>
    <row r="209" spans="1:22" ht="12.75">
      <c r="A209" s="6">
        <v>4</v>
      </c>
      <c r="B209" s="6" t="s">
        <v>148</v>
      </c>
      <c r="C209" s="1" t="s">
        <v>149</v>
      </c>
      <c r="D209" s="2"/>
      <c r="E209" s="2"/>
      <c r="F209" s="2"/>
      <c r="G209" s="40">
        <f>+'O&amp;M Data'!B31</f>
        <v>1112710</v>
      </c>
      <c r="H209" s="20"/>
      <c r="I209" s="40">
        <f>+'O&amp;M Data'!C31</f>
        <v>1457749</v>
      </c>
      <c r="J209" s="20"/>
      <c r="K209" s="40">
        <f>+'O&amp;M Data'!D31</f>
        <v>2057868</v>
      </c>
      <c r="L209" s="20"/>
      <c r="M209" s="40">
        <f>+'O&amp;M Data'!E31</f>
        <v>1428449</v>
      </c>
      <c r="N209" s="20"/>
      <c r="O209" s="88">
        <f>+'[11]SCHG2-19'!$E$253</f>
        <v>1172159</v>
      </c>
      <c r="P209" s="20"/>
      <c r="Q209" s="88">
        <f>+'[11]SCHG2-19'!$I$253</f>
        <v>1172159</v>
      </c>
      <c r="R209" s="20"/>
      <c r="S209" s="20"/>
      <c r="T209" s="20"/>
      <c r="U209" s="11">
        <f>+'[11]SCHG2-19'!$M$253+'[19]SCHG2-2'!$H$42</f>
        <v>849420</v>
      </c>
      <c r="V209" s="2"/>
    </row>
    <row r="210" spans="1:22" ht="12.75">
      <c r="A210" s="6">
        <v>5</v>
      </c>
      <c r="B210" s="6" t="s">
        <v>150</v>
      </c>
      <c r="C210" s="1" t="s">
        <v>151</v>
      </c>
      <c r="D210" s="2"/>
      <c r="E210" s="2"/>
      <c r="F210" s="2"/>
      <c r="G210" s="40">
        <f>+'O&amp;M Data'!B32</f>
        <v>0</v>
      </c>
      <c r="H210" s="20"/>
      <c r="I210" s="40">
        <f>+'O&amp;M Data'!C32</f>
        <v>0</v>
      </c>
      <c r="J210" s="20"/>
      <c r="K210" s="40">
        <f>+'O&amp;M Data'!D32</f>
        <v>0</v>
      </c>
      <c r="L210" s="20"/>
      <c r="M210" s="40">
        <f>+'O&amp;M Data'!E32</f>
        <v>0</v>
      </c>
      <c r="N210" s="20"/>
      <c r="O210" s="88">
        <v>0</v>
      </c>
      <c r="P210" s="20"/>
      <c r="Q210" s="88">
        <v>0</v>
      </c>
      <c r="R210" s="20"/>
      <c r="S210" s="20"/>
      <c r="T210" s="20"/>
      <c r="U210" s="40">
        <v>0</v>
      </c>
      <c r="V210" s="2"/>
    </row>
    <row r="211" spans="1:22" ht="12.75">
      <c r="A211" s="12"/>
      <c r="B211" s="2"/>
      <c r="C211" s="2"/>
      <c r="D211" s="2"/>
      <c r="E211" s="2"/>
      <c r="F211" s="2"/>
      <c r="G211" s="22"/>
      <c r="H211" s="20"/>
      <c r="I211" s="22"/>
      <c r="J211" s="20"/>
      <c r="K211" s="22"/>
      <c r="L211" s="20"/>
      <c r="M211" s="22"/>
      <c r="N211" s="20"/>
      <c r="O211" s="22"/>
      <c r="P211" s="20"/>
      <c r="Q211" s="22"/>
      <c r="R211" s="20"/>
      <c r="S211" s="20"/>
      <c r="T211" s="20"/>
      <c r="U211" s="22"/>
      <c r="V211" s="2"/>
    </row>
    <row r="212" spans="1:22" ht="12.75">
      <c r="A212" s="6">
        <v>6</v>
      </c>
      <c r="B212" s="2"/>
      <c r="C212" s="1" t="s">
        <v>152</v>
      </c>
      <c r="D212" s="2"/>
      <c r="E212" s="2"/>
      <c r="F212" s="2"/>
      <c r="G212" s="14">
        <f>SUM(G206:G210)</f>
        <v>7484108</v>
      </c>
      <c r="H212" s="11"/>
      <c r="I212" s="14">
        <f>SUM(I206:I210)</f>
        <v>8218238</v>
      </c>
      <c r="J212" s="11"/>
      <c r="K212" s="14">
        <f>SUM(K206:K210)</f>
        <v>8910268</v>
      </c>
      <c r="L212" s="11"/>
      <c r="M212" s="14">
        <f>SUM(M206:M210)</f>
        <v>8846770</v>
      </c>
      <c r="N212" s="11"/>
      <c r="O212" s="14">
        <f>SUM(O206:O210)</f>
        <v>8785543</v>
      </c>
      <c r="P212" s="11"/>
      <c r="Q212" s="14">
        <f>SUM(Q206:Q210)</f>
        <v>8785543</v>
      </c>
      <c r="R212" s="11"/>
      <c r="S212" s="11"/>
      <c r="T212" s="11"/>
      <c r="U212" s="14">
        <f>SUM(U206:U210)</f>
        <v>9047045.749268431</v>
      </c>
      <c r="V212" s="11"/>
    </row>
    <row r="213" spans="1:22" ht="12.75">
      <c r="A213" s="12"/>
      <c r="B213" s="2"/>
      <c r="C213" s="2"/>
      <c r="D213" s="2"/>
      <c r="E213" s="2"/>
      <c r="F213" s="2"/>
      <c r="G213" s="22"/>
      <c r="H213" s="20"/>
      <c r="I213" s="22"/>
      <c r="J213" s="20"/>
      <c r="K213" s="22"/>
      <c r="L213" s="20"/>
      <c r="M213" s="22"/>
      <c r="N213" s="20"/>
      <c r="O213" s="22"/>
      <c r="P213" s="20"/>
      <c r="Q213" s="22"/>
      <c r="R213" s="20"/>
      <c r="S213" s="20"/>
      <c r="T213" s="20"/>
      <c r="U213" s="22"/>
      <c r="V213" s="2"/>
    </row>
    <row r="214" spans="1:22" ht="12.75">
      <c r="A214" s="12"/>
      <c r="B214" s="2"/>
      <c r="C214" s="2"/>
      <c r="D214" s="2"/>
      <c r="E214" s="2"/>
      <c r="F214" s="2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"/>
    </row>
    <row r="215" spans="1:22" ht="12.75">
      <c r="A215" s="6">
        <v>7</v>
      </c>
      <c r="B215" s="6" t="s">
        <v>153</v>
      </c>
      <c r="C215" s="1" t="s">
        <v>154</v>
      </c>
      <c r="D215" s="2"/>
      <c r="E215" s="2"/>
      <c r="F215" s="2"/>
      <c r="G215" s="40">
        <f>SUM('O&amp;M Data'!B33:B36)</f>
        <v>11646100</v>
      </c>
      <c r="H215" s="20"/>
      <c r="I215" s="40">
        <f>SUM('O&amp;M Data'!C33:C36)</f>
        <v>11156699</v>
      </c>
      <c r="J215" s="20"/>
      <c r="K215" s="40">
        <f>SUM('O&amp;M Data'!D33:D36)</f>
        <v>9397102</v>
      </c>
      <c r="L215" s="20"/>
      <c r="M215" s="40">
        <f>SUM('O&amp;M Data'!E33:E36)</f>
        <v>8934961</v>
      </c>
      <c r="N215" s="20"/>
      <c r="O215" s="88">
        <f>+'[11]SCHG2-19'!$E$279</f>
        <v>7366789</v>
      </c>
      <c r="P215" s="20"/>
      <c r="Q215" s="88">
        <f>+'[11]SCHG2-19'!$I$279</f>
        <v>0</v>
      </c>
      <c r="R215" s="20"/>
      <c r="S215" s="20"/>
      <c r="T215" s="20"/>
      <c r="U215" s="11">
        <f>+'[11]SCHG2-19'!$M$279</f>
        <v>0</v>
      </c>
      <c r="V215" s="2"/>
    </row>
    <row r="216" spans="1:22" ht="12.75">
      <c r="A216" s="6">
        <v>8</v>
      </c>
      <c r="B216" s="6" t="s">
        <v>155</v>
      </c>
      <c r="C216" s="1" t="s">
        <v>156</v>
      </c>
      <c r="D216" s="2"/>
      <c r="E216" s="2"/>
      <c r="F216" s="2"/>
      <c r="G216" s="40">
        <f>SUM('O&amp;M Data'!B37:B41)</f>
        <v>7659538</v>
      </c>
      <c r="H216" s="20"/>
      <c r="I216" s="40">
        <f>SUM('O&amp;M Data'!C37:C41)</f>
        <v>6909473</v>
      </c>
      <c r="J216" s="20"/>
      <c r="K216" s="40">
        <f>SUM('O&amp;M Data'!D37:D41)</f>
        <v>5957813</v>
      </c>
      <c r="L216" s="20"/>
      <c r="M216" s="40">
        <f>SUM('O&amp;M Data'!E37:E41)</f>
        <v>5659973</v>
      </c>
      <c r="N216" s="20"/>
      <c r="O216" s="88">
        <f>+'[11]SCHG2-19'!$E$322</f>
        <v>5419542</v>
      </c>
      <c r="P216" s="20"/>
      <c r="Q216" s="88">
        <f>+'[11]SCHG2-19'!$I$322</f>
        <v>5419542</v>
      </c>
      <c r="R216" s="20"/>
      <c r="S216" s="20"/>
      <c r="T216" s="20"/>
      <c r="U216" s="11">
        <f>+'[11]SCHG2-19'!$M$322</f>
        <v>6223067.0115013495</v>
      </c>
      <c r="V216" s="2"/>
    </row>
    <row r="217" spans="1:22" ht="12.75">
      <c r="A217" s="6">
        <v>9</v>
      </c>
      <c r="B217" s="6" t="s">
        <v>157</v>
      </c>
      <c r="C217" s="1" t="s">
        <v>158</v>
      </c>
      <c r="D217" s="2"/>
      <c r="E217" s="2"/>
      <c r="F217" s="2"/>
      <c r="G217" s="40">
        <f>+'O&amp;M Data'!B52</f>
        <v>203264</v>
      </c>
      <c r="H217" s="20"/>
      <c r="I217" s="40">
        <f>+'O&amp;M Data'!C52</f>
        <v>217393</v>
      </c>
      <c r="J217" s="20"/>
      <c r="K217" s="40">
        <f>+'O&amp;M Data'!D52</f>
        <v>237938</v>
      </c>
      <c r="L217" s="20"/>
      <c r="M217" s="40">
        <f>+'O&amp;M Data'!E52</f>
        <v>239712</v>
      </c>
      <c r="N217" s="20"/>
      <c r="O217" s="88">
        <f>+'[11]SCHG2-19'!$E$434</f>
        <v>190140</v>
      </c>
      <c r="P217" s="20"/>
      <c r="Q217" s="88">
        <f>+'[11]SCHG2-19'!$I$434+'[20]SCHC2'!$E$36</f>
        <v>158136</v>
      </c>
      <c r="R217" s="20"/>
      <c r="S217" s="20"/>
      <c r="T217" s="20"/>
      <c r="U217" s="11">
        <f>+'[11]SCHG2-19'!$M$434+'[19]SCHG2-2'!$H$38</f>
        <v>169724.74797799997</v>
      </c>
      <c r="V217" s="2"/>
    </row>
    <row r="218" spans="1:22" ht="12.75">
      <c r="A218" s="6">
        <v>10</v>
      </c>
      <c r="B218" s="6" t="s">
        <v>159</v>
      </c>
      <c r="C218" s="1" t="s">
        <v>160</v>
      </c>
      <c r="D218" s="2"/>
      <c r="E218" s="2"/>
      <c r="F218" s="2"/>
      <c r="G218" s="40">
        <f>SUM('O&amp;M Data'!B42:B51)</f>
        <v>31922251</v>
      </c>
      <c r="H218" s="20"/>
      <c r="I218" s="40">
        <f>SUM('O&amp;M Data'!C42:C51)</f>
        <v>30175658</v>
      </c>
      <c r="J218" s="20"/>
      <c r="K218" s="40">
        <f>SUM('O&amp;M Data'!D42:D51)</f>
        <v>32353964</v>
      </c>
      <c r="L218" s="20"/>
      <c r="M218" s="40">
        <f>SUM('O&amp;M Data'!E42:E51)</f>
        <v>34828081</v>
      </c>
      <c r="N218" s="20"/>
      <c r="O218" s="88">
        <f>+'[11]SCHG2-19'!$E$437-'[11]SCHG2-19'!$E$434</f>
        <v>34594410</v>
      </c>
      <c r="P218" s="20"/>
      <c r="Q218" s="88">
        <f>+'[11]SCHG2-19'!$I$437-'[11]SCHG2-19'!$I$434+'[20]SCHC2'!$E$31+'[20]SCHC2'!$E$32+'[20]SCHC2'!$E$33+'[20]SCHC2'!$E$34+'[20]SCHC2'!$E$35+'[20]SCHC2'!$E$37</f>
        <v>34398215.04</v>
      </c>
      <c r="R218" s="20"/>
      <c r="S218" s="20"/>
      <c r="T218" s="20"/>
      <c r="U218" s="88">
        <f>+'[11]SCHG2-19'!$M$437-'[11]SCHG2-19'!$M$434+'[19]SCHG2-2'!$H$35+'[19]SCHG2-2'!$H$36+'[19]SCHG2-2'!$H$37+'[19]SCHG2-2'!$H$39+'[19]SCHG2-2'!$H$40</f>
        <v>37097631.605314195</v>
      </c>
      <c r="V218" s="2"/>
    </row>
    <row r="219" spans="1:22" ht="12.75">
      <c r="A219" s="12"/>
      <c r="B219" s="2"/>
      <c r="C219" s="2"/>
      <c r="D219" s="2"/>
      <c r="E219" s="2"/>
      <c r="F219" s="2"/>
      <c r="G219" s="22"/>
      <c r="H219" s="20"/>
      <c r="I219" s="22"/>
      <c r="J219" s="20"/>
      <c r="K219" s="22"/>
      <c r="L219" s="20"/>
      <c r="M219" s="22"/>
      <c r="N219" s="20"/>
      <c r="O219" s="22"/>
      <c r="P219" s="20"/>
      <c r="Q219" s="22"/>
      <c r="R219" s="20"/>
      <c r="S219" s="20"/>
      <c r="T219" s="20"/>
      <c r="U219" s="22"/>
      <c r="V219" s="2"/>
    </row>
    <row r="220" spans="1:22" ht="13.5" thickBot="1">
      <c r="A220" s="6">
        <v>11</v>
      </c>
      <c r="B220" s="2"/>
      <c r="C220" s="1" t="s">
        <v>161</v>
      </c>
      <c r="D220" s="2"/>
      <c r="E220" s="2"/>
      <c r="F220" s="2"/>
      <c r="G220" s="16">
        <f>G142+G170+G212+G215+G216+G217+G218</f>
        <v>73167970</v>
      </c>
      <c r="H220" s="11"/>
      <c r="I220" s="16">
        <f>I142+I170+I212+I215+I216+I217+I218</f>
        <v>71781006</v>
      </c>
      <c r="J220" s="11"/>
      <c r="K220" s="16">
        <f>K142+K170+K212+K215+K216+K217+K218</f>
        <v>73195938</v>
      </c>
      <c r="L220" s="11"/>
      <c r="M220" s="16">
        <f>M142+M170+M212+M215+M216+M217+M218</f>
        <v>74984919</v>
      </c>
      <c r="N220" s="11"/>
      <c r="O220" s="16">
        <f>O142+O170+O212+O215+O216+O217+O218</f>
        <v>73323718</v>
      </c>
      <c r="P220" s="11"/>
      <c r="Q220" s="16">
        <f>Q142+Q170+Q212+Q215+Q216+Q217+Q218</f>
        <v>65728730.04</v>
      </c>
      <c r="R220" s="11"/>
      <c r="S220" s="11"/>
      <c r="T220" s="11"/>
      <c r="U220" s="16">
        <f>U142+U170+U212+U215+U216+U217+U218</f>
        <v>72608899.48714302</v>
      </c>
      <c r="V220" s="11"/>
    </row>
    <row r="221" spans="1:22" ht="13.5" thickTop="1">
      <c r="A221" s="2"/>
      <c r="B221" s="2"/>
      <c r="C221" s="2"/>
      <c r="D221" s="2"/>
      <c r="E221" s="2"/>
      <c r="F221" s="2"/>
      <c r="G221" s="20"/>
      <c r="H221" s="20"/>
      <c r="I221" s="20"/>
      <c r="J221" s="20"/>
      <c r="K221" s="20"/>
      <c r="L221" s="20"/>
      <c r="M221" s="20"/>
      <c r="N221" s="20"/>
      <c r="O221" s="100"/>
      <c r="P221" s="20"/>
      <c r="Q221" s="52"/>
      <c r="R221" s="20"/>
      <c r="S221" s="20"/>
      <c r="T221" s="20"/>
      <c r="U221" s="52"/>
      <c r="V221" s="2"/>
    </row>
    <row r="222" spans="1:22" ht="12.75">
      <c r="A222" s="2"/>
      <c r="B222" s="2"/>
      <c r="C222" s="2"/>
      <c r="D222" s="2"/>
      <c r="E222" s="2"/>
      <c r="F222" s="5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"/>
    </row>
    <row r="223" spans="1:22" ht="12.75">
      <c r="A223" s="2"/>
      <c r="B223" s="2"/>
      <c r="C223" s="2"/>
      <c r="D223" s="2"/>
      <c r="E223" s="2"/>
      <c r="F223" s="5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"/>
    </row>
    <row r="224" spans="1:22" ht="12.75">
      <c r="A224" s="2"/>
      <c r="B224" s="2"/>
      <c r="C224" s="2"/>
      <c r="D224" s="2"/>
      <c r="E224" s="2"/>
      <c r="F224" s="2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"/>
    </row>
    <row r="225" spans="1:22" ht="12.75">
      <c r="A225" s="2"/>
      <c r="B225" s="2"/>
      <c r="C225" s="2"/>
      <c r="D225" s="2"/>
      <c r="E225" s="2"/>
      <c r="F225" s="2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"/>
    </row>
    <row r="226" spans="1:22" ht="12.75">
      <c r="A226" s="2"/>
      <c r="B226" s="2"/>
      <c r="C226" s="2"/>
      <c r="D226" s="2"/>
      <c r="E226" s="2"/>
      <c r="F226" s="2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"/>
    </row>
    <row r="227" spans="1:22" ht="12.75">
      <c r="A227" s="2"/>
      <c r="B227" s="2"/>
      <c r="C227" s="2"/>
      <c r="D227" s="2"/>
      <c r="E227" s="2"/>
      <c r="F227" s="2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"/>
    </row>
    <row r="228" spans="1:22" ht="12.75">
      <c r="A228" s="2"/>
      <c r="B228" s="2"/>
      <c r="C228" s="2"/>
      <c r="D228" s="2"/>
      <c r="E228" s="2"/>
      <c r="F228" s="2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"/>
    </row>
    <row r="229" spans="1:22" ht="12.75">
      <c r="A229" s="2"/>
      <c r="B229" s="2"/>
      <c r="C229" s="2"/>
      <c r="D229" s="2"/>
      <c r="E229" s="2"/>
      <c r="F229" s="2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"/>
    </row>
    <row r="230" spans="1:22" ht="12.75">
      <c r="A230" s="2"/>
      <c r="B230" s="2"/>
      <c r="C230" s="2"/>
      <c r="D230" s="2"/>
      <c r="E230" s="2"/>
      <c r="F230" s="2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"/>
    </row>
    <row r="231" spans="1:22" ht="12.75">
      <c r="A231" s="2"/>
      <c r="B231" s="2"/>
      <c r="C231" s="2"/>
      <c r="D231" s="2"/>
      <c r="E231" s="2"/>
      <c r="F231" s="2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"/>
    </row>
    <row r="232" spans="1:22" ht="12.75">
      <c r="A232" s="2"/>
      <c r="B232" s="2"/>
      <c r="C232" s="2"/>
      <c r="D232" s="2"/>
      <c r="E232" s="2"/>
      <c r="F232" s="2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"/>
    </row>
    <row r="233" spans="1:22" ht="12.75">
      <c r="A233" s="2"/>
      <c r="B233" s="2"/>
      <c r="C233" s="2"/>
      <c r="D233" s="2"/>
      <c r="E233" s="2"/>
      <c r="F233" s="2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"/>
    </row>
    <row r="234" spans="1:22" ht="12.75">
      <c r="A234" s="2"/>
      <c r="B234" s="2"/>
      <c r="C234" s="2"/>
      <c r="D234" s="2"/>
      <c r="E234" s="2"/>
      <c r="F234" s="2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"/>
    </row>
    <row r="235" spans="1:22" ht="12.75">
      <c r="A235" s="2"/>
      <c r="B235" s="2"/>
      <c r="C235" s="2"/>
      <c r="D235" s="2"/>
      <c r="E235" s="2"/>
      <c r="F235" s="2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"/>
    </row>
    <row r="236" spans="1:22" ht="12.75">
      <c r="A236" s="2"/>
      <c r="B236" s="2"/>
      <c r="C236" s="2"/>
      <c r="D236" s="2"/>
      <c r="E236" s="2"/>
      <c r="F236" s="2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"/>
    </row>
    <row r="237" spans="1:22" ht="12.75">
      <c r="A237" s="2"/>
      <c r="B237" s="2"/>
      <c r="C237" s="2"/>
      <c r="D237" s="2"/>
      <c r="E237" s="2"/>
      <c r="F237" s="2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"/>
    </row>
    <row r="238" spans="1:22" ht="12.75">
      <c r="A238" s="2"/>
      <c r="B238" s="2"/>
      <c r="C238" s="2"/>
      <c r="D238" s="2"/>
      <c r="E238" s="2"/>
      <c r="F238" s="2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"/>
    </row>
    <row r="239" spans="1:22" ht="12.75">
      <c r="A239" s="2"/>
      <c r="B239" s="2"/>
      <c r="C239" s="2"/>
      <c r="D239" s="2"/>
      <c r="E239" s="2"/>
      <c r="F239" s="2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"/>
    </row>
    <row r="240" spans="1:22" ht="12.75">
      <c r="A240" s="2"/>
      <c r="B240" s="2"/>
      <c r="C240" s="2"/>
      <c r="D240" s="2"/>
      <c r="E240" s="2"/>
      <c r="F240" s="2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"/>
    </row>
    <row r="241" spans="1:22" ht="13.5" thickBot="1">
      <c r="A241" s="3"/>
      <c r="B241" s="3"/>
      <c r="C241" s="3"/>
      <c r="D241" s="3"/>
      <c r="E241" s="3"/>
      <c r="F241" s="3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"/>
    </row>
    <row r="242" spans="1:22" ht="12.75">
      <c r="A242" s="1" t="s">
        <v>162</v>
      </c>
      <c r="B242" s="2"/>
      <c r="C242" s="2"/>
      <c r="D242" s="2"/>
      <c r="E242" s="2"/>
      <c r="F242" s="2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1" t="s">
        <v>353</v>
      </c>
      <c r="T242" s="2"/>
      <c r="U242" s="2"/>
      <c r="V242" s="2"/>
    </row>
    <row r="243" spans="1:22" ht="12.75">
      <c r="A243" s="2"/>
      <c r="B243" s="2"/>
      <c r="C243" s="2"/>
      <c r="D243" s="2"/>
      <c r="E243" s="2"/>
      <c r="F243" s="2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"/>
    </row>
    <row r="244" spans="1:22" ht="12.75">
      <c r="A244" s="2"/>
      <c r="B244" s="2"/>
      <c r="C244" s="2"/>
      <c r="D244" s="2"/>
      <c r="E244" s="2"/>
      <c r="F244" s="2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"/>
    </row>
    <row r="245" spans="1:22" ht="12.75">
      <c r="A245" s="2"/>
      <c r="B245" s="2"/>
      <c r="C245" s="2"/>
      <c r="D245" s="2"/>
      <c r="E245" s="2"/>
      <c r="F245" s="2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"/>
    </row>
    <row r="246" spans="1:22" ht="12.75">
      <c r="A246" s="2"/>
      <c r="B246" s="2"/>
      <c r="C246" s="2"/>
      <c r="D246" s="2"/>
      <c r="E246" s="2"/>
      <c r="F246" s="2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"/>
    </row>
    <row r="247" spans="1:22" ht="12.75">
      <c r="A247" s="1" t="s">
        <v>0</v>
      </c>
      <c r="B247" s="2"/>
      <c r="C247" s="2"/>
      <c r="D247" s="2"/>
      <c r="E247" s="2"/>
      <c r="F247" s="2"/>
      <c r="G247" s="20"/>
      <c r="H247" s="20"/>
      <c r="I247" s="20"/>
      <c r="J247" s="20"/>
      <c r="K247" s="31" t="s">
        <v>1</v>
      </c>
      <c r="L247" s="20"/>
      <c r="M247" s="20"/>
      <c r="N247" s="20"/>
      <c r="O247" s="20"/>
      <c r="P247" s="20"/>
      <c r="Q247" s="20"/>
      <c r="R247" s="20"/>
      <c r="S247" s="1" t="s">
        <v>163</v>
      </c>
      <c r="T247" s="2"/>
      <c r="U247" s="2"/>
      <c r="V247" s="2"/>
    </row>
    <row r="248" spans="1:22" ht="13.5" thickBot="1">
      <c r="A248" s="3"/>
      <c r="B248" s="3"/>
      <c r="C248" s="3"/>
      <c r="D248" s="3"/>
      <c r="E248" s="3"/>
      <c r="F248" s="3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"/>
      <c r="T248" s="3"/>
      <c r="U248" s="3"/>
      <c r="V248" s="3"/>
    </row>
    <row r="249" spans="1:22" ht="12.75">
      <c r="A249" s="1" t="s">
        <v>3</v>
      </c>
      <c r="B249" s="2"/>
      <c r="C249" s="2"/>
      <c r="D249" s="2"/>
      <c r="E249" s="2"/>
      <c r="F249" s="2"/>
      <c r="G249" s="20"/>
      <c r="H249" s="20"/>
      <c r="I249" s="32"/>
      <c r="J249" s="31" t="s">
        <v>4</v>
      </c>
      <c r="K249" s="20"/>
      <c r="L249" s="20"/>
      <c r="M249" s="11"/>
      <c r="N249" s="20"/>
      <c r="O249" s="20"/>
      <c r="P249" s="20"/>
      <c r="Q249" s="20"/>
      <c r="R249" s="20"/>
      <c r="S249" s="1" t="s">
        <v>5</v>
      </c>
      <c r="T249" s="2"/>
      <c r="U249" s="2"/>
      <c r="V249" s="2"/>
    </row>
    <row r="250" spans="1:22" ht="12.75">
      <c r="A250" s="2"/>
      <c r="B250" s="2"/>
      <c r="C250" s="2"/>
      <c r="D250" s="2"/>
      <c r="E250" s="2"/>
      <c r="F250" s="2"/>
      <c r="G250" s="20"/>
      <c r="H250" s="20"/>
      <c r="I250" s="20"/>
      <c r="J250" s="20"/>
      <c r="K250" s="33" t="s">
        <v>179</v>
      </c>
      <c r="L250" s="20"/>
      <c r="M250" s="20"/>
      <c r="N250" s="20"/>
      <c r="O250" s="20"/>
      <c r="P250" s="20"/>
      <c r="Q250" s="20"/>
      <c r="R250" s="20"/>
      <c r="S250" s="1" t="str">
        <f>+S4</f>
        <v>HISTORIC BASE YEAR DATA:  12/31/07</v>
      </c>
      <c r="T250" s="2"/>
      <c r="U250" s="2"/>
      <c r="V250" s="2"/>
    </row>
    <row r="251" spans="1:22" ht="12.75">
      <c r="A251" s="1" t="s">
        <v>6</v>
      </c>
      <c r="B251" s="2"/>
      <c r="C251" s="2" t="str">
        <f>+C5</f>
        <v>PEOPLES GAS SYSTEM</v>
      </c>
      <c r="D251" s="2"/>
      <c r="E251" s="2"/>
      <c r="F251" s="2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1" t="str">
        <f>+S5</f>
        <v>PROJECTED TEST YEAR:      12/31/09</v>
      </c>
      <c r="T251" s="2"/>
      <c r="U251" s="2"/>
      <c r="V251" s="2"/>
    </row>
    <row r="252" spans="1:22" ht="12.75">
      <c r="A252" s="2"/>
      <c r="B252" s="2"/>
      <c r="C252" s="2"/>
      <c r="D252" s="2"/>
      <c r="E252" s="2"/>
      <c r="F252" s="2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1" t="str">
        <f>+S6</f>
        <v>PRIOR YEARS:   12/31/03 - 12/31/06</v>
      </c>
      <c r="T252" s="2"/>
      <c r="U252" s="2"/>
      <c r="V252" s="2"/>
    </row>
    <row r="253" spans="1:22" ht="12.75">
      <c r="A253" s="1" t="s">
        <v>7</v>
      </c>
      <c r="B253" s="2"/>
      <c r="C253" s="5" t="str">
        <f>+C7</f>
        <v>080318-GU</v>
      </c>
      <c r="D253" s="2"/>
      <c r="E253" s="2"/>
      <c r="F253" s="2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1" t="str">
        <f>+S7</f>
        <v>WITNESS: </v>
      </c>
      <c r="T253" s="2"/>
      <c r="U253" s="2" t="str">
        <f>+U$7</f>
        <v>S. RICHARDS</v>
      </c>
      <c r="V253" s="2"/>
    </row>
    <row r="254" spans="1:22" ht="12.75">
      <c r="A254" s="2"/>
      <c r="B254" s="2"/>
      <c r="C254" s="2"/>
      <c r="D254" s="2"/>
      <c r="E254" s="2"/>
      <c r="F254" s="2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"/>
    </row>
    <row r="255" spans="1:22" ht="13.5" thickBot="1">
      <c r="A255" s="3"/>
      <c r="B255" s="3"/>
      <c r="C255" s="3"/>
      <c r="D255" s="3"/>
      <c r="E255" s="3"/>
      <c r="F255" s="3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"/>
    </row>
    <row r="256" spans="1:22" ht="12.75">
      <c r="A256" s="2"/>
      <c r="B256" s="2"/>
      <c r="C256" s="2"/>
      <c r="D256" s="2"/>
      <c r="E256" s="2"/>
      <c r="F256" s="2"/>
      <c r="G256" s="20"/>
      <c r="H256" s="20"/>
      <c r="I256" s="20"/>
      <c r="J256" s="20"/>
      <c r="K256" s="20"/>
      <c r="L256" s="20"/>
      <c r="M256" s="20"/>
      <c r="N256" s="20"/>
      <c r="O256" s="27" t="str">
        <f>+O195</f>
        <v>HISTORIC BASE YEAR ENDED 12/31/07</v>
      </c>
      <c r="P256" s="2"/>
      <c r="Q256" s="2"/>
      <c r="R256" s="20"/>
      <c r="S256" s="20"/>
      <c r="T256" s="20"/>
      <c r="U256" s="20"/>
      <c r="V256" s="2"/>
    </row>
    <row r="257" spans="1:22" ht="12.75">
      <c r="A257" s="2"/>
      <c r="B257" s="2"/>
      <c r="C257" s="2"/>
      <c r="D257" s="2"/>
      <c r="E257" s="2"/>
      <c r="F257" s="2"/>
      <c r="G257" s="20"/>
      <c r="H257" s="20"/>
      <c r="I257" s="20"/>
      <c r="J257" s="20"/>
      <c r="K257" s="20"/>
      <c r="L257" s="20"/>
      <c r="M257" s="20"/>
      <c r="N257" s="20"/>
      <c r="O257" s="1"/>
      <c r="P257" s="2"/>
      <c r="Q257" s="2"/>
      <c r="R257" s="20"/>
      <c r="S257" s="20"/>
      <c r="T257" s="20"/>
      <c r="U257" s="34" t="s">
        <v>8</v>
      </c>
      <c r="V257" s="2"/>
    </row>
    <row r="258" spans="1:22" ht="12.75">
      <c r="A258" s="2"/>
      <c r="B258" s="2"/>
      <c r="C258" s="2"/>
      <c r="D258" s="2"/>
      <c r="E258" s="2"/>
      <c r="F258" s="2"/>
      <c r="G258" s="34"/>
      <c r="H258" s="20"/>
      <c r="I258" s="34"/>
      <c r="J258" s="20"/>
      <c r="K258" s="34"/>
      <c r="L258" s="20"/>
      <c r="M258" s="34"/>
      <c r="N258" s="20"/>
      <c r="O258" s="6" t="s">
        <v>183</v>
      </c>
      <c r="P258" s="2"/>
      <c r="Q258" s="6" t="s">
        <v>9</v>
      </c>
      <c r="R258" s="20"/>
      <c r="S258" s="20"/>
      <c r="T258" s="20"/>
      <c r="U258" s="34" t="s">
        <v>10</v>
      </c>
      <c r="V258" s="2"/>
    </row>
    <row r="259" spans="1:22" ht="12.75">
      <c r="A259" s="2"/>
      <c r="B259" s="2"/>
      <c r="C259" s="2"/>
      <c r="D259" s="2"/>
      <c r="E259" s="2"/>
      <c r="F259" s="2"/>
      <c r="G259" s="7">
        <f>+G13</f>
        <v>37986</v>
      </c>
      <c r="H259" s="2"/>
      <c r="I259" s="7">
        <f>+I13</f>
        <v>38352</v>
      </c>
      <c r="J259" s="2"/>
      <c r="K259" s="7">
        <f>+K13</f>
        <v>38717</v>
      </c>
      <c r="L259" s="2"/>
      <c r="M259" s="7">
        <f>+M13</f>
        <v>39082</v>
      </c>
      <c r="N259" s="2"/>
      <c r="O259" s="39" t="s">
        <v>184</v>
      </c>
      <c r="P259" s="2"/>
      <c r="Q259" s="6" t="s">
        <v>11</v>
      </c>
      <c r="R259" s="20"/>
      <c r="S259" s="20"/>
      <c r="T259" s="20"/>
      <c r="U259" s="59" t="str">
        <f>+U13</f>
        <v>ENDED 12/31/09</v>
      </c>
      <c r="V259" s="2"/>
    </row>
    <row r="260" spans="1:22" ht="13.5" thickBot="1">
      <c r="A260" s="3"/>
      <c r="B260" s="3"/>
      <c r="C260" s="3"/>
      <c r="D260" s="3"/>
      <c r="E260" s="3"/>
      <c r="F260" s="3"/>
      <c r="G260" s="35"/>
      <c r="H260" s="36"/>
      <c r="I260" s="35"/>
      <c r="J260" s="36"/>
      <c r="K260" s="35"/>
      <c r="L260" s="36"/>
      <c r="M260" s="35"/>
      <c r="N260" s="36"/>
      <c r="O260" s="35"/>
      <c r="P260" s="37"/>
      <c r="Q260" s="35"/>
      <c r="R260" s="37"/>
      <c r="S260" s="35"/>
      <c r="T260" s="37"/>
      <c r="U260" s="35"/>
      <c r="V260" s="3"/>
    </row>
    <row r="261" spans="1:22" ht="12.75">
      <c r="A261" s="1" t="s">
        <v>12</v>
      </c>
      <c r="B261" s="2"/>
      <c r="C261" s="2"/>
      <c r="D261" s="2"/>
      <c r="E261" s="2"/>
      <c r="F261" s="2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"/>
    </row>
    <row r="262" spans="1:22" ht="12.75">
      <c r="A262" s="26" t="s">
        <v>78</v>
      </c>
      <c r="B262" s="26" t="s">
        <v>164</v>
      </c>
      <c r="C262" s="28"/>
      <c r="D262" s="2"/>
      <c r="E262" s="2"/>
      <c r="F262" s="2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"/>
    </row>
    <row r="263" spans="1:22" ht="12.75">
      <c r="A263" s="1"/>
      <c r="B263" s="17"/>
      <c r="C263" s="17"/>
      <c r="D263" s="2"/>
      <c r="E263" s="2"/>
      <c r="F263" s="2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"/>
    </row>
    <row r="264" spans="1:22" ht="12.75">
      <c r="A264" s="1" t="s">
        <v>16</v>
      </c>
      <c r="B264" s="1" t="s">
        <v>165</v>
      </c>
      <c r="C264" s="2"/>
      <c r="D264" s="2"/>
      <c r="E264" s="2"/>
      <c r="F264" s="2"/>
      <c r="G264" s="40">
        <f>+Data!B5</f>
        <v>30910780</v>
      </c>
      <c r="H264" s="11"/>
      <c r="I264" s="40">
        <f>+Data!C5</f>
        <v>32213318</v>
      </c>
      <c r="J264" s="11"/>
      <c r="K264" s="40">
        <f>+Data!D5</f>
        <v>33118795</v>
      </c>
      <c r="L264" s="11"/>
      <c r="M264" s="40">
        <f>+Data!E5</f>
        <v>34313246.03</v>
      </c>
      <c r="N264" s="11"/>
      <c r="O264" s="40">
        <f>+Data!F5</f>
        <v>37976430</v>
      </c>
      <c r="P264" s="11"/>
      <c r="Q264" s="88">
        <f>+O264+'[12]SCHG2-1'!$H$27</f>
        <v>37863520.08</v>
      </c>
      <c r="R264" s="20"/>
      <c r="S264" s="20"/>
      <c r="T264" s="20"/>
      <c r="U264" s="11">
        <f>+'[13]SCHG2-5'!$O$24+'[12]SCHG2-1'!$P$27</f>
        <v>41967130.39821072</v>
      </c>
      <c r="V264" s="81"/>
    </row>
    <row r="265" spans="1:22" ht="12.75">
      <c r="A265" s="1" t="s">
        <v>19</v>
      </c>
      <c r="B265" s="27" t="s">
        <v>264</v>
      </c>
      <c r="C265" s="2"/>
      <c r="D265" s="2"/>
      <c r="E265" s="2"/>
      <c r="F265" s="2"/>
      <c r="G265" s="40">
        <f>+Data!B8</f>
        <v>639996</v>
      </c>
      <c r="H265" s="11"/>
      <c r="I265" s="40">
        <f>+Data!C8</f>
        <v>639996</v>
      </c>
      <c r="J265" s="11"/>
      <c r="K265" s="40">
        <f>+Data!D8</f>
        <v>639996</v>
      </c>
      <c r="L265" s="11"/>
      <c r="M265" s="40">
        <f>+Data!E8</f>
        <v>639996</v>
      </c>
      <c r="N265" s="11"/>
      <c r="O265" s="40">
        <f>+Data!F8</f>
        <v>639996</v>
      </c>
      <c r="P265" s="11"/>
      <c r="Q265" s="88">
        <f>O265</f>
        <v>639996</v>
      </c>
      <c r="R265" s="20"/>
      <c r="S265" s="20"/>
      <c r="T265" s="20"/>
      <c r="U265" s="11">
        <f>+'[13]SCHG2-5'!$O$27</f>
        <v>640000</v>
      </c>
      <c r="V265" s="90"/>
    </row>
    <row r="266" spans="1:22" ht="12.75">
      <c r="A266" s="1" t="s">
        <v>23</v>
      </c>
      <c r="B266" s="27" t="s">
        <v>245</v>
      </c>
      <c r="C266" s="2"/>
      <c r="D266" s="2"/>
      <c r="E266" s="2"/>
      <c r="F266" s="2"/>
      <c r="G266" s="40">
        <v>0</v>
      </c>
      <c r="H266" s="11"/>
      <c r="I266" s="40">
        <v>0</v>
      </c>
      <c r="J266" s="11"/>
      <c r="K266" s="40">
        <v>0</v>
      </c>
      <c r="L266" s="11"/>
      <c r="M266" s="40">
        <v>0</v>
      </c>
      <c r="N266" s="11"/>
      <c r="O266" s="40">
        <v>0</v>
      </c>
      <c r="P266" s="11"/>
      <c r="Q266" s="88">
        <f>O266</f>
        <v>0</v>
      </c>
      <c r="R266" s="20"/>
      <c r="S266" s="20"/>
      <c r="T266" s="20"/>
      <c r="U266" s="40">
        <v>0</v>
      </c>
      <c r="V266" s="2"/>
    </row>
    <row r="267" spans="1:22" ht="12.75">
      <c r="A267" s="1" t="s">
        <v>26</v>
      </c>
      <c r="B267" s="1" t="s">
        <v>166</v>
      </c>
      <c r="C267" s="2"/>
      <c r="D267" s="2"/>
      <c r="E267" s="2"/>
      <c r="F267" s="2"/>
      <c r="G267" s="40">
        <f>+Data!B7</f>
        <v>156372</v>
      </c>
      <c r="H267" s="11"/>
      <c r="I267" s="40">
        <f>+Data!C7</f>
        <v>156372</v>
      </c>
      <c r="J267" s="11"/>
      <c r="K267" s="40">
        <f>+Data!D7</f>
        <v>156372</v>
      </c>
      <c r="L267" s="11"/>
      <c r="M267" s="40">
        <f>+Data!E7</f>
        <v>156371.64</v>
      </c>
      <c r="N267" s="11"/>
      <c r="O267" s="40">
        <f>+Data!F7</f>
        <v>156372</v>
      </c>
      <c r="P267" s="11"/>
      <c r="Q267" s="88">
        <f>O267</f>
        <v>156372</v>
      </c>
      <c r="R267" s="20"/>
      <c r="S267" s="20"/>
      <c r="T267" s="20"/>
      <c r="U267" s="11">
        <f>+'[13]SCHG2-5'!$O$26</f>
        <v>156624</v>
      </c>
      <c r="V267" s="90"/>
    </row>
    <row r="268" spans="1:22" ht="12.75">
      <c r="A268" s="1" t="s">
        <v>29</v>
      </c>
      <c r="B268" s="27" t="s">
        <v>249</v>
      </c>
      <c r="C268" s="2"/>
      <c r="D268" s="2"/>
      <c r="E268" s="2"/>
      <c r="F268" s="2"/>
      <c r="G268" s="40">
        <f>+Data!B6</f>
        <v>1018291</v>
      </c>
      <c r="H268" s="11"/>
      <c r="I268" s="40">
        <f>+Data!C6</f>
        <v>1065040</v>
      </c>
      <c r="J268" s="11"/>
      <c r="K268" s="40">
        <f>+Data!D6</f>
        <v>1108530</v>
      </c>
      <c r="L268" s="11"/>
      <c r="M268" s="40">
        <f>+Data!E6</f>
        <v>1310965.53</v>
      </c>
      <c r="N268" s="11"/>
      <c r="O268" s="40">
        <f>+Data!F6</f>
        <v>1181459</v>
      </c>
      <c r="P268" s="11"/>
      <c r="Q268" s="88">
        <f>+O268</f>
        <v>1181459</v>
      </c>
      <c r="R268" s="20"/>
      <c r="S268" s="20"/>
      <c r="T268" s="20"/>
      <c r="U268" s="11">
        <f>+'[13]SCHG2-5'!$O$25</f>
        <v>1040978.72</v>
      </c>
      <c r="V268" s="90"/>
    </row>
    <row r="269" spans="1:22" ht="12.75">
      <c r="A269" s="2"/>
      <c r="B269" s="2"/>
      <c r="C269" s="2"/>
      <c r="D269" s="2"/>
      <c r="E269" s="2"/>
      <c r="F269" s="2"/>
      <c r="G269" s="22"/>
      <c r="H269" s="20"/>
      <c r="I269" s="22"/>
      <c r="J269" s="20"/>
      <c r="K269" s="22"/>
      <c r="L269" s="20"/>
      <c r="M269" s="22"/>
      <c r="N269" s="20"/>
      <c r="O269" s="22"/>
      <c r="P269" s="20"/>
      <c r="Q269" s="22"/>
      <c r="R269" s="20"/>
      <c r="S269" s="20"/>
      <c r="T269" s="20"/>
      <c r="U269" s="22"/>
      <c r="V269" s="2"/>
    </row>
    <row r="270" spans="1:22" ht="12.75">
      <c r="A270" s="1" t="s">
        <v>32</v>
      </c>
      <c r="B270" s="1" t="s">
        <v>167</v>
      </c>
      <c r="C270" s="2"/>
      <c r="D270" s="2"/>
      <c r="E270" s="2"/>
      <c r="F270" s="2"/>
      <c r="G270" s="14">
        <f>SUM(G264:G268)</f>
        <v>32725439</v>
      </c>
      <c r="H270" s="11"/>
      <c r="I270" s="14">
        <f>SUM(I264:I268)</f>
        <v>34074726</v>
      </c>
      <c r="J270" s="11"/>
      <c r="K270" s="14">
        <f>SUM(K264:K268)</f>
        <v>35023693</v>
      </c>
      <c r="L270" s="11"/>
      <c r="M270" s="14">
        <f>SUM(M264:M268)</f>
        <v>36420579.2</v>
      </c>
      <c r="N270" s="11"/>
      <c r="O270" s="14">
        <f>SUM(O264:O268)</f>
        <v>39954257</v>
      </c>
      <c r="P270" s="11"/>
      <c r="Q270" s="14">
        <f>SUM(Q264:Q268)</f>
        <v>39841347.08</v>
      </c>
      <c r="R270" s="11"/>
      <c r="S270" s="11"/>
      <c r="T270" s="11"/>
      <c r="U270" s="14">
        <f>SUM(U264:U268)</f>
        <v>43804733.11821072</v>
      </c>
      <c r="V270" s="11"/>
    </row>
    <row r="271" spans="1:22" ht="12.75">
      <c r="A271" s="2"/>
      <c r="B271" s="2"/>
      <c r="C271" s="2"/>
      <c r="D271" s="2"/>
      <c r="E271" s="2"/>
      <c r="F271" s="2"/>
      <c r="G271" s="22"/>
      <c r="H271" s="20"/>
      <c r="I271" s="22"/>
      <c r="J271" s="20"/>
      <c r="K271" s="22"/>
      <c r="L271" s="20"/>
      <c r="M271" s="22"/>
      <c r="N271" s="20"/>
      <c r="O271" s="22"/>
      <c r="P271" s="20"/>
      <c r="Q271" s="29"/>
      <c r="R271" s="20"/>
      <c r="S271" s="20"/>
      <c r="T271" s="20"/>
      <c r="U271" s="22"/>
      <c r="V271" s="2"/>
    </row>
    <row r="272" spans="1:22" ht="12.75">
      <c r="A272" s="2"/>
      <c r="B272" s="1" t="s">
        <v>168</v>
      </c>
      <c r="C272" s="2"/>
      <c r="D272" s="2"/>
      <c r="E272" s="2"/>
      <c r="F272" s="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0"/>
      <c r="S272" s="20"/>
      <c r="T272" s="20"/>
      <c r="U272" s="20"/>
      <c r="V272" s="2"/>
    </row>
    <row r="273" spans="1:22" ht="12.75">
      <c r="A273" s="1" t="s">
        <v>35</v>
      </c>
      <c r="B273" s="1" t="s">
        <v>169</v>
      </c>
      <c r="C273" s="2"/>
      <c r="D273" s="2"/>
      <c r="E273" s="2"/>
      <c r="F273" s="2"/>
      <c r="G273" s="40">
        <f>+Data!B37</f>
        <v>13301371</v>
      </c>
      <c r="H273" s="11"/>
      <c r="I273" s="40">
        <f>+Data!B36</f>
        <v>14237727</v>
      </c>
      <c r="J273" s="11"/>
      <c r="K273" s="40">
        <f>+Data!B35</f>
        <v>16628280</v>
      </c>
      <c r="L273" s="11"/>
      <c r="M273" s="40">
        <f>+Data!B34</f>
        <v>22746158</v>
      </c>
      <c r="N273" s="11"/>
      <c r="O273" s="40">
        <f>+Data!B26+Data!B24</f>
        <v>23721890</v>
      </c>
      <c r="P273" s="11"/>
      <c r="Q273" s="88">
        <f>+'[16]SCHLC30'!$P$94</f>
        <v>1645575.6</v>
      </c>
      <c r="R273" s="20"/>
      <c r="S273" s="20"/>
      <c r="T273" s="20"/>
      <c r="U273" s="11">
        <f>+'[13]SCHG2-5'!$N$27+'[13]SCHG2-5'!$N$28</f>
        <v>1045182.9213442489</v>
      </c>
      <c r="V273" s="98"/>
    </row>
    <row r="274" spans="1:22" ht="12.75">
      <c r="A274" s="1" t="s">
        <v>38</v>
      </c>
      <c r="B274" s="1" t="s">
        <v>170</v>
      </c>
      <c r="C274" s="2"/>
      <c r="D274" s="2"/>
      <c r="E274" s="2"/>
      <c r="F274" s="2"/>
      <c r="G274" s="40">
        <f>+Data!B9-SchE6!G273</f>
        <v>10819331</v>
      </c>
      <c r="H274" s="11"/>
      <c r="I274" s="40">
        <f>+Data!C9-SchE6!I273</f>
        <v>10924679</v>
      </c>
      <c r="J274" s="11"/>
      <c r="K274" s="40">
        <f>+Data!D9-SchE6!K273</f>
        <v>11394156</v>
      </c>
      <c r="L274" s="11"/>
      <c r="M274" s="40">
        <f>+Data!E9-SchE6!M273</f>
        <v>11537992.799999997</v>
      </c>
      <c r="N274" s="11"/>
      <c r="O274" s="40">
        <f>+Data!F9-SchE6!O273</f>
        <v>10534584</v>
      </c>
      <c r="P274" s="11"/>
      <c r="Q274" s="88">
        <f>+'[15]SCHC1'!$F$29-Q273</f>
        <v>8011482.305000009</v>
      </c>
      <c r="R274" s="20"/>
      <c r="S274" s="20"/>
      <c r="T274" s="20"/>
      <c r="U274" s="11">
        <f>+'[12]SCHG2-1'!$R$29-U273</f>
        <v>9778750.24955483</v>
      </c>
      <c r="V274" s="90"/>
    </row>
    <row r="275" spans="1:22" ht="12.75">
      <c r="A275" s="2"/>
      <c r="B275" s="2"/>
      <c r="C275" s="2"/>
      <c r="D275" s="2"/>
      <c r="E275" s="2"/>
      <c r="F275" s="2"/>
      <c r="G275" s="22"/>
      <c r="H275" s="20"/>
      <c r="I275" s="22"/>
      <c r="J275" s="20"/>
      <c r="K275" s="22"/>
      <c r="L275" s="11"/>
      <c r="M275" s="22"/>
      <c r="N275" s="20"/>
      <c r="O275" s="22"/>
      <c r="P275" s="20"/>
      <c r="Q275" s="22"/>
      <c r="R275" s="20"/>
      <c r="S275" s="20"/>
      <c r="T275" s="20"/>
      <c r="U275" s="22"/>
      <c r="V275" s="2"/>
    </row>
    <row r="276" spans="1:22" ht="12.75">
      <c r="A276" s="1" t="s">
        <v>41</v>
      </c>
      <c r="B276" s="1" t="s">
        <v>171</v>
      </c>
      <c r="C276" s="2"/>
      <c r="D276" s="2"/>
      <c r="E276" s="2"/>
      <c r="F276" s="2"/>
      <c r="G276" s="14">
        <f>SUM(G273:G274)</f>
        <v>24120702</v>
      </c>
      <c r="H276" s="11"/>
      <c r="I276" s="14">
        <f>SUM(I273:I274)</f>
        <v>25162406</v>
      </c>
      <c r="J276" s="11"/>
      <c r="K276" s="14">
        <f>SUM(K273:K274)</f>
        <v>28022436</v>
      </c>
      <c r="L276" s="11"/>
      <c r="M276" s="14">
        <f>SUM(M273:M274)</f>
        <v>34284150.8</v>
      </c>
      <c r="N276" s="11"/>
      <c r="O276" s="14">
        <f>SUM(O273:O274)</f>
        <v>34256474</v>
      </c>
      <c r="P276" s="11"/>
      <c r="Q276" s="14">
        <f>SUM(Q273:Q274)</f>
        <v>9657057.905000009</v>
      </c>
      <c r="R276" s="101"/>
      <c r="S276" s="101"/>
      <c r="T276" s="11"/>
      <c r="U276" s="14">
        <f>SUM(U273:U274)</f>
        <v>10823933.170899078</v>
      </c>
      <c r="V276" s="11"/>
    </row>
    <row r="277" spans="1:22" ht="12.75">
      <c r="A277" s="2"/>
      <c r="B277" s="2"/>
      <c r="C277" s="2"/>
      <c r="D277" s="2"/>
      <c r="E277" s="2"/>
      <c r="F277" s="2"/>
      <c r="G277" s="22"/>
      <c r="H277" s="20"/>
      <c r="I277" s="22"/>
      <c r="J277" s="20"/>
      <c r="K277" s="51"/>
      <c r="L277" s="11"/>
      <c r="M277" s="51"/>
      <c r="N277" s="20"/>
      <c r="O277" s="51"/>
      <c r="P277" s="20"/>
      <c r="Q277" s="22"/>
      <c r="R277" s="100"/>
      <c r="S277" s="100"/>
      <c r="T277" s="20"/>
      <c r="U277" s="22"/>
      <c r="V277" s="2"/>
    </row>
    <row r="278" spans="1:22" ht="12.75">
      <c r="A278" s="1">
        <v>10</v>
      </c>
      <c r="B278" s="1" t="s">
        <v>352</v>
      </c>
      <c r="C278" s="2"/>
      <c r="D278" s="2"/>
      <c r="E278" s="2"/>
      <c r="F278" s="2"/>
      <c r="G278" s="40">
        <v>0</v>
      </c>
      <c r="H278" s="11"/>
      <c r="I278" s="40">
        <v>0</v>
      </c>
      <c r="J278" s="11"/>
      <c r="K278" s="40">
        <v>0</v>
      </c>
      <c r="L278" s="11"/>
      <c r="M278" s="40">
        <v>0</v>
      </c>
      <c r="N278" s="11"/>
      <c r="O278" s="11">
        <f>+'[12]SCHG2-1'!$F$36</f>
        <v>0</v>
      </c>
      <c r="P278" s="11"/>
      <c r="Q278" s="88">
        <f>+'[12]SCHG2-1'!$J$36</f>
        <v>-234343.15017749998</v>
      </c>
      <c r="R278" s="20"/>
      <c r="S278" s="20"/>
      <c r="T278" s="20"/>
      <c r="U278" s="11">
        <f>+'[12]SCHG2-1'!$R$36</f>
        <v>-480321.33785999997</v>
      </c>
      <c r="V278" s="2"/>
    </row>
    <row r="279" spans="1:22" ht="12.75">
      <c r="A279" s="2"/>
      <c r="B279" s="2"/>
      <c r="C279" s="2"/>
      <c r="D279" s="2"/>
      <c r="E279" s="2"/>
      <c r="F279" s="2"/>
      <c r="G279" s="22"/>
      <c r="H279" s="20"/>
      <c r="I279" s="22"/>
      <c r="J279" s="20"/>
      <c r="K279" s="51"/>
      <c r="L279" s="11"/>
      <c r="M279" s="51"/>
      <c r="N279" s="20"/>
      <c r="O279" s="51"/>
      <c r="P279" s="20"/>
      <c r="Q279" s="22"/>
      <c r="R279" s="100"/>
      <c r="S279" s="100"/>
      <c r="T279" s="20"/>
      <c r="U279" s="22"/>
      <c r="V279" s="2"/>
    </row>
    <row r="280" spans="1:22" ht="12.75">
      <c r="A280" s="1">
        <v>11</v>
      </c>
      <c r="B280" s="1" t="s">
        <v>172</v>
      </c>
      <c r="C280" s="2"/>
      <c r="D280" s="2"/>
      <c r="E280" s="2"/>
      <c r="F280" s="2"/>
      <c r="G280" s="60">
        <f>+Data!B15</f>
        <v>39259465</v>
      </c>
      <c r="H280" s="88"/>
      <c r="I280" s="60">
        <f>+Data!C15</f>
        <v>42708028</v>
      </c>
      <c r="J280" s="88"/>
      <c r="K280" s="60">
        <f>+Data!D15</f>
        <v>44624506</v>
      </c>
      <c r="L280" s="88"/>
      <c r="M280" s="60">
        <f>+Data!E15</f>
        <v>43404459</v>
      </c>
      <c r="N280" s="88"/>
      <c r="O280" s="60">
        <f>+Data!F15</f>
        <v>40921149</v>
      </c>
      <c r="P280" s="11"/>
      <c r="Q280" s="88">
        <f>+'[15]SCHC1'!$H$43</f>
        <v>41045482.65686561</v>
      </c>
      <c r="R280" s="100"/>
      <c r="S280" s="100"/>
      <c r="T280" s="20"/>
      <c r="U280" s="88">
        <f>+'[14]SCLG5'!$S$20</f>
        <v>50060255</v>
      </c>
      <c r="V280" s="80"/>
    </row>
    <row r="281" spans="1:22" ht="12.75">
      <c r="A281" s="2"/>
      <c r="B281" s="2"/>
      <c r="C281" s="2"/>
      <c r="D281" s="2"/>
      <c r="E281" s="2"/>
      <c r="F281" s="2"/>
      <c r="G281" s="60"/>
      <c r="H281" s="88"/>
      <c r="I281" s="60"/>
      <c r="J281" s="88"/>
      <c r="K281" s="60"/>
      <c r="L281" s="88"/>
      <c r="M281" s="60"/>
      <c r="N281" s="88"/>
      <c r="O281" s="60"/>
      <c r="P281" s="11"/>
      <c r="Q281" s="11"/>
      <c r="R281" s="20"/>
      <c r="S281" s="20"/>
      <c r="T281" s="20"/>
      <c r="U281" s="11"/>
      <c r="V281" s="2"/>
    </row>
    <row r="282" spans="1:23" ht="12.75">
      <c r="A282" s="1">
        <v>12</v>
      </c>
      <c r="B282" s="1" t="s">
        <v>173</v>
      </c>
      <c r="C282" s="2"/>
      <c r="D282" s="2"/>
      <c r="E282" s="2"/>
      <c r="F282" s="2"/>
      <c r="G282" s="60">
        <f>SUM(Data!B10:B14)</f>
        <v>15184091</v>
      </c>
      <c r="H282" s="60"/>
      <c r="I282" s="60">
        <f>SUM(Data!C10:C14)</f>
        <v>17231976</v>
      </c>
      <c r="J282" s="88"/>
      <c r="K282" s="60">
        <f>SUM(Data!D10:D14)</f>
        <v>18356762</v>
      </c>
      <c r="L282" s="88"/>
      <c r="M282" s="60">
        <f>SUM(Data!E10:E14)</f>
        <v>17535813</v>
      </c>
      <c r="N282" s="88"/>
      <c r="O282" s="60">
        <f>SUM(Data!F10:F14)</f>
        <v>14653313</v>
      </c>
      <c r="P282" s="11"/>
      <c r="Q282" s="88">
        <f>SUM('[12]SCHG2-1'!$J$31:$J$35)</f>
        <v>15138007.342711784</v>
      </c>
      <c r="R282" s="20"/>
      <c r="S282" s="20"/>
      <c r="T282" s="20"/>
      <c r="U282" s="88">
        <f>+'[17]Sheet1'!$G$38</f>
        <v>19576717.569092106</v>
      </c>
      <c r="V282" s="93"/>
      <c r="W282" s="90"/>
    </row>
    <row r="283" spans="1:22" ht="12.75">
      <c r="A283" s="2"/>
      <c r="B283" s="2"/>
      <c r="C283" s="2"/>
      <c r="D283" s="2"/>
      <c r="E283" s="2"/>
      <c r="F283" s="2"/>
      <c r="G283" s="22"/>
      <c r="H283" s="11"/>
      <c r="I283" s="51"/>
      <c r="J283" s="11"/>
      <c r="K283" s="51"/>
      <c r="L283" s="11"/>
      <c r="M283" s="51"/>
      <c r="N283" s="11"/>
      <c r="O283" s="22"/>
      <c r="P283" s="11"/>
      <c r="Q283" s="22"/>
      <c r="R283" s="20"/>
      <c r="S283" s="20"/>
      <c r="T283" s="20"/>
      <c r="U283" s="22"/>
      <c r="V283" s="2"/>
    </row>
    <row r="284" spans="1:22" ht="13.5" thickBot="1">
      <c r="A284" s="1">
        <v>13</v>
      </c>
      <c r="B284" s="1" t="s">
        <v>174</v>
      </c>
      <c r="C284" s="2"/>
      <c r="D284" s="2"/>
      <c r="E284" s="2"/>
      <c r="F284" s="2"/>
      <c r="G284" s="16">
        <f>G282+G280+G278+G276+G270+G220</f>
        <v>184457667</v>
      </c>
      <c r="H284" s="16"/>
      <c r="I284" s="16">
        <f>I282+I280+I278+I276+I270+I220</f>
        <v>190958142</v>
      </c>
      <c r="J284" s="16"/>
      <c r="K284" s="16">
        <f>K282+K280+K278+K276+K270+K220</f>
        <v>199223335</v>
      </c>
      <c r="L284" s="16"/>
      <c r="M284" s="16">
        <f>M282+M280+M278+M276+M270+M220</f>
        <v>206629921</v>
      </c>
      <c r="N284" s="16"/>
      <c r="O284" s="16">
        <f>O282+O280+O278+O276+O270+O220</f>
        <v>203108911</v>
      </c>
      <c r="P284" s="16"/>
      <c r="Q284" s="16">
        <f>Q282+Q280+Q278+Q276+Q270+Q220</f>
        <v>171176281.8743999</v>
      </c>
      <c r="R284" s="11"/>
      <c r="S284" s="11"/>
      <c r="T284" s="11"/>
      <c r="U284" s="16">
        <f>U282+U280+U278+U276+U270+U220</f>
        <v>196394217.0074849</v>
      </c>
      <c r="V284" s="11"/>
    </row>
    <row r="285" spans="1:22" ht="13.5" thickTop="1">
      <c r="A285" s="2"/>
      <c r="B285" s="2"/>
      <c r="C285" s="2"/>
      <c r="D285" s="2"/>
      <c r="E285" s="2"/>
      <c r="F285" s="2"/>
      <c r="G285" s="22"/>
      <c r="H285" s="20"/>
      <c r="I285" s="22"/>
      <c r="J285" s="20"/>
      <c r="K285" s="51"/>
      <c r="L285" s="20"/>
      <c r="M285" s="22"/>
      <c r="N285" s="20"/>
      <c r="O285" s="51"/>
      <c r="P285" s="20"/>
      <c r="Q285" s="22"/>
      <c r="R285" s="20"/>
      <c r="S285" s="20"/>
      <c r="T285" s="20"/>
      <c r="U285" s="22"/>
      <c r="V285" s="2"/>
    </row>
    <row r="286" spans="1:22" ht="12.75">
      <c r="A286" s="2"/>
      <c r="B286" s="2"/>
      <c r="C286" s="2"/>
      <c r="D286" s="2"/>
      <c r="E286" s="2"/>
      <c r="F286" s="2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"/>
    </row>
    <row r="287" spans="1:22" ht="12.75">
      <c r="A287" s="2"/>
      <c r="B287" s="2"/>
      <c r="C287" s="2"/>
      <c r="D287" s="2"/>
      <c r="E287" s="2"/>
      <c r="F287" s="5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"/>
    </row>
    <row r="288" spans="1:22" ht="12.75">
      <c r="A288" s="2"/>
      <c r="B288" s="2"/>
      <c r="C288" s="2"/>
      <c r="D288" s="2"/>
      <c r="E288" s="2"/>
      <c r="F288" s="2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"/>
    </row>
    <row r="289" spans="1:22" ht="12.75">
      <c r="A289" s="2"/>
      <c r="B289" s="2"/>
      <c r="C289" s="2"/>
      <c r="D289" s="2"/>
      <c r="E289" s="2"/>
      <c r="F289" s="2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"/>
    </row>
    <row r="290" spans="1:22" ht="12.75">
      <c r="A290" s="2"/>
      <c r="B290" s="2"/>
      <c r="C290" s="2"/>
      <c r="D290" s="2"/>
      <c r="E290" s="2"/>
      <c r="F290" s="2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"/>
    </row>
    <row r="291" spans="1:22" ht="12.75">
      <c r="A291" s="2"/>
      <c r="B291" s="2"/>
      <c r="C291" s="2"/>
      <c r="D291" s="2"/>
      <c r="E291" s="2"/>
      <c r="F291" s="2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"/>
    </row>
    <row r="292" spans="1:22" ht="12.75">
      <c r="A292" s="2"/>
      <c r="B292" s="2"/>
      <c r="C292" s="2"/>
      <c r="D292" s="2"/>
      <c r="E292" s="2"/>
      <c r="F292" s="2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"/>
    </row>
    <row r="293" spans="1:22" ht="12.75">
      <c r="A293" s="2"/>
      <c r="B293" s="2"/>
      <c r="C293" s="2"/>
      <c r="D293" s="2"/>
      <c r="E293" s="2"/>
      <c r="F293" s="2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"/>
    </row>
    <row r="294" spans="1:22" ht="12.75">
      <c r="A294" s="2"/>
      <c r="B294" s="2"/>
      <c r="C294" s="2"/>
      <c r="D294" s="2"/>
      <c r="E294" s="2"/>
      <c r="F294" s="2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"/>
    </row>
    <row r="295" spans="1:22" ht="12.75">
      <c r="A295" s="2"/>
      <c r="B295" s="2"/>
      <c r="C295" s="2"/>
      <c r="D295" s="2"/>
      <c r="E295" s="2"/>
      <c r="F295" s="2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"/>
    </row>
    <row r="296" spans="1:22" ht="12.75">
      <c r="A296" s="2"/>
      <c r="B296" s="2"/>
      <c r="C296" s="2"/>
      <c r="D296" s="2"/>
      <c r="E296" s="2"/>
      <c r="F296" s="2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"/>
    </row>
    <row r="297" spans="1:22" ht="12.75">
      <c r="A297" s="2"/>
      <c r="B297" s="2"/>
      <c r="C297" s="2"/>
      <c r="D297" s="2"/>
      <c r="E297" s="2"/>
      <c r="F297" s="2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"/>
    </row>
    <row r="298" spans="1:22" ht="12.75">
      <c r="A298" s="2"/>
      <c r="B298" s="2"/>
      <c r="C298" s="2"/>
      <c r="D298" s="2"/>
      <c r="E298" s="2"/>
      <c r="F298" s="2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"/>
    </row>
    <row r="299" spans="1:22" ht="12.75">
      <c r="A299" s="2"/>
      <c r="B299" s="2"/>
      <c r="C299" s="2"/>
      <c r="D299" s="2"/>
      <c r="E299" s="2"/>
      <c r="F299" s="2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"/>
    </row>
    <row r="300" spans="1:22" ht="12.75">
      <c r="A300" s="2"/>
      <c r="B300" s="2"/>
      <c r="C300" s="2"/>
      <c r="D300" s="2"/>
      <c r="E300" s="2"/>
      <c r="F300" s="2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"/>
    </row>
    <row r="301" spans="1:22" ht="13.5" thickBot="1">
      <c r="A301" s="3"/>
      <c r="B301" s="3"/>
      <c r="C301" s="3"/>
      <c r="D301" s="3"/>
      <c r="E301" s="3"/>
      <c r="F301" s="3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"/>
    </row>
    <row r="302" spans="1:22" ht="12.75">
      <c r="A302" s="1" t="s">
        <v>354</v>
      </c>
      <c r="B302" s="2"/>
      <c r="C302" s="2"/>
      <c r="D302" s="2"/>
      <c r="E302" s="2"/>
      <c r="F302" s="2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1" t="s">
        <v>353</v>
      </c>
      <c r="T302" s="2"/>
      <c r="U302" s="2"/>
      <c r="V302" s="2"/>
    </row>
    <row r="303" spans="7:21" ht="12.75"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7:21" ht="12.75"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7:21" ht="12.75"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7:21" ht="12.75"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7:21" ht="12.75"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</sheetData>
  <printOptions horizontalCentered="1"/>
  <pageMargins left="0" right="0" top="0.75" bottom="0.5" header="0.5" footer="0.25"/>
  <pageSetup fitToHeight="0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"/>
    </sheetView>
  </sheetViews>
  <sheetFormatPr defaultColWidth="9.140625" defaultRowHeight="12.75"/>
  <cols>
    <col min="1" max="1" width="30.140625" style="0" bestFit="1" customWidth="1"/>
    <col min="2" max="11" width="15.00390625" style="0" bestFit="1" customWidth="1"/>
    <col min="12" max="12" width="12.28125" style="0" bestFit="1" customWidth="1"/>
  </cols>
  <sheetData>
    <row r="1" spans="1:2" ht="12.75">
      <c r="A1" s="43" t="s">
        <v>185</v>
      </c>
      <c r="B1" t="s">
        <v>236</v>
      </c>
    </row>
    <row r="3" ht="12.75">
      <c r="C3" s="69" t="s">
        <v>246</v>
      </c>
    </row>
    <row r="4" spans="2:11" ht="12.75">
      <c r="B4" s="106" t="s">
        <v>274</v>
      </c>
      <c r="C4" s="106"/>
      <c r="D4" s="106" t="s">
        <v>275</v>
      </c>
      <c r="E4" s="106"/>
      <c r="F4" s="106" t="s">
        <v>276</v>
      </c>
      <c r="G4" s="106"/>
      <c r="H4" s="106" t="s">
        <v>277</v>
      </c>
      <c r="I4" s="106"/>
      <c r="J4" s="106" t="s">
        <v>278</v>
      </c>
      <c r="K4" s="106"/>
    </row>
    <row r="5" spans="2:11" ht="12.75">
      <c r="B5" s="106" t="s">
        <v>228</v>
      </c>
      <c r="C5" s="108" t="s">
        <v>229</v>
      </c>
      <c r="D5" s="106" t="s">
        <v>228</v>
      </c>
      <c r="E5" s="108" t="s">
        <v>229</v>
      </c>
      <c r="F5" s="106" t="s">
        <v>228</v>
      </c>
      <c r="G5" s="108" t="s">
        <v>229</v>
      </c>
      <c r="H5" s="106" t="s">
        <v>228</v>
      </c>
      <c r="I5" s="108" t="s">
        <v>229</v>
      </c>
      <c r="J5" s="106" t="s">
        <v>228</v>
      </c>
      <c r="K5" s="108" t="s">
        <v>229</v>
      </c>
    </row>
    <row r="6" spans="1:12" ht="12.75">
      <c r="A6" s="44" t="s">
        <v>186</v>
      </c>
      <c r="B6" s="109">
        <v>12620.1</v>
      </c>
      <c r="C6" s="107">
        <v>12620.1</v>
      </c>
      <c r="D6" s="109">
        <v>12620.1</v>
      </c>
      <c r="E6" s="107">
        <v>12620.1</v>
      </c>
      <c r="F6" s="109">
        <v>12620.1</v>
      </c>
      <c r="G6" s="107">
        <v>12620.1</v>
      </c>
      <c r="H6" s="109">
        <v>12620.1</v>
      </c>
      <c r="I6" s="107">
        <v>12620.1</v>
      </c>
      <c r="J6" s="109">
        <v>12620.1</v>
      </c>
      <c r="K6" s="107">
        <v>12620.1</v>
      </c>
      <c r="L6" s="48"/>
    </row>
    <row r="7" spans="1:11" ht="12.75">
      <c r="A7" s="44" t="s">
        <v>187</v>
      </c>
      <c r="B7" s="109">
        <v>427465.69</v>
      </c>
      <c r="C7" s="107">
        <v>427465.69</v>
      </c>
      <c r="D7" s="109">
        <v>427465.69</v>
      </c>
      <c r="E7" s="107">
        <v>427465.69</v>
      </c>
      <c r="F7" s="109">
        <v>427465.69</v>
      </c>
      <c r="G7" s="107">
        <v>427465.69</v>
      </c>
      <c r="H7" s="109">
        <v>427465.69</v>
      </c>
      <c r="I7" s="107">
        <v>427465.69</v>
      </c>
      <c r="J7" s="109">
        <v>427465.69</v>
      </c>
      <c r="K7" s="107">
        <v>427465.69</v>
      </c>
    </row>
    <row r="8" spans="1:11" ht="12.75">
      <c r="A8" s="44" t="s">
        <v>188</v>
      </c>
      <c r="B8" s="109">
        <v>815325.07</v>
      </c>
      <c r="C8" s="107">
        <v>815325.07</v>
      </c>
      <c r="D8" s="109">
        <v>815325.07</v>
      </c>
      <c r="E8" s="107">
        <v>815325.07</v>
      </c>
      <c r="F8" s="109">
        <v>815325.07</v>
      </c>
      <c r="G8" s="107">
        <v>815325.07</v>
      </c>
      <c r="H8" s="109">
        <v>815325.07</v>
      </c>
      <c r="I8" s="107">
        <v>815325.07</v>
      </c>
      <c r="J8" s="109">
        <v>815325.07</v>
      </c>
      <c r="K8" s="107">
        <v>815325.07</v>
      </c>
    </row>
    <row r="9" spans="1:11" ht="12.75">
      <c r="A9" s="44" t="s">
        <v>189</v>
      </c>
      <c r="B9" s="109">
        <v>3839075.83</v>
      </c>
      <c r="C9" s="107">
        <v>2803630.7946153847</v>
      </c>
      <c r="D9" s="109">
        <v>14294914.52</v>
      </c>
      <c r="E9" s="107">
        <v>12711166.094615383</v>
      </c>
      <c r="F9" s="109">
        <v>14533939.04</v>
      </c>
      <c r="G9" s="107">
        <v>14382487.134615384</v>
      </c>
      <c r="H9" s="109">
        <v>14642070.46</v>
      </c>
      <c r="I9" s="107">
        <v>14548623.69307692</v>
      </c>
      <c r="J9" s="109">
        <v>16134678.34</v>
      </c>
      <c r="K9" s="107">
        <v>15283941.236923078</v>
      </c>
    </row>
    <row r="10" spans="1:11" ht="12.75">
      <c r="A10" s="44" t="s">
        <v>190</v>
      </c>
      <c r="B10" s="109">
        <v>2131197.96</v>
      </c>
      <c r="C10" s="107">
        <v>2063881.08</v>
      </c>
      <c r="D10" s="109">
        <v>2103121.86</v>
      </c>
      <c r="E10" s="107">
        <v>2269871.506153846</v>
      </c>
      <c r="F10" s="109">
        <v>2071554.31</v>
      </c>
      <c r="G10" s="107">
        <v>2071369.9407692302</v>
      </c>
      <c r="H10" s="109">
        <v>2336530.1</v>
      </c>
      <c r="I10" s="107">
        <v>2296461.7953846157</v>
      </c>
      <c r="J10" s="109">
        <v>3150561.52</v>
      </c>
      <c r="K10" s="107">
        <v>2828893.5576923084</v>
      </c>
    </row>
    <row r="11" spans="1:11" ht="12.75">
      <c r="A11" s="44" t="s">
        <v>191</v>
      </c>
      <c r="B11" s="109">
        <v>1151566.1</v>
      </c>
      <c r="C11" s="107">
        <v>1093594.4138461535</v>
      </c>
      <c r="D11" s="109">
        <v>1151566.1</v>
      </c>
      <c r="E11" s="107">
        <v>1151566.1</v>
      </c>
      <c r="F11" s="109">
        <v>1167548.74</v>
      </c>
      <c r="G11" s="107">
        <v>1158942.703076923</v>
      </c>
      <c r="H11" s="109">
        <v>1162792.67</v>
      </c>
      <c r="I11" s="107">
        <v>1166817.036923077</v>
      </c>
      <c r="J11" s="109">
        <v>1205236.19</v>
      </c>
      <c r="K11" s="107">
        <v>1172587.3284615383</v>
      </c>
    </row>
    <row r="12" spans="1:11" ht="12.75">
      <c r="A12" s="44" t="s">
        <v>192</v>
      </c>
      <c r="B12" s="109">
        <v>15402018.72</v>
      </c>
      <c r="C12" s="107">
        <v>14388250.734615384</v>
      </c>
      <c r="D12" s="109">
        <v>16522629.98</v>
      </c>
      <c r="E12" s="107">
        <v>15494971.756923076</v>
      </c>
      <c r="F12" s="109">
        <v>14416132.73</v>
      </c>
      <c r="G12" s="107">
        <v>15017404.596153842</v>
      </c>
      <c r="H12" s="109">
        <v>14469930.84</v>
      </c>
      <c r="I12" s="107">
        <v>14432002.997692307</v>
      </c>
      <c r="J12" s="109">
        <v>15528729.95</v>
      </c>
      <c r="K12" s="107">
        <v>14554469.900769232</v>
      </c>
    </row>
    <row r="13" spans="1:11" ht="12.75">
      <c r="A13" s="44" t="s">
        <v>193</v>
      </c>
      <c r="B13" s="109">
        <v>212054480.95</v>
      </c>
      <c r="C13" s="107">
        <v>206407026.5276923</v>
      </c>
      <c r="D13" s="109">
        <v>227974209.52</v>
      </c>
      <c r="E13" s="107">
        <v>213607727.2484615</v>
      </c>
      <c r="F13" s="109">
        <v>231795343.86</v>
      </c>
      <c r="G13" s="107">
        <v>229898396.6215385</v>
      </c>
      <c r="H13" s="109">
        <v>233063117.22</v>
      </c>
      <c r="I13" s="107">
        <v>233093389.82999995</v>
      </c>
      <c r="J13" s="109">
        <v>241036485.57</v>
      </c>
      <c r="K13" s="107">
        <v>237069525.78307694</v>
      </c>
    </row>
    <row r="14" spans="1:11" ht="12.75">
      <c r="A14" s="44" t="s">
        <v>194</v>
      </c>
      <c r="B14" s="109">
        <v>143882494.96</v>
      </c>
      <c r="C14" s="107">
        <v>139079464.0223077</v>
      </c>
      <c r="D14" s="109">
        <v>173151219.96</v>
      </c>
      <c r="E14" s="107">
        <v>150306770.0946154</v>
      </c>
      <c r="F14" s="109">
        <v>184833214.52</v>
      </c>
      <c r="G14" s="107">
        <v>179156372.37692308</v>
      </c>
      <c r="H14" s="109">
        <v>192075533.64</v>
      </c>
      <c r="I14" s="107">
        <v>188069073.2276923</v>
      </c>
      <c r="J14" s="109">
        <v>209993570.68</v>
      </c>
      <c r="K14" s="107">
        <v>197658235.82153845</v>
      </c>
    </row>
    <row r="15" spans="1:11" ht="12.75">
      <c r="A15" s="44" t="s">
        <v>195</v>
      </c>
      <c r="B15" s="109">
        <v>3911376.14</v>
      </c>
      <c r="C15" s="107">
        <v>3562204.460769231</v>
      </c>
      <c r="D15" s="109">
        <v>4462540.7</v>
      </c>
      <c r="E15" s="107">
        <v>4100399.2292307694</v>
      </c>
      <c r="F15" s="109">
        <v>4682306.24</v>
      </c>
      <c r="G15" s="107">
        <v>4573894.547692307</v>
      </c>
      <c r="H15" s="109">
        <v>4838170.03</v>
      </c>
      <c r="I15" s="107">
        <v>4773935.276153846</v>
      </c>
      <c r="J15" s="109">
        <v>5036438.54</v>
      </c>
      <c r="K15" s="107">
        <v>4944197.778461538</v>
      </c>
    </row>
    <row r="16" spans="1:11" ht="12.75">
      <c r="A16" s="44" t="s">
        <v>196</v>
      </c>
      <c r="B16" s="109">
        <v>117247.7</v>
      </c>
      <c r="C16" s="107">
        <v>117247.7</v>
      </c>
      <c r="D16" s="109">
        <v>117247.7</v>
      </c>
      <c r="E16" s="107">
        <v>117247.7</v>
      </c>
      <c r="F16" s="109">
        <v>106423.54</v>
      </c>
      <c r="G16" s="107">
        <v>107256.1676923077</v>
      </c>
      <c r="H16" s="109">
        <v>106423.54</v>
      </c>
      <c r="I16" s="107">
        <v>106423.54</v>
      </c>
      <c r="J16" s="109">
        <v>89724.86</v>
      </c>
      <c r="K16" s="107">
        <v>103854.51230769233</v>
      </c>
    </row>
    <row r="17" spans="1:11" ht="12.75">
      <c r="A17" s="44" t="s">
        <v>197</v>
      </c>
      <c r="B17" s="109">
        <v>6048353.17</v>
      </c>
      <c r="C17" s="107">
        <v>5726911.85923077</v>
      </c>
      <c r="D17" s="109">
        <v>6165718.18</v>
      </c>
      <c r="E17" s="107">
        <v>6127335.257692307</v>
      </c>
      <c r="F17" s="109">
        <v>7411664.79</v>
      </c>
      <c r="G17" s="107">
        <v>6758986.092307692</v>
      </c>
      <c r="H17" s="109">
        <v>8247998.93</v>
      </c>
      <c r="I17" s="107">
        <v>8057524.270000001</v>
      </c>
      <c r="J17" s="109">
        <v>8304220.55</v>
      </c>
      <c r="K17" s="107">
        <v>8281148.267692308</v>
      </c>
    </row>
    <row r="18" spans="1:11" ht="12.75">
      <c r="A18" s="44" t="s">
        <v>198</v>
      </c>
      <c r="B18" s="109">
        <v>30125.91</v>
      </c>
      <c r="C18" s="107">
        <v>30125.91</v>
      </c>
      <c r="D18" s="109">
        <v>30125.91</v>
      </c>
      <c r="E18" s="107">
        <v>30125.91</v>
      </c>
      <c r="F18" s="109">
        <v>30125.91</v>
      </c>
      <c r="G18" s="107">
        <v>30125.91</v>
      </c>
      <c r="H18" s="109">
        <v>30125.91</v>
      </c>
      <c r="I18" s="107">
        <v>30125.91</v>
      </c>
      <c r="J18" s="109">
        <v>30125.91</v>
      </c>
      <c r="K18" s="107">
        <v>30125.91</v>
      </c>
    </row>
    <row r="19" spans="1:11" ht="12.75">
      <c r="A19" s="44" t="s">
        <v>199</v>
      </c>
      <c r="B19" s="109">
        <v>36106739.27</v>
      </c>
      <c r="C19" s="107">
        <v>35632772.96</v>
      </c>
      <c r="D19" s="109">
        <v>36317823.27</v>
      </c>
      <c r="E19" s="107">
        <v>36115908.807692304</v>
      </c>
      <c r="F19" s="109">
        <v>36285481.05</v>
      </c>
      <c r="G19" s="107">
        <v>36279405.68923077</v>
      </c>
      <c r="H19" s="109">
        <v>36375807.27</v>
      </c>
      <c r="I19" s="107">
        <v>36205238.00538462</v>
      </c>
      <c r="J19" s="109">
        <v>36590010.92</v>
      </c>
      <c r="K19" s="107">
        <v>36371462.40153846</v>
      </c>
    </row>
    <row r="20" spans="1:11" ht="12.75">
      <c r="A20" s="44" t="s">
        <v>200</v>
      </c>
      <c r="B20" s="109">
        <v>117009448.21</v>
      </c>
      <c r="C20" s="107">
        <v>109621144.29153848</v>
      </c>
      <c r="D20" s="109">
        <v>127316002.92</v>
      </c>
      <c r="E20" s="107">
        <v>120834064.7276923</v>
      </c>
      <c r="F20" s="109">
        <v>137545053.99</v>
      </c>
      <c r="G20" s="107">
        <v>131457989.6653846</v>
      </c>
      <c r="H20" s="109">
        <v>146821008.5</v>
      </c>
      <c r="I20" s="107">
        <v>141044239.15</v>
      </c>
      <c r="J20" s="109">
        <v>157158977.41</v>
      </c>
      <c r="K20" s="107">
        <v>150782504.17307693</v>
      </c>
    </row>
    <row r="21" spans="1:11" ht="12.75">
      <c r="A21" s="44" t="s">
        <v>201</v>
      </c>
      <c r="B21" s="109">
        <v>25676096.65</v>
      </c>
      <c r="C21" s="107">
        <v>25185667.060769226</v>
      </c>
      <c r="D21" s="109">
        <v>26963257.07</v>
      </c>
      <c r="E21" s="107">
        <v>26079804.202307694</v>
      </c>
      <c r="F21" s="109">
        <v>28795774.59</v>
      </c>
      <c r="G21" s="107">
        <v>27652011.82</v>
      </c>
      <c r="H21" s="109">
        <v>31000459.17</v>
      </c>
      <c r="I21" s="107">
        <v>29454786.5523077</v>
      </c>
      <c r="J21" s="109">
        <v>34265563.61</v>
      </c>
      <c r="K21" s="107">
        <v>31979881.012307696</v>
      </c>
    </row>
    <row r="22" spans="1:11" ht="12.75">
      <c r="A22" s="44" t="s">
        <v>202</v>
      </c>
      <c r="B22" s="109">
        <v>3032.1</v>
      </c>
      <c r="C22" s="107">
        <v>3080.690769230768</v>
      </c>
      <c r="D22" s="109">
        <v>3032.1</v>
      </c>
      <c r="E22" s="107">
        <v>3032.1</v>
      </c>
      <c r="F22" s="109">
        <v>3032.1</v>
      </c>
      <c r="G22" s="107">
        <v>3032.1</v>
      </c>
      <c r="H22" s="109">
        <v>3032.1</v>
      </c>
      <c r="I22" s="107">
        <v>3032.1</v>
      </c>
      <c r="J22" s="109">
        <v>3032.1</v>
      </c>
      <c r="K22" s="107">
        <v>3032.1</v>
      </c>
    </row>
    <row r="23" spans="1:11" ht="12.75">
      <c r="A23" s="44" t="s">
        <v>203</v>
      </c>
      <c r="B23" s="109">
        <v>25867877.95</v>
      </c>
      <c r="C23" s="107">
        <v>24485858.526923075</v>
      </c>
      <c r="D23" s="109">
        <v>28179554.11</v>
      </c>
      <c r="E23" s="107">
        <v>26811831.66153846</v>
      </c>
      <c r="F23" s="109">
        <v>30495247.22</v>
      </c>
      <c r="G23" s="107">
        <v>29092795.51307692</v>
      </c>
      <c r="H23" s="109">
        <v>32100082.3</v>
      </c>
      <c r="I23" s="107">
        <v>31169812.88307692</v>
      </c>
      <c r="J23" s="109">
        <v>33828069.31</v>
      </c>
      <c r="K23" s="107">
        <v>32812458.306923084</v>
      </c>
    </row>
    <row r="24" spans="1:11" ht="12.75">
      <c r="A24" s="44" t="s">
        <v>204</v>
      </c>
      <c r="B24" s="109">
        <v>8625940.19</v>
      </c>
      <c r="C24" s="107">
        <v>8594785.336923076</v>
      </c>
      <c r="D24" s="109">
        <v>8756109.22</v>
      </c>
      <c r="E24" s="107">
        <v>8680754.343076922</v>
      </c>
      <c r="F24" s="109">
        <v>8965346.01</v>
      </c>
      <c r="G24" s="107">
        <v>8842631.935384616</v>
      </c>
      <c r="H24" s="109">
        <v>9257787.45</v>
      </c>
      <c r="I24" s="107">
        <v>9093759.15769231</v>
      </c>
      <c r="J24" s="109">
        <v>9637719.93</v>
      </c>
      <c r="K24" s="107">
        <v>9386644.893846152</v>
      </c>
    </row>
    <row r="25" spans="1:11" ht="12.75">
      <c r="A25" s="44" t="s">
        <v>205</v>
      </c>
      <c r="B25" s="109">
        <v>9050582.83</v>
      </c>
      <c r="C25" s="107">
        <v>8564017.454615382</v>
      </c>
      <c r="D25" s="109">
        <v>10279063.54</v>
      </c>
      <c r="E25" s="107">
        <v>9435879.028461536</v>
      </c>
      <c r="F25" s="109">
        <v>11125711.71</v>
      </c>
      <c r="G25" s="107">
        <v>10627603.219230771</v>
      </c>
      <c r="H25" s="109">
        <v>11924320.23</v>
      </c>
      <c r="I25" s="107">
        <v>11392190.174615385</v>
      </c>
      <c r="J25" s="109">
        <v>13647951.44</v>
      </c>
      <c r="K25" s="107">
        <v>12635052.171538461</v>
      </c>
    </row>
    <row r="26" spans="1:11" ht="12.75">
      <c r="A26" s="44" t="s">
        <v>206</v>
      </c>
      <c r="B26" s="109">
        <v>8452848.77</v>
      </c>
      <c r="C26" s="107">
        <v>8448190.896153847</v>
      </c>
      <c r="D26" s="109">
        <v>8765075.65</v>
      </c>
      <c r="E26" s="107">
        <v>8438296.340769231</v>
      </c>
      <c r="F26" s="109">
        <v>8836901.77</v>
      </c>
      <c r="G26" s="107">
        <v>8746190.572307691</v>
      </c>
      <c r="H26" s="109">
        <v>9166917.2</v>
      </c>
      <c r="I26" s="107">
        <v>8980106.00076923</v>
      </c>
      <c r="J26" s="109">
        <v>9561216.59</v>
      </c>
      <c r="K26" s="107">
        <v>9319863.664615383</v>
      </c>
    </row>
    <row r="27" spans="1:11" ht="12.75">
      <c r="A27" s="44" t="s">
        <v>271</v>
      </c>
      <c r="B27" s="109">
        <v>0</v>
      </c>
      <c r="C27" s="107">
        <v>0</v>
      </c>
      <c r="D27" s="109">
        <v>0</v>
      </c>
      <c r="E27" s="107">
        <v>-0.0005769294041853684</v>
      </c>
      <c r="F27" s="109">
        <v>0</v>
      </c>
      <c r="G27" s="107">
        <v>-0.0005769271116990309</v>
      </c>
      <c r="H27" s="109">
        <v>0</v>
      </c>
      <c r="I27" s="107">
        <v>0.0003846127253312331</v>
      </c>
      <c r="J27" s="109">
        <v>0</v>
      </c>
      <c r="K27" s="107">
        <v>0</v>
      </c>
    </row>
    <row r="28" spans="1:11" ht="12.75">
      <c r="A28" s="44" t="s">
        <v>272</v>
      </c>
      <c r="B28" s="109">
        <v>0</v>
      </c>
      <c r="C28" s="107">
        <v>0</v>
      </c>
      <c r="D28" s="109">
        <v>51942.38</v>
      </c>
      <c r="E28" s="107">
        <v>39955.67634614752</v>
      </c>
      <c r="F28" s="109">
        <v>51942.38</v>
      </c>
      <c r="G28" s="107">
        <v>51942.38</v>
      </c>
      <c r="H28" s="109">
        <v>51942.38</v>
      </c>
      <c r="I28" s="107">
        <v>51942.38</v>
      </c>
      <c r="J28" s="109">
        <v>0</v>
      </c>
      <c r="K28" s="107">
        <v>7991.135384615384</v>
      </c>
    </row>
    <row r="29" spans="1:11" ht="12.75">
      <c r="A29" s="44" t="s">
        <v>207</v>
      </c>
      <c r="B29" s="109">
        <v>316003.59</v>
      </c>
      <c r="C29" s="107">
        <v>316003.59</v>
      </c>
      <c r="D29" s="109">
        <v>0</v>
      </c>
      <c r="E29" s="107">
        <v>24307.968461538465</v>
      </c>
      <c r="F29" s="109">
        <v>0</v>
      </c>
      <c r="G29" s="107">
        <v>-0.0005769271116990309</v>
      </c>
      <c r="H29" s="109">
        <v>0</v>
      </c>
      <c r="I29" s="107">
        <v>0.0003846127253312331</v>
      </c>
      <c r="J29" s="109">
        <v>0</v>
      </c>
      <c r="K29" s="107">
        <v>0</v>
      </c>
    </row>
    <row r="30" spans="1:11" ht="12.75">
      <c r="A30" s="44" t="s">
        <v>208</v>
      </c>
      <c r="B30" s="109">
        <v>1212052.17</v>
      </c>
      <c r="C30" s="107">
        <v>1169229.4892307692</v>
      </c>
      <c r="D30" s="109">
        <v>1383506.07</v>
      </c>
      <c r="E30" s="107">
        <v>1291566.4746153848</v>
      </c>
      <c r="F30" s="109">
        <v>1494450.3</v>
      </c>
      <c r="G30" s="107">
        <v>1426580.01</v>
      </c>
      <c r="H30" s="109">
        <v>1644879.34</v>
      </c>
      <c r="I30" s="107">
        <v>1589897.9653846151</v>
      </c>
      <c r="J30" s="109">
        <v>1996212.88</v>
      </c>
      <c r="K30" s="107">
        <v>1798379.8446153847</v>
      </c>
    </row>
    <row r="31" spans="1:11" ht="12.75">
      <c r="A31" s="44" t="s">
        <v>209</v>
      </c>
      <c r="B31" s="109">
        <v>905216.61</v>
      </c>
      <c r="C31" s="107">
        <v>946163.5984615383</v>
      </c>
      <c r="D31" s="109">
        <v>1009031.45</v>
      </c>
      <c r="E31" s="107">
        <v>933071.306923077</v>
      </c>
      <c r="F31" s="109">
        <v>1073398.05</v>
      </c>
      <c r="G31" s="107">
        <v>1044521.9884615386</v>
      </c>
      <c r="H31" s="109">
        <v>1176284.96</v>
      </c>
      <c r="I31" s="107">
        <v>1106193.391538462</v>
      </c>
      <c r="J31" s="109">
        <v>1176284.96</v>
      </c>
      <c r="K31" s="107">
        <v>1176284.96</v>
      </c>
    </row>
    <row r="32" spans="1:11" ht="12.75">
      <c r="A32" s="44" t="s">
        <v>210</v>
      </c>
      <c r="B32" s="109">
        <v>39042.81</v>
      </c>
      <c r="C32" s="107">
        <v>32379.85</v>
      </c>
      <c r="D32" s="109">
        <v>39042.81</v>
      </c>
      <c r="E32" s="107">
        <v>39042.81</v>
      </c>
      <c r="F32" s="109">
        <v>39042.81</v>
      </c>
      <c r="G32" s="107">
        <v>39042.81</v>
      </c>
      <c r="H32" s="109">
        <v>39042.81</v>
      </c>
      <c r="I32" s="107">
        <v>39042.81</v>
      </c>
      <c r="J32" s="109">
        <v>8753.67</v>
      </c>
      <c r="K32" s="107">
        <v>27702.99692307692</v>
      </c>
    </row>
    <row r="33" spans="1:11" ht="12.75">
      <c r="A33" s="44" t="s">
        <v>211</v>
      </c>
      <c r="B33" s="109">
        <v>2608850.34</v>
      </c>
      <c r="C33" s="107">
        <v>2554594.168461539</v>
      </c>
      <c r="D33" s="109">
        <v>2980955.56</v>
      </c>
      <c r="E33" s="107">
        <v>2748578.146923077</v>
      </c>
      <c r="F33" s="109">
        <v>2983665.76</v>
      </c>
      <c r="G33" s="107">
        <v>3033127.533846154</v>
      </c>
      <c r="H33" s="109">
        <v>2976916.39</v>
      </c>
      <c r="I33" s="107">
        <v>2954374.908461539</v>
      </c>
      <c r="J33" s="109">
        <v>2935673.68</v>
      </c>
      <c r="K33" s="107">
        <v>2966282.738461538</v>
      </c>
    </row>
    <row r="34" spans="1:11" ht="12.75">
      <c r="A34" s="44" t="s">
        <v>212</v>
      </c>
      <c r="B34" s="109">
        <v>17745629.3</v>
      </c>
      <c r="C34" s="107">
        <v>16891399.836153846</v>
      </c>
      <c r="D34" s="109">
        <v>8011878.37</v>
      </c>
      <c r="E34" s="107">
        <v>9716280.094615387</v>
      </c>
      <c r="F34" s="109">
        <v>7118142.3</v>
      </c>
      <c r="G34" s="107">
        <v>7811977.616923077</v>
      </c>
      <c r="H34" s="109">
        <v>8232844.19</v>
      </c>
      <c r="I34" s="107">
        <v>7581540.487692308</v>
      </c>
      <c r="J34" s="109">
        <v>7621702.89</v>
      </c>
      <c r="K34" s="107">
        <v>8153516.966153845</v>
      </c>
    </row>
    <row r="35" spans="1:11" ht="12.75">
      <c r="A35" s="44" t="s">
        <v>213</v>
      </c>
      <c r="B35" s="109">
        <v>504148.06</v>
      </c>
      <c r="C35" s="107">
        <v>475981.5684615385</v>
      </c>
      <c r="D35" s="109">
        <v>541192.03</v>
      </c>
      <c r="E35" s="107">
        <v>521453.9030769231</v>
      </c>
      <c r="F35" s="109">
        <v>612182.97</v>
      </c>
      <c r="G35" s="107">
        <v>555742.5407692307</v>
      </c>
      <c r="H35" s="109">
        <v>651776.79</v>
      </c>
      <c r="I35" s="107">
        <v>640385.5407692308</v>
      </c>
      <c r="J35" s="109">
        <v>600384.7</v>
      </c>
      <c r="K35" s="107">
        <v>642867.3430769232</v>
      </c>
    </row>
    <row r="36" spans="1:11" ht="12.75">
      <c r="A36" s="44" t="s">
        <v>214</v>
      </c>
      <c r="B36" s="109">
        <v>0</v>
      </c>
      <c r="C36" s="107">
        <v>319599.4846153846</v>
      </c>
      <c r="D36" s="109">
        <v>0</v>
      </c>
      <c r="E36" s="107">
        <v>-0.0005769294041853684</v>
      </c>
      <c r="F36" s="109">
        <v>0</v>
      </c>
      <c r="G36" s="107">
        <v>-0.0005769271116990309</v>
      </c>
      <c r="H36" s="109">
        <v>0</v>
      </c>
      <c r="I36" s="107">
        <v>0.0003846127253312331</v>
      </c>
      <c r="J36" s="109">
        <v>0</v>
      </c>
      <c r="K36" s="107">
        <v>0</v>
      </c>
    </row>
    <row r="37" spans="1:11" ht="12.75">
      <c r="A37" s="44" t="s">
        <v>215</v>
      </c>
      <c r="B37" s="109">
        <v>7236672.59</v>
      </c>
      <c r="C37" s="107">
        <v>7299147.84923077</v>
      </c>
      <c r="D37" s="109">
        <v>7034522.19</v>
      </c>
      <c r="E37" s="107">
        <v>7158570.788461538</v>
      </c>
      <c r="F37" s="109">
        <v>6625878.07</v>
      </c>
      <c r="G37" s="107">
        <v>6920753.059230768</v>
      </c>
      <c r="H37" s="109">
        <v>6230500.68</v>
      </c>
      <c r="I37" s="107">
        <v>6431153.116923075</v>
      </c>
      <c r="J37" s="109">
        <v>6817484.32</v>
      </c>
      <c r="K37" s="107">
        <v>6511451.851538461</v>
      </c>
    </row>
    <row r="38" spans="1:11" ht="12.75">
      <c r="A38" s="44" t="s">
        <v>216</v>
      </c>
      <c r="B38" s="109">
        <v>2698840.32</v>
      </c>
      <c r="C38" s="107">
        <v>2133915.7246153844</v>
      </c>
      <c r="D38" s="109">
        <v>2718616.89</v>
      </c>
      <c r="E38" s="107">
        <v>2709489.2423076923</v>
      </c>
      <c r="F38" s="109">
        <v>3282794.76</v>
      </c>
      <c r="G38" s="107">
        <v>2966713.6184615386</v>
      </c>
      <c r="H38" s="109">
        <v>3620698.42</v>
      </c>
      <c r="I38" s="107">
        <v>3494400.01</v>
      </c>
      <c r="J38" s="109">
        <v>4214933.03</v>
      </c>
      <c r="K38" s="107">
        <v>3864781.834615384</v>
      </c>
    </row>
    <row r="39" spans="1:11" ht="12.75">
      <c r="A39" s="44" t="s">
        <v>217</v>
      </c>
      <c r="B39" s="109">
        <v>6029716.15</v>
      </c>
      <c r="C39" s="107">
        <v>6029716.15</v>
      </c>
      <c r="D39" s="109">
        <v>6029716.15</v>
      </c>
      <c r="E39" s="107">
        <v>6029716.15</v>
      </c>
      <c r="F39" s="109">
        <v>6029716.15</v>
      </c>
      <c r="G39" s="107">
        <v>6029716.15</v>
      </c>
      <c r="H39" s="109">
        <v>6029716.15</v>
      </c>
      <c r="I39" s="107">
        <v>6029716.15</v>
      </c>
      <c r="J39" s="109">
        <v>6091018.13</v>
      </c>
      <c r="K39" s="107">
        <v>6062724.908461539</v>
      </c>
    </row>
    <row r="40" spans="1:11" ht="12.75">
      <c r="A40" s="44" t="s">
        <v>218</v>
      </c>
      <c r="B40" s="109">
        <v>266939.35</v>
      </c>
      <c r="C40" s="107">
        <v>265346.64</v>
      </c>
      <c r="D40" s="109">
        <v>268297.27</v>
      </c>
      <c r="E40" s="107">
        <v>267670.5376923077</v>
      </c>
      <c r="F40" s="109">
        <v>275215.89</v>
      </c>
      <c r="G40" s="107">
        <v>270491.48615384626</v>
      </c>
      <c r="H40" s="109">
        <v>271562.06</v>
      </c>
      <c r="I40" s="107">
        <v>273021.23846153845</v>
      </c>
      <c r="J40" s="109">
        <v>268539.59</v>
      </c>
      <c r="K40" s="107">
        <v>270277.2284615384</v>
      </c>
    </row>
    <row r="41" spans="1:11" ht="12.75">
      <c r="A41" s="44" t="s">
        <v>219</v>
      </c>
      <c r="B41" s="109">
        <v>1173372.93</v>
      </c>
      <c r="C41" s="107">
        <v>1144067.6607692307</v>
      </c>
      <c r="D41" s="109">
        <v>1164937.55</v>
      </c>
      <c r="E41" s="107">
        <v>1176879.8161538464</v>
      </c>
      <c r="F41" s="109">
        <v>1076694.72</v>
      </c>
      <c r="G41" s="107">
        <v>1132346.47</v>
      </c>
      <c r="H41" s="109">
        <v>1038783.61</v>
      </c>
      <c r="I41" s="107">
        <v>1051746.323076923</v>
      </c>
      <c r="J41" s="109">
        <v>1185518.62</v>
      </c>
      <c r="K41" s="107">
        <v>1028680.4723076924</v>
      </c>
    </row>
    <row r="42" spans="1:11" ht="12.75">
      <c r="A42" s="44" t="s">
        <v>220</v>
      </c>
      <c r="B42" s="109">
        <v>64644.84</v>
      </c>
      <c r="C42" s="107">
        <v>62884.601538461546</v>
      </c>
      <c r="D42" s="109">
        <v>61083.24</v>
      </c>
      <c r="E42" s="107">
        <v>64370.87076923075</v>
      </c>
      <c r="F42" s="109">
        <v>56473.24</v>
      </c>
      <c r="G42" s="107">
        <v>57537.08615384615</v>
      </c>
      <c r="H42" s="109">
        <v>56473.24</v>
      </c>
      <c r="I42" s="107">
        <v>56473.24</v>
      </c>
      <c r="J42" s="109">
        <v>55762.93</v>
      </c>
      <c r="K42" s="107">
        <v>56363.961538461546</v>
      </c>
    </row>
    <row r="43" spans="1:11" ht="12.75">
      <c r="A43" s="44" t="s">
        <v>221</v>
      </c>
      <c r="B43" s="109">
        <v>3230449.19</v>
      </c>
      <c r="C43" s="107">
        <v>3205296.422307692</v>
      </c>
      <c r="D43" s="109">
        <v>3426458.7</v>
      </c>
      <c r="E43" s="107">
        <v>3417197.98</v>
      </c>
      <c r="F43" s="109">
        <v>3271544.53</v>
      </c>
      <c r="G43" s="107">
        <v>3335596.001538462</v>
      </c>
      <c r="H43" s="109">
        <v>3341821.07</v>
      </c>
      <c r="I43" s="107">
        <v>3312110.3761538463</v>
      </c>
      <c r="J43" s="109">
        <v>3400329.75</v>
      </c>
      <c r="K43" s="107">
        <v>3377790.65</v>
      </c>
    </row>
    <row r="44" spans="1:11" ht="12.75">
      <c r="A44" s="44" t="s">
        <v>222</v>
      </c>
      <c r="B44" s="109">
        <v>168986.33</v>
      </c>
      <c r="C44" s="107">
        <v>168986.33</v>
      </c>
      <c r="D44" s="109">
        <v>168986.33</v>
      </c>
      <c r="E44" s="107">
        <v>168986.33</v>
      </c>
      <c r="F44" s="109">
        <v>168986.33</v>
      </c>
      <c r="G44" s="107">
        <v>168986.33</v>
      </c>
      <c r="H44" s="109">
        <v>168986.33</v>
      </c>
      <c r="I44" s="107">
        <v>168986.33</v>
      </c>
      <c r="J44" s="109">
        <v>168986.33</v>
      </c>
      <c r="K44" s="107">
        <v>168986.33</v>
      </c>
    </row>
    <row r="45" spans="1:11" ht="12.75">
      <c r="A45" s="44" t="s">
        <v>223</v>
      </c>
      <c r="B45" s="109">
        <v>129577.67</v>
      </c>
      <c r="C45" s="107">
        <v>129577.67</v>
      </c>
      <c r="D45" s="109">
        <v>129577.67</v>
      </c>
      <c r="E45" s="107">
        <v>129577.67</v>
      </c>
      <c r="F45" s="109">
        <v>129577.67</v>
      </c>
      <c r="G45" s="107">
        <v>129577.67</v>
      </c>
      <c r="H45" s="109">
        <v>129577.67</v>
      </c>
      <c r="I45" s="107">
        <v>129577.67</v>
      </c>
      <c r="J45" s="109">
        <v>50289.03</v>
      </c>
      <c r="K45" s="107">
        <v>117379.41769230769</v>
      </c>
    </row>
    <row r="46" spans="1:11" ht="12.75">
      <c r="A46" s="44" t="s">
        <v>224</v>
      </c>
      <c r="B46" s="109">
        <v>1749697.64</v>
      </c>
      <c r="C46" s="107">
        <v>1784507.2392307695</v>
      </c>
      <c r="D46" s="109">
        <v>1786469.1</v>
      </c>
      <c r="E46" s="107">
        <v>1795603.3238461537</v>
      </c>
      <c r="F46" s="109">
        <v>1757704.56</v>
      </c>
      <c r="G46" s="107">
        <v>1762458.7407692308</v>
      </c>
      <c r="H46" s="109">
        <v>1751113.97</v>
      </c>
      <c r="I46" s="107">
        <v>1751178.6630769225</v>
      </c>
      <c r="J46" s="109">
        <v>1606093.21</v>
      </c>
      <c r="K46" s="107">
        <v>1662446.233076923</v>
      </c>
    </row>
    <row r="47" spans="1:12" ht="12.75">
      <c r="A47" s="44" t="s">
        <v>225</v>
      </c>
      <c r="B47" s="109">
        <v>4700685.52</v>
      </c>
      <c r="C47" s="107">
        <v>3755373.47076923</v>
      </c>
      <c r="D47" s="109">
        <v>4693086.69</v>
      </c>
      <c r="E47" s="107">
        <v>4508216.781538462</v>
      </c>
      <c r="F47" s="109">
        <v>4594524.54</v>
      </c>
      <c r="G47" s="107">
        <v>4620796.033076922</v>
      </c>
      <c r="H47" s="109">
        <v>4738562.6</v>
      </c>
      <c r="I47" s="107">
        <v>4595507.756153846</v>
      </c>
      <c r="J47" s="109">
        <v>4576801.64</v>
      </c>
      <c r="K47" s="107">
        <v>4729183.277692308</v>
      </c>
      <c r="L47" s="48"/>
    </row>
    <row r="48" spans="1:11" ht="12.75">
      <c r="A48" s="44" t="s">
        <v>226</v>
      </c>
      <c r="B48" s="109">
        <v>329779.07</v>
      </c>
      <c r="C48" s="107">
        <v>322521.0707692307</v>
      </c>
      <c r="D48" s="109">
        <v>361873.41</v>
      </c>
      <c r="E48" s="107">
        <v>345936.7476923077</v>
      </c>
      <c r="F48" s="109">
        <v>388486.84</v>
      </c>
      <c r="G48" s="107">
        <v>394182.7323076922</v>
      </c>
      <c r="H48" s="109">
        <v>388486.84</v>
      </c>
      <c r="I48" s="107">
        <v>388486.84</v>
      </c>
      <c r="J48" s="109">
        <v>420877.27</v>
      </c>
      <c r="K48" s="107">
        <v>399306.81230769237</v>
      </c>
    </row>
    <row r="49" spans="1:11" ht="12.75">
      <c r="A49" s="45" t="s">
        <v>227</v>
      </c>
      <c r="B49" s="107">
        <v>741482029.4600002</v>
      </c>
      <c r="C49" s="107">
        <v>713241227.6153846</v>
      </c>
      <c r="D49" s="107">
        <v>772931288.32</v>
      </c>
      <c r="E49" s="107">
        <v>756113278.5505769</v>
      </c>
      <c r="F49" s="107">
        <v>805532398.1700001</v>
      </c>
      <c r="G49" s="107">
        <v>786906576.7421153</v>
      </c>
      <c r="H49" s="107">
        <v>834305047.6</v>
      </c>
      <c r="I49" s="107">
        <v>816935757.865</v>
      </c>
      <c r="J49" s="107">
        <v>872447168.1000003</v>
      </c>
      <c r="K49" s="107">
        <v>851054822.7015386</v>
      </c>
    </row>
    <row r="50" spans="1:11" ht="12.75">
      <c r="A50" s="44" t="s">
        <v>273</v>
      </c>
      <c r="B50" s="109">
        <v>69755810.71</v>
      </c>
      <c r="C50" s="107">
        <v>67171269.61999999</v>
      </c>
      <c r="D50" s="109">
        <v>37261491.29</v>
      </c>
      <c r="E50" s="107">
        <v>69454642.96307692</v>
      </c>
      <c r="F50" s="109">
        <v>40145763.32</v>
      </c>
      <c r="G50" s="107">
        <v>38042179.02076923</v>
      </c>
      <c r="H50" s="109">
        <v>42887559.68</v>
      </c>
      <c r="I50" s="107">
        <v>40117070.20538462</v>
      </c>
      <c r="J50" s="109">
        <v>32793797.19</v>
      </c>
      <c r="K50" s="107">
        <v>41559134.05846154</v>
      </c>
    </row>
    <row r="51" spans="1:11" ht="12.75">
      <c r="A51" s="45" t="s">
        <v>230</v>
      </c>
      <c r="B51" s="47">
        <f>ROUND(+B49/1000,0)</f>
        <v>741482</v>
      </c>
      <c r="C51" s="47">
        <f aca="true" t="shared" si="0" ref="C51:K51">ROUND(+C49/1000,0)</f>
        <v>713241</v>
      </c>
      <c r="D51" s="47">
        <f t="shared" si="0"/>
        <v>772931</v>
      </c>
      <c r="E51" s="47">
        <f t="shared" si="0"/>
        <v>756113</v>
      </c>
      <c r="F51" s="47">
        <f t="shared" si="0"/>
        <v>805532</v>
      </c>
      <c r="G51" s="47">
        <f t="shared" si="0"/>
        <v>786907</v>
      </c>
      <c r="H51" s="47">
        <f t="shared" si="0"/>
        <v>834305</v>
      </c>
      <c r="I51" s="47">
        <f t="shared" si="0"/>
        <v>816936</v>
      </c>
      <c r="J51" s="47">
        <f t="shared" si="0"/>
        <v>872447</v>
      </c>
      <c r="K51" s="47">
        <f t="shared" si="0"/>
        <v>851055</v>
      </c>
    </row>
    <row r="52" spans="1:11" ht="12.75">
      <c r="A52" s="45" t="s">
        <v>279</v>
      </c>
      <c r="B52" s="46">
        <v>741482</v>
      </c>
      <c r="C52" s="46">
        <v>713198</v>
      </c>
      <c r="D52" s="46">
        <v>772910</v>
      </c>
      <c r="E52" s="46">
        <v>756112</v>
      </c>
      <c r="F52" s="46">
        <v>805532</v>
      </c>
      <c r="G52" s="46">
        <v>786905</v>
      </c>
      <c r="H52" s="46">
        <v>834305</v>
      </c>
      <c r="I52" s="46">
        <v>816936</v>
      </c>
      <c r="J52" s="46">
        <v>872447</v>
      </c>
      <c r="K52" s="46">
        <v>851055</v>
      </c>
    </row>
    <row r="53" spans="1:11" ht="12.75">
      <c r="A53" t="s">
        <v>231</v>
      </c>
      <c r="B53" s="48">
        <f>+B51-B52</f>
        <v>0</v>
      </c>
      <c r="C53" s="48">
        <f aca="true" t="shared" si="1" ref="C53:K53">+C51-C52</f>
        <v>43</v>
      </c>
      <c r="D53" s="48">
        <f t="shared" si="1"/>
        <v>21</v>
      </c>
      <c r="E53" s="48">
        <f t="shared" si="1"/>
        <v>1</v>
      </c>
      <c r="F53" s="48">
        <f t="shared" si="1"/>
        <v>0</v>
      </c>
      <c r="G53" s="48">
        <f t="shared" si="1"/>
        <v>2</v>
      </c>
      <c r="H53" s="48">
        <f t="shared" si="1"/>
        <v>0</v>
      </c>
      <c r="I53" s="48">
        <f t="shared" si="1"/>
        <v>0</v>
      </c>
      <c r="J53" s="48">
        <f t="shared" si="1"/>
        <v>0</v>
      </c>
      <c r="K53" s="48">
        <f t="shared" si="1"/>
        <v>0</v>
      </c>
    </row>
    <row r="54" spans="2:11" ht="12.75"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.75">
      <c r="A55" s="70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2:11" ht="12.75">
      <c r="B56" s="48"/>
      <c r="C56" s="48" t="e">
        <f>(+SchE6!G52-SchE6!#REF!-SchE6!#REF!)/1000</f>
        <v>#REF!</v>
      </c>
      <c r="E56" s="48">
        <f>(+SchE6!I52-SchE6!G42-SchE6!G44)/1000</f>
        <v>802038.5767421155</v>
      </c>
      <c r="G56" s="48">
        <f>(+SchE6!K52-SchE6!K42-SchE6!K44)/1000</f>
        <v>828194.757865</v>
      </c>
      <c r="I56" s="48">
        <f>(+SchE6!M52-SchE6!M42-SchE6!M44)/1000</f>
        <v>867065.8227015384</v>
      </c>
      <c r="K56" s="48">
        <f>(+SchE6!O52-SchE6!O42-SchE6!O44)/1000</f>
        <v>910477.6347076924</v>
      </c>
    </row>
    <row r="57" spans="3:11" ht="12.75">
      <c r="C57" s="79" t="e">
        <f>+C56-C51</f>
        <v>#REF!</v>
      </c>
      <c r="D57" s="73"/>
      <c r="E57" s="79">
        <f>+E56-E51</f>
        <v>45925.57674211555</v>
      </c>
      <c r="G57" s="79">
        <f>+G56-G51</f>
        <v>41287.75786500005</v>
      </c>
      <c r="I57" s="79">
        <f>+I56-I51</f>
        <v>50129.82270153845</v>
      </c>
      <c r="K57" s="79">
        <f>+K56-K51</f>
        <v>59422.63470769243</v>
      </c>
    </row>
    <row r="58" ht="12.75">
      <c r="C58" s="66"/>
    </row>
    <row r="59" ht="12.75">
      <c r="C59" s="67"/>
    </row>
    <row r="60" ht="12.75">
      <c r="C60" s="68"/>
    </row>
    <row r="61" ht="12.75">
      <c r="C61" s="66"/>
    </row>
    <row r="62" ht="12.75">
      <c r="C62" s="67"/>
    </row>
    <row r="63" ht="12.75">
      <c r="C63" s="66"/>
    </row>
    <row r="64" ht="12.75">
      <c r="C64" s="66"/>
    </row>
    <row r="65" ht="12.75">
      <c r="C65" s="67"/>
    </row>
    <row r="66" ht="12.75">
      <c r="C66" s="67"/>
    </row>
    <row r="67" ht="12.75">
      <c r="C67" s="67"/>
    </row>
  </sheetData>
  <printOptions/>
  <pageMargins left="0.25" right="0.25" top="0.5" bottom="0.5" header="0.5" footer="0.25"/>
  <pageSetup fitToHeight="1" fitToWidth="1" horizontalDpi="600" verticalDpi="600" orientation="landscape" scale="64" r:id="rId3"/>
  <headerFooter alignWithMargins="0"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pane xSplit="1" ySplit="5" topLeftCell="F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6" sqref="K16"/>
    </sheetView>
  </sheetViews>
  <sheetFormatPr defaultColWidth="9.140625" defaultRowHeight="12.75"/>
  <cols>
    <col min="1" max="1" width="30.140625" style="0" bestFit="1" customWidth="1"/>
    <col min="2" max="11" width="15.57421875" style="0" bestFit="1" customWidth="1"/>
  </cols>
  <sheetData>
    <row r="1" spans="1:2" ht="12.75">
      <c r="A1" s="43" t="s">
        <v>185</v>
      </c>
      <c r="B1" t="s">
        <v>237</v>
      </c>
    </row>
    <row r="4" spans="2:11" ht="12.75">
      <c r="B4" s="106" t="s">
        <v>274</v>
      </c>
      <c r="C4" s="106"/>
      <c r="D4" s="106" t="s">
        <v>275</v>
      </c>
      <c r="E4" s="106"/>
      <c r="F4" s="106" t="s">
        <v>276</v>
      </c>
      <c r="G4" s="106"/>
      <c r="H4" s="106" t="s">
        <v>277</v>
      </c>
      <c r="I4" s="106"/>
      <c r="J4" s="106" t="s">
        <v>278</v>
      </c>
      <c r="K4" s="106"/>
    </row>
    <row r="5" spans="2:11" ht="12.75">
      <c r="B5" s="106" t="s">
        <v>228</v>
      </c>
      <c r="C5" s="108" t="s">
        <v>229</v>
      </c>
      <c r="D5" s="106" t="s">
        <v>228</v>
      </c>
      <c r="E5" s="108" t="s">
        <v>229</v>
      </c>
      <c r="F5" s="106" t="s">
        <v>228</v>
      </c>
      <c r="G5" s="108" t="s">
        <v>229</v>
      </c>
      <c r="H5" s="106" t="s">
        <v>228</v>
      </c>
      <c r="I5" s="108" t="s">
        <v>229</v>
      </c>
      <c r="J5" s="106" t="s">
        <v>228</v>
      </c>
      <c r="K5" s="108" t="s">
        <v>229</v>
      </c>
    </row>
    <row r="6" spans="1:11" ht="12.75">
      <c r="A6" s="44" t="s">
        <v>186</v>
      </c>
      <c r="B6" s="109">
        <v>-3116.43</v>
      </c>
      <c r="C6" s="107">
        <v>-3116.43</v>
      </c>
      <c r="D6" s="109">
        <v>-3116.43</v>
      </c>
      <c r="E6" s="107">
        <v>-3116.43</v>
      </c>
      <c r="F6" s="109">
        <v>-3116.43</v>
      </c>
      <c r="G6" s="107">
        <v>-3116.43</v>
      </c>
      <c r="H6" s="109">
        <v>-3116.43</v>
      </c>
      <c r="I6" s="107">
        <v>-3116.43</v>
      </c>
      <c r="J6" s="109">
        <v>-3116.43</v>
      </c>
      <c r="K6" s="107">
        <v>-3116.43</v>
      </c>
    </row>
    <row r="7" spans="1:11" ht="12.75">
      <c r="A7" s="44" t="s">
        <v>187</v>
      </c>
      <c r="B7" s="109">
        <v>-314693.61</v>
      </c>
      <c r="C7" s="107">
        <v>-306867.93</v>
      </c>
      <c r="D7" s="109">
        <v>-330344.97</v>
      </c>
      <c r="E7" s="107">
        <v>-322519.29</v>
      </c>
      <c r="F7" s="109">
        <v>-345996.33</v>
      </c>
      <c r="G7" s="107">
        <v>-338170.65</v>
      </c>
      <c r="H7" s="109">
        <v>-361647.69</v>
      </c>
      <c r="I7" s="107">
        <v>-353822.01</v>
      </c>
      <c r="J7" s="109">
        <v>-377299.05</v>
      </c>
      <c r="K7" s="107">
        <v>-369473.37</v>
      </c>
    </row>
    <row r="8" spans="1:11" ht="12.75">
      <c r="A8" s="44" t="s">
        <v>188</v>
      </c>
      <c r="B8" s="109">
        <v>-290058.13</v>
      </c>
      <c r="C8" s="107">
        <v>-273753.31</v>
      </c>
      <c r="D8" s="109">
        <v>-322667.77</v>
      </c>
      <c r="E8" s="107">
        <v>-306362.95</v>
      </c>
      <c r="F8" s="109">
        <v>-355277.41</v>
      </c>
      <c r="G8" s="107">
        <v>-338972.59</v>
      </c>
      <c r="H8" s="109">
        <v>-387887.05</v>
      </c>
      <c r="I8" s="107">
        <v>-371582.23</v>
      </c>
      <c r="J8" s="109">
        <v>-420496.69</v>
      </c>
      <c r="K8" s="107">
        <v>-404191.87</v>
      </c>
    </row>
    <row r="9" spans="1:11" ht="12.75">
      <c r="A9" s="44" t="s">
        <v>189</v>
      </c>
      <c r="B9" s="109">
        <v>-746471.18</v>
      </c>
      <c r="C9" s="107">
        <v>-542142.2915384616</v>
      </c>
      <c r="D9" s="109">
        <v>-8724531.32</v>
      </c>
      <c r="E9" s="107">
        <v>-7164606.0169230765</v>
      </c>
      <c r="F9" s="109">
        <v>-9610961.75</v>
      </c>
      <c r="G9" s="107">
        <v>-9200242.386923077</v>
      </c>
      <c r="H9" s="109">
        <v>-10578495.93</v>
      </c>
      <c r="I9" s="107">
        <v>-10083782.366153846</v>
      </c>
      <c r="J9" s="109">
        <v>-11723431.92</v>
      </c>
      <c r="K9" s="107">
        <v>-11112437.193846153</v>
      </c>
    </row>
    <row r="10" spans="1:11" ht="12.75">
      <c r="A10" s="44" t="s">
        <v>190</v>
      </c>
      <c r="B10" s="109">
        <v>0</v>
      </c>
      <c r="C10" s="107">
        <v>11067.81153846154</v>
      </c>
      <c r="D10" s="109">
        <v>3602.53</v>
      </c>
      <c r="E10" s="107">
        <v>13235.317692307694</v>
      </c>
      <c r="F10" s="109">
        <v>3602.53</v>
      </c>
      <c r="G10" s="107">
        <v>30497.903076923085</v>
      </c>
      <c r="H10" s="109">
        <v>3602.53</v>
      </c>
      <c r="I10" s="107">
        <v>3602.53</v>
      </c>
      <c r="J10" s="109">
        <v>3602.53</v>
      </c>
      <c r="K10" s="107">
        <v>3602.53</v>
      </c>
    </row>
    <row r="11" spans="1:11" ht="12.75">
      <c r="A11" s="44" t="s">
        <v>191</v>
      </c>
      <c r="B11" s="109">
        <v>-606008.58</v>
      </c>
      <c r="C11" s="107">
        <v>-587297.8307692308</v>
      </c>
      <c r="D11" s="109">
        <v>-644960.1</v>
      </c>
      <c r="E11" s="107">
        <v>-625484.34</v>
      </c>
      <c r="F11" s="109">
        <v>-685185.68</v>
      </c>
      <c r="G11" s="107">
        <v>-664693.1369230768</v>
      </c>
      <c r="H11" s="109">
        <v>-726933.2</v>
      </c>
      <c r="I11" s="107">
        <v>-706176.9523076923</v>
      </c>
      <c r="J11" s="109">
        <v>-820258.91</v>
      </c>
      <c r="K11" s="107">
        <v>-774312.663076923</v>
      </c>
    </row>
    <row r="12" spans="1:11" ht="12.75">
      <c r="A12" s="44" t="s">
        <v>192</v>
      </c>
      <c r="B12" s="109">
        <v>-2766233.5</v>
      </c>
      <c r="C12" s="107">
        <v>-2632899.476153846</v>
      </c>
      <c r="D12" s="109">
        <v>-3078607.47</v>
      </c>
      <c r="E12" s="107">
        <v>-2946331.9707692307</v>
      </c>
      <c r="F12" s="109">
        <v>-2782917.46</v>
      </c>
      <c r="G12" s="107">
        <v>-1980823.856923077</v>
      </c>
      <c r="H12" s="109">
        <v>-3172511.53</v>
      </c>
      <c r="I12" s="107">
        <v>-2977756.856923077</v>
      </c>
      <c r="J12" s="109">
        <v>-3522406.05</v>
      </c>
      <c r="K12" s="107">
        <v>-3352639.623076923</v>
      </c>
    </row>
    <row r="13" spans="1:11" ht="12.75">
      <c r="A13" s="44" t="s">
        <v>193</v>
      </c>
      <c r="B13" s="109">
        <v>-104386733.53</v>
      </c>
      <c r="C13" s="107">
        <v>-99941110.02615383</v>
      </c>
      <c r="D13" s="109">
        <v>-110976837.59</v>
      </c>
      <c r="E13" s="107">
        <v>-108334850.43615383</v>
      </c>
      <c r="F13" s="109">
        <v>-118254756.11</v>
      </c>
      <c r="G13" s="107">
        <v>-114569478.47</v>
      </c>
      <c r="H13" s="109">
        <v>-124277696.72</v>
      </c>
      <c r="I13" s="107">
        <v>-121808858.91615385</v>
      </c>
      <c r="J13" s="109">
        <v>-132167525.03</v>
      </c>
      <c r="K13" s="107">
        <v>-128213038.79307692</v>
      </c>
    </row>
    <row r="14" spans="1:11" ht="12.75">
      <c r="A14" s="44" t="s">
        <v>194</v>
      </c>
      <c r="B14" s="109">
        <v>-37343807.84</v>
      </c>
      <c r="C14" s="107">
        <v>-35466366.96307692</v>
      </c>
      <c r="D14" s="109">
        <v>-42080889.89</v>
      </c>
      <c r="E14" s="107">
        <v>-39632782.12615384</v>
      </c>
      <c r="F14" s="109">
        <v>-46989689.94</v>
      </c>
      <c r="G14" s="107">
        <v>-44543210.52230769</v>
      </c>
      <c r="H14" s="109">
        <v>-52554993.01</v>
      </c>
      <c r="I14" s="107">
        <v>-49717628.95076922</v>
      </c>
      <c r="J14" s="109">
        <v>-58751108.5</v>
      </c>
      <c r="K14" s="107">
        <v>-55571443.70076923</v>
      </c>
    </row>
    <row r="15" spans="1:11" ht="12.75">
      <c r="A15" s="44" t="s">
        <v>195</v>
      </c>
      <c r="B15" s="109">
        <v>-1037995.97</v>
      </c>
      <c r="C15" s="107">
        <v>-994844.2692307694</v>
      </c>
      <c r="D15" s="109">
        <v>-1051350.78</v>
      </c>
      <c r="E15" s="107">
        <v>-995260.6492307691</v>
      </c>
      <c r="F15" s="109">
        <v>-1224083.93</v>
      </c>
      <c r="G15" s="107">
        <v>-1134634.6453846155</v>
      </c>
      <c r="H15" s="109">
        <v>-1328070.59</v>
      </c>
      <c r="I15" s="107">
        <v>-1299308.7384615387</v>
      </c>
      <c r="J15" s="109">
        <v>-1477326.1</v>
      </c>
      <c r="K15" s="107">
        <v>-1397132.2576923077</v>
      </c>
    </row>
    <row r="16" spans="1:11" ht="12.75">
      <c r="A16" s="44" t="s">
        <v>196</v>
      </c>
      <c r="B16" s="109">
        <v>-136217.32</v>
      </c>
      <c r="C16" s="107">
        <v>-126368.56</v>
      </c>
      <c r="D16" s="109">
        <v>-140789.92</v>
      </c>
      <c r="E16" s="107">
        <v>-138503.62</v>
      </c>
      <c r="F16" s="109">
        <v>-134133.79</v>
      </c>
      <c r="G16" s="107">
        <v>-132889.84461538462</v>
      </c>
      <c r="H16" s="109">
        <v>-138284.23</v>
      </c>
      <c r="I16" s="107">
        <v>-136209.01</v>
      </c>
      <c r="J16" s="109">
        <v>-125654.59</v>
      </c>
      <c r="K16" s="107">
        <v>-137782.07384615386</v>
      </c>
    </row>
    <row r="17" spans="1:11" ht="12.75">
      <c r="A17" s="44" t="s">
        <v>197</v>
      </c>
      <c r="B17" s="109">
        <v>-1797829.46</v>
      </c>
      <c r="C17" s="107">
        <v>-1722532.117692308</v>
      </c>
      <c r="D17" s="109">
        <v>-1936211.67</v>
      </c>
      <c r="E17" s="107">
        <v>-1849180.3084615383</v>
      </c>
      <c r="F17" s="109">
        <v>-2095014.29</v>
      </c>
      <c r="G17" s="107">
        <v>-2005035.4592307692</v>
      </c>
      <c r="H17" s="109">
        <v>-2307017.81</v>
      </c>
      <c r="I17" s="107">
        <v>-2199665.186923077</v>
      </c>
      <c r="J17" s="109">
        <v>-2488329.05</v>
      </c>
      <c r="K17" s="107">
        <v>-2389018.1684615384</v>
      </c>
    </row>
    <row r="18" spans="1:11" ht="12.75">
      <c r="A18" s="44" t="s">
        <v>198</v>
      </c>
      <c r="B18" s="109">
        <v>-28843.5</v>
      </c>
      <c r="C18" s="107">
        <v>-26327.88</v>
      </c>
      <c r="D18" s="109">
        <v>-29747.22</v>
      </c>
      <c r="E18" s="107">
        <v>-29295.36</v>
      </c>
      <c r="F18" s="109">
        <v>-30650.94</v>
      </c>
      <c r="G18" s="107">
        <v>-30199.08</v>
      </c>
      <c r="H18" s="109">
        <v>-31554.66</v>
      </c>
      <c r="I18" s="107">
        <v>-31102.8</v>
      </c>
      <c r="J18" s="109">
        <v>-32458.38</v>
      </c>
      <c r="K18" s="107">
        <v>-32006.52</v>
      </c>
    </row>
    <row r="19" spans="1:11" ht="12.75">
      <c r="A19" s="44" t="s">
        <v>199</v>
      </c>
      <c r="B19" s="109">
        <v>-29144014.6</v>
      </c>
      <c r="C19" s="107">
        <v>-28630820.485384617</v>
      </c>
      <c r="D19" s="109">
        <v>-30304452.5</v>
      </c>
      <c r="E19" s="107">
        <v>-29728335.740000002</v>
      </c>
      <c r="F19" s="109">
        <v>-31041155.78</v>
      </c>
      <c r="G19" s="107">
        <v>-30598440.73692308</v>
      </c>
      <c r="H19" s="109">
        <v>-31834773.859999992</v>
      </c>
      <c r="I19" s="107">
        <v>-31410410.49692308</v>
      </c>
      <c r="J19" s="109">
        <v>-32861085.76</v>
      </c>
      <c r="K19" s="107">
        <v>-32357237.42076923</v>
      </c>
    </row>
    <row r="20" spans="1:11" ht="12.75">
      <c r="A20" s="44" t="s">
        <v>200</v>
      </c>
      <c r="B20" s="109">
        <v>-33790569.97</v>
      </c>
      <c r="C20" s="107">
        <v>-32213573.523076918</v>
      </c>
      <c r="D20" s="109">
        <v>-38123560.9</v>
      </c>
      <c r="E20" s="107">
        <v>-35924040.82307692</v>
      </c>
      <c r="F20" s="109">
        <v>-42566619.11</v>
      </c>
      <c r="G20" s="107">
        <v>-40314892.41538461</v>
      </c>
      <c r="H20" s="109">
        <v>-47082920.29</v>
      </c>
      <c r="I20" s="107">
        <v>-44750346.00538461</v>
      </c>
      <c r="J20" s="109">
        <v>-52273031.62</v>
      </c>
      <c r="K20" s="107">
        <v>-49709451.839999996</v>
      </c>
    </row>
    <row r="21" spans="1:11" ht="12.75">
      <c r="A21" s="44" t="s">
        <v>201</v>
      </c>
      <c r="B21" s="109">
        <v>-6016288.9</v>
      </c>
      <c r="C21" s="107">
        <v>-6785121.718461539</v>
      </c>
      <c r="D21" s="109">
        <v>-5795162.33</v>
      </c>
      <c r="E21" s="107">
        <v>-5875431.378461539</v>
      </c>
      <c r="F21" s="109">
        <v>-6256018.08</v>
      </c>
      <c r="G21" s="107">
        <v>-5874615.711538462</v>
      </c>
      <c r="H21" s="109">
        <v>-6416146.83</v>
      </c>
      <c r="I21" s="107">
        <v>-6228979.426923078</v>
      </c>
      <c r="J21" s="109">
        <v>-7675276.17</v>
      </c>
      <c r="K21" s="107">
        <v>-7069199.00153846</v>
      </c>
    </row>
    <row r="22" spans="1:11" ht="12.75">
      <c r="A22" s="44" t="s">
        <v>202</v>
      </c>
      <c r="B22" s="109">
        <v>-2176.19</v>
      </c>
      <c r="C22" s="107">
        <v>-2078.833076923077</v>
      </c>
      <c r="D22" s="109">
        <v>-2339.87</v>
      </c>
      <c r="E22" s="107">
        <v>-2258.03</v>
      </c>
      <c r="F22" s="109">
        <v>-2503.55</v>
      </c>
      <c r="G22" s="107">
        <v>-2421.71</v>
      </c>
      <c r="H22" s="109">
        <v>-2667.23</v>
      </c>
      <c r="I22" s="107">
        <v>-2585.39</v>
      </c>
      <c r="J22" s="109">
        <v>-2830.91</v>
      </c>
      <c r="K22" s="107">
        <v>-2749.07</v>
      </c>
    </row>
    <row r="23" spans="1:11" ht="12.75">
      <c r="A23" s="44" t="s">
        <v>203</v>
      </c>
      <c r="B23" s="109">
        <v>-9294233.06</v>
      </c>
      <c r="C23" s="107">
        <v>-8908308.833846154</v>
      </c>
      <c r="D23" s="109">
        <v>-9590750.44</v>
      </c>
      <c r="E23" s="107">
        <v>-9434669.076153846</v>
      </c>
      <c r="F23" s="109">
        <v>-10105883.35</v>
      </c>
      <c r="G23" s="107">
        <v>-9869227.313846154</v>
      </c>
      <c r="H23" s="109">
        <v>-10511715.01</v>
      </c>
      <c r="I23" s="107">
        <v>-10305406.216153845</v>
      </c>
      <c r="J23" s="109">
        <v>-11921976.22</v>
      </c>
      <c r="K23" s="107">
        <v>-11211027.456923077</v>
      </c>
    </row>
    <row r="24" spans="1:11" ht="12.75">
      <c r="A24" s="44" t="s">
        <v>204</v>
      </c>
      <c r="B24" s="109">
        <v>-3217049.68</v>
      </c>
      <c r="C24" s="107">
        <v>-3096440.553076923</v>
      </c>
      <c r="D24" s="109">
        <v>-3531640.89</v>
      </c>
      <c r="E24" s="107">
        <v>-3373671.702307692</v>
      </c>
      <c r="F24" s="109">
        <v>-3844596.07</v>
      </c>
      <c r="G24" s="107">
        <v>-3685001.67</v>
      </c>
      <c r="H24" s="109">
        <v>-4173424.33</v>
      </c>
      <c r="I24" s="107">
        <v>-4014146.3623076924</v>
      </c>
      <c r="J24" s="109">
        <v>-4550343.73</v>
      </c>
      <c r="K24" s="107">
        <v>-4370956.976923077</v>
      </c>
    </row>
    <row r="25" spans="1:11" ht="12.75">
      <c r="A25" s="44" t="s">
        <v>205</v>
      </c>
      <c r="B25" s="109">
        <v>-2786332.37</v>
      </c>
      <c r="C25" s="107">
        <v>-2743311.287692308</v>
      </c>
      <c r="D25" s="109">
        <v>-2960617.04</v>
      </c>
      <c r="E25" s="107">
        <v>-2886055.513846154</v>
      </c>
      <c r="F25" s="109">
        <v>-3158977.76</v>
      </c>
      <c r="G25" s="107">
        <v>-3080654.54</v>
      </c>
      <c r="H25" s="109">
        <v>-3385806.91</v>
      </c>
      <c r="I25" s="107">
        <v>-3269722.3538461546</v>
      </c>
      <c r="J25" s="109">
        <v>-3941245.68</v>
      </c>
      <c r="K25" s="107">
        <v>-3657581.340769231</v>
      </c>
    </row>
    <row r="26" spans="1:11" ht="12.75">
      <c r="A26" s="44" t="s">
        <v>206</v>
      </c>
      <c r="B26" s="109">
        <v>-2788229.73</v>
      </c>
      <c r="C26" s="107">
        <v>-2782921.072307692</v>
      </c>
      <c r="D26" s="109">
        <v>-2736320.45</v>
      </c>
      <c r="E26" s="107">
        <v>-2761433.3969230773</v>
      </c>
      <c r="F26" s="109">
        <v>-2885847.31</v>
      </c>
      <c r="G26" s="107">
        <v>-2772505.44</v>
      </c>
      <c r="H26" s="109">
        <v>-3155196.11</v>
      </c>
      <c r="I26" s="107">
        <v>-3019734.7784615387</v>
      </c>
      <c r="J26" s="109">
        <v>-3402649.75</v>
      </c>
      <c r="K26" s="107">
        <v>-3291490.357692308</v>
      </c>
    </row>
    <row r="27" spans="1:11" ht="12.75">
      <c r="A27" s="44" t="s">
        <v>271</v>
      </c>
      <c r="B27" s="109">
        <v>0</v>
      </c>
      <c r="C27" s="107">
        <v>0</v>
      </c>
      <c r="D27" s="109">
        <v>0</v>
      </c>
      <c r="E27" s="107">
        <v>0</v>
      </c>
      <c r="F27" s="109">
        <v>0</v>
      </c>
      <c r="G27" s="107">
        <v>0</v>
      </c>
      <c r="H27" s="109">
        <v>0</v>
      </c>
      <c r="I27" s="107">
        <v>0</v>
      </c>
      <c r="J27" s="109">
        <v>0</v>
      </c>
      <c r="K27" s="107">
        <v>0.00025641001187838043</v>
      </c>
    </row>
    <row r="28" spans="1:11" ht="12.75">
      <c r="A28" s="44" t="s">
        <v>272</v>
      </c>
      <c r="B28" s="109">
        <v>-432.84</v>
      </c>
      <c r="C28" s="107">
        <v>-66.59076923076923</v>
      </c>
      <c r="D28" s="109">
        <v>-4761.19</v>
      </c>
      <c r="E28" s="107">
        <v>-2264.047692307692</v>
      </c>
      <c r="F28" s="109">
        <v>-9955.27</v>
      </c>
      <c r="G28" s="107">
        <v>-7358.23</v>
      </c>
      <c r="H28" s="109">
        <v>-15149.35</v>
      </c>
      <c r="I28" s="107">
        <v>-12552.31</v>
      </c>
      <c r="J28" s="109">
        <v>0</v>
      </c>
      <c r="K28" s="107">
        <v>-2363.9646153846156</v>
      </c>
    </row>
    <row r="29" spans="1:11" ht="12.75">
      <c r="A29" s="44" t="s">
        <v>207</v>
      </c>
      <c r="B29" s="109">
        <v>-284671.09</v>
      </c>
      <c r="C29" s="107">
        <v>-270023.76615384617</v>
      </c>
      <c r="D29" s="109">
        <v>0</v>
      </c>
      <c r="E29" s="107">
        <v>-21897.776153846156</v>
      </c>
      <c r="F29" s="109">
        <v>0</v>
      </c>
      <c r="G29" s="107">
        <v>0</v>
      </c>
      <c r="H29" s="109">
        <v>0</v>
      </c>
      <c r="I29" s="107">
        <v>0</v>
      </c>
      <c r="J29" s="109">
        <v>0</v>
      </c>
      <c r="K29" s="107">
        <v>0.00025641001187838043</v>
      </c>
    </row>
    <row r="30" spans="1:11" ht="12.75">
      <c r="A30" s="44" t="s">
        <v>208</v>
      </c>
      <c r="B30" s="109">
        <v>-553203.37</v>
      </c>
      <c r="C30" s="107">
        <v>-506743.3992307692</v>
      </c>
      <c r="D30" s="109">
        <v>-625278.62</v>
      </c>
      <c r="E30" s="107">
        <v>-607842.3546153846</v>
      </c>
      <c r="F30" s="109">
        <v>-680824.56</v>
      </c>
      <c r="G30" s="107">
        <v>-636695.7484615385</v>
      </c>
      <c r="H30" s="109">
        <v>-800733.56</v>
      </c>
      <c r="I30" s="107">
        <v>-743767.8553846154</v>
      </c>
      <c r="J30" s="109">
        <v>-912496.04</v>
      </c>
      <c r="K30" s="107">
        <v>-865933.6907692308</v>
      </c>
    </row>
    <row r="31" spans="1:11" ht="12.75">
      <c r="A31" s="44" t="s">
        <v>209</v>
      </c>
      <c r="B31" s="109">
        <v>-138021.37</v>
      </c>
      <c r="C31" s="107">
        <v>-166457.7146153846</v>
      </c>
      <c r="D31" s="109">
        <v>-142494.41</v>
      </c>
      <c r="E31" s="107">
        <v>-148951.69769230767</v>
      </c>
      <c r="F31" s="109">
        <v>-170281.5</v>
      </c>
      <c r="G31" s="107">
        <v>-156104.6053846154</v>
      </c>
      <c r="H31" s="109">
        <v>-201029.4</v>
      </c>
      <c r="I31" s="107">
        <v>-185365.75230769228</v>
      </c>
      <c r="J31" s="109">
        <v>-232789.08</v>
      </c>
      <c r="K31" s="107">
        <v>-216909.24</v>
      </c>
    </row>
    <row r="32" spans="1:11" ht="12.75">
      <c r="A32" s="44" t="s">
        <v>210</v>
      </c>
      <c r="B32" s="109">
        <v>-28215.79</v>
      </c>
      <c r="C32" s="107">
        <v>-28215.79</v>
      </c>
      <c r="D32" s="109">
        <v>-28215.79</v>
      </c>
      <c r="E32" s="107">
        <v>-28215.79</v>
      </c>
      <c r="F32" s="109">
        <v>-29094.29</v>
      </c>
      <c r="G32" s="107">
        <v>-28587.46307692308</v>
      </c>
      <c r="H32" s="109">
        <v>-30148.49</v>
      </c>
      <c r="I32" s="107">
        <v>-29621.39</v>
      </c>
      <c r="J32" s="109">
        <v>8043.78</v>
      </c>
      <c r="K32" s="107">
        <v>-18636.510769230772</v>
      </c>
    </row>
    <row r="33" spans="1:11" ht="12.75">
      <c r="A33" s="44" t="s">
        <v>211</v>
      </c>
      <c r="B33" s="109">
        <v>-404389.29</v>
      </c>
      <c r="C33" s="107">
        <v>-322982.5392307692</v>
      </c>
      <c r="D33" s="109">
        <v>-670538.22</v>
      </c>
      <c r="E33" s="107">
        <v>-538026.8492307693</v>
      </c>
      <c r="F33" s="109">
        <v>-736484.56</v>
      </c>
      <c r="G33" s="107">
        <v>-778021.0307692308</v>
      </c>
      <c r="H33" s="109">
        <v>-1000176.56</v>
      </c>
      <c r="I33" s="107">
        <v>-859948.1546153848</v>
      </c>
      <c r="J33" s="109">
        <v>-1185864.26</v>
      </c>
      <c r="K33" s="107">
        <v>-1128265.4746153846</v>
      </c>
    </row>
    <row r="34" spans="1:11" ht="12.75">
      <c r="A34" s="44" t="s">
        <v>212</v>
      </c>
      <c r="B34" s="109">
        <v>-11163846.25</v>
      </c>
      <c r="C34" s="107">
        <v>-10508233.925384615</v>
      </c>
      <c r="D34" s="109">
        <v>-5393216.91</v>
      </c>
      <c r="E34" s="107">
        <v>-6235156.853076924</v>
      </c>
      <c r="F34" s="109">
        <v>-5309142.19</v>
      </c>
      <c r="G34" s="107">
        <v>-5766657.065384616</v>
      </c>
      <c r="H34" s="109">
        <v>-6878699.77</v>
      </c>
      <c r="I34" s="107">
        <v>-6067882.53076923</v>
      </c>
      <c r="J34" s="109">
        <v>-6611390.39</v>
      </c>
      <c r="K34" s="107">
        <v>-7459336.420000001</v>
      </c>
    </row>
    <row r="35" spans="1:11" ht="12.75">
      <c r="A35" s="44" t="s">
        <v>213</v>
      </c>
      <c r="B35" s="109">
        <v>-209853.57</v>
      </c>
      <c r="C35" s="107">
        <v>-213306.87384615385</v>
      </c>
      <c r="D35" s="109">
        <v>-222146.47</v>
      </c>
      <c r="E35" s="107">
        <v>-224568.43153846153</v>
      </c>
      <c r="F35" s="109">
        <v>-235433.45</v>
      </c>
      <c r="G35" s="107">
        <v>-222637.84538461542</v>
      </c>
      <c r="H35" s="109">
        <v>-284485.63</v>
      </c>
      <c r="I35" s="107">
        <v>-267103.1969230769</v>
      </c>
      <c r="J35" s="109">
        <v>-269741.7</v>
      </c>
      <c r="K35" s="107">
        <v>-295725.3284615385</v>
      </c>
    </row>
    <row r="36" spans="1:11" ht="12.75">
      <c r="A36" s="44" t="s">
        <v>214</v>
      </c>
      <c r="B36" s="109">
        <v>-140150.29</v>
      </c>
      <c r="C36" s="107">
        <v>-435434.13692307693</v>
      </c>
      <c r="D36" s="109">
        <v>0</v>
      </c>
      <c r="E36" s="107">
        <v>-86246.33230769231</v>
      </c>
      <c r="F36" s="109">
        <v>0</v>
      </c>
      <c r="G36" s="107">
        <v>0</v>
      </c>
      <c r="H36" s="109">
        <v>0</v>
      </c>
      <c r="I36" s="107">
        <v>0</v>
      </c>
      <c r="J36" s="109">
        <v>0</v>
      </c>
      <c r="K36" s="107">
        <v>0.00025641001187838043</v>
      </c>
    </row>
    <row r="37" spans="1:11" ht="12.75">
      <c r="A37" s="44" t="s">
        <v>215</v>
      </c>
      <c r="B37" s="109">
        <v>-1188910.1</v>
      </c>
      <c r="C37" s="107">
        <v>-1419323.6084615386</v>
      </c>
      <c r="D37" s="109">
        <v>-2924272.97</v>
      </c>
      <c r="E37" s="107">
        <v>-2252231.8984615384</v>
      </c>
      <c r="F37" s="109">
        <v>-2947467.64</v>
      </c>
      <c r="G37" s="107">
        <v>-2993311.429230769</v>
      </c>
      <c r="H37" s="109">
        <v>-3013438.59</v>
      </c>
      <c r="I37" s="107">
        <v>-2875581.4969230774</v>
      </c>
      <c r="J37" s="109">
        <v>-3252869.45</v>
      </c>
      <c r="K37" s="107">
        <v>-3156275.2615384613</v>
      </c>
    </row>
    <row r="38" spans="1:11" ht="12.75">
      <c r="A38" s="44" t="s">
        <v>216</v>
      </c>
      <c r="B38" s="109">
        <v>-510446.26</v>
      </c>
      <c r="C38" s="107">
        <v>-387778.42076923075</v>
      </c>
      <c r="D38" s="109">
        <v>-586676.56</v>
      </c>
      <c r="E38" s="107">
        <v>-505438.2861538461</v>
      </c>
      <c r="F38" s="109">
        <v>-906736.18</v>
      </c>
      <c r="G38" s="107">
        <v>-744633.8923076923</v>
      </c>
      <c r="H38" s="109">
        <v>-1183701.51</v>
      </c>
      <c r="I38" s="107">
        <v>-1040656.4676923075</v>
      </c>
      <c r="J38" s="109">
        <v>-1538147.58</v>
      </c>
      <c r="K38" s="107">
        <v>-1363956.8084615383</v>
      </c>
    </row>
    <row r="39" spans="1:11" ht="12.75">
      <c r="A39" s="44" t="s">
        <v>217</v>
      </c>
      <c r="B39" s="109">
        <v>-533549.11</v>
      </c>
      <c r="C39" s="107">
        <v>-343613.05</v>
      </c>
      <c r="D39" s="109">
        <v>-123633.43</v>
      </c>
      <c r="E39" s="107">
        <v>-230044.15461538464</v>
      </c>
      <c r="F39" s="109">
        <v>-226162.75</v>
      </c>
      <c r="G39" s="107">
        <v>-174898.09</v>
      </c>
      <c r="H39" s="109">
        <v>-328692.07</v>
      </c>
      <c r="I39" s="107">
        <v>-277427.41</v>
      </c>
      <c r="J39" s="109">
        <v>-432220.28</v>
      </c>
      <c r="K39" s="107">
        <v>-380424.43769230775</v>
      </c>
    </row>
    <row r="40" spans="1:11" ht="12.75">
      <c r="A40" s="44" t="s">
        <v>218</v>
      </c>
      <c r="B40" s="109">
        <v>-115864.45</v>
      </c>
      <c r="C40" s="107">
        <v>-113549.73461538462</v>
      </c>
      <c r="D40" s="109">
        <v>-126399.17</v>
      </c>
      <c r="E40" s="107">
        <v>-121095.31076923077</v>
      </c>
      <c r="F40" s="109">
        <v>-135080.14</v>
      </c>
      <c r="G40" s="107">
        <v>-130177.42846153848</v>
      </c>
      <c r="H40" s="109">
        <v>-138431.09</v>
      </c>
      <c r="I40" s="107">
        <v>-136275.31</v>
      </c>
      <c r="J40" s="109">
        <v>-141520.2</v>
      </c>
      <c r="K40" s="107">
        <v>-139805.48923076922</v>
      </c>
    </row>
    <row r="41" spans="1:11" ht="12.75">
      <c r="A41" s="44" t="s">
        <v>219</v>
      </c>
      <c r="B41" s="109">
        <v>-571974.3</v>
      </c>
      <c r="C41" s="107">
        <v>-605223.4438461539</v>
      </c>
      <c r="D41" s="109">
        <v>-519291.51</v>
      </c>
      <c r="E41" s="107">
        <v>-521392.39153846144</v>
      </c>
      <c r="F41" s="109">
        <v>-516547.32</v>
      </c>
      <c r="G41" s="107">
        <v>-529518.9953846155</v>
      </c>
      <c r="H41" s="109">
        <v>-558528.42</v>
      </c>
      <c r="I41" s="107">
        <v>-531381.0792307693</v>
      </c>
      <c r="J41" s="109">
        <v>-537237.38</v>
      </c>
      <c r="K41" s="107">
        <v>-538433.2876923076</v>
      </c>
    </row>
    <row r="42" spans="1:11" ht="12.75">
      <c r="A42" s="44" t="s">
        <v>220</v>
      </c>
      <c r="B42" s="109">
        <v>-60728.57</v>
      </c>
      <c r="C42" s="107">
        <v>-60460.126923076925</v>
      </c>
      <c r="D42" s="109">
        <v>-57631.93</v>
      </c>
      <c r="E42" s="107">
        <v>-59828.272307692314</v>
      </c>
      <c r="F42" s="109">
        <v>-53514.89</v>
      </c>
      <c r="G42" s="107">
        <v>-54332.25615384615</v>
      </c>
      <c r="H42" s="109">
        <v>-54007.85</v>
      </c>
      <c r="I42" s="107">
        <v>-53761.37</v>
      </c>
      <c r="J42" s="109">
        <v>-53790.5</v>
      </c>
      <c r="K42" s="107">
        <v>-54145.05153846154</v>
      </c>
    </row>
    <row r="43" spans="1:11" ht="12.75">
      <c r="A43" s="44" t="s">
        <v>221</v>
      </c>
      <c r="B43" s="109">
        <v>-1975306.09</v>
      </c>
      <c r="C43" s="107">
        <v>-1865065.1884615382</v>
      </c>
      <c r="D43" s="109">
        <v>-1878374.36</v>
      </c>
      <c r="E43" s="107">
        <v>-1901197.2315384613</v>
      </c>
      <c r="F43" s="109">
        <v>-1861849.76</v>
      </c>
      <c r="G43" s="107">
        <v>-1845857.0553846157</v>
      </c>
      <c r="H43" s="109">
        <v>-2064944.19</v>
      </c>
      <c r="I43" s="107">
        <v>-1965205.8153846152</v>
      </c>
      <c r="J43" s="109">
        <v>-2245965.61</v>
      </c>
      <c r="K43" s="107">
        <v>-2165107.466153846</v>
      </c>
    </row>
    <row r="44" spans="1:11" ht="12.75">
      <c r="A44" s="44" t="s">
        <v>222</v>
      </c>
      <c r="B44" s="109">
        <v>-92856.18</v>
      </c>
      <c r="C44" s="107">
        <v>-87162.96</v>
      </c>
      <c r="D44" s="109">
        <v>-104142.35</v>
      </c>
      <c r="E44" s="107">
        <v>-98503.32692307692</v>
      </c>
      <c r="F44" s="109">
        <v>-115463.75</v>
      </c>
      <c r="G44" s="107">
        <v>-109803.05</v>
      </c>
      <c r="H44" s="109">
        <v>-126785.15</v>
      </c>
      <c r="I44" s="107">
        <v>-121124.45</v>
      </c>
      <c r="J44" s="109">
        <v>-138106.55</v>
      </c>
      <c r="K44" s="107">
        <v>-132445.85</v>
      </c>
    </row>
    <row r="45" spans="1:11" ht="12.75">
      <c r="A45" s="44" t="s">
        <v>223</v>
      </c>
      <c r="B45" s="109">
        <v>119663.14</v>
      </c>
      <c r="C45" s="107">
        <v>122962.3</v>
      </c>
      <c r="D45" s="109">
        <v>-37239.98</v>
      </c>
      <c r="E45" s="107">
        <v>12411.003076923073</v>
      </c>
      <c r="F45" s="109">
        <v>-44380.1</v>
      </c>
      <c r="G45" s="107">
        <v>-40810.04</v>
      </c>
      <c r="H45" s="109">
        <v>-50481.62</v>
      </c>
      <c r="I45" s="107">
        <v>-47544.64076923077</v>
      </c>
      <c r="J45" s="109">
        <v>23691.46</v>
      </c>
      <c r="K45" s="107">
        <v>-41095.28692307692</v>
      </c>
    </row>
    <row r="46" spans="1:11" ht="12.75">
      <c r="A46" s="44" t="s">
        <v>224</v>
      </c>
      <c r="B46" s="109">
        <v>-1097079.34</v>
      </c>
      <c r="C46" s="107">
        <v>-1085040.3284615385</v>
      </c>
      <c r="D46" s="109">
        <v>-1152218.78</v>
      </c>
      <c r="E46" s="107">
        <v>-1137246.3084615385</v>
      </c>
      <c r="F46" s="109">
        <v>-1190318.76</v>
      </c>
      <c r="G46" s="107">
        <v>-1167355.7438461538</v>
      </c>
      <c r="H46" s="109">
        <v>-1289356.14</v>
      </c>
      <c r="I46" s="107">
        <v>-1237670.9876923077</v>
      </c>
      <c r="J46" s="109">
        <v>-1221103.36</v>
      </c>
      <c r="K46" s="107">
        <v>-1249764.85</v>
      </c>
    </row>
    <row r="47" spans="1:11" ht="12.75">
      <c r="A47" s="44" t="s">
        <v>225</v>
      </c>
      <c r="B47" s="109">
        <v>-1159065.89</v>
      </c>
      <c r="C47" s="107">
        <v>-1022375.3192307691</v>
      </c>
      <c r="D47" s="109">
        <v>-897279.06</v>
      </c>
      <c r="E47" s="107">
        <v>-764226.246923077</v>
      </c>
      <c r="F47" s="109">
        <v>-1195646.82</v>
      </c>
      <c r="G47" s="107">
        <v>-996428.7</v>
      </c>
      <c r="H47" s="109">
        <v>-1618761.03</v>
      </c>
      <c r="I47" s="107">
        <v>-1396256.1861538463</v>
      </c>
      <c r="J47" s="109">
        <v>-1888228.8</v>
      </c>
      <c r="K47" s="107">
        <v>-1821210.563846154</v>
      </c>
    </row>
    <row r="48" spans="1:11" ht="12.75">
      <c r="A48" s="44" t="s">
        <v>226</v>
      </c>
      <c r="B48" s="109">
        <v>-204342.54</v>
      </c>
      <c r="C48" s="107">
        <v>-195879.42</v>
      </c>
      <c r="D48" s="109">
        <v>-215903.95</v>
      </c>
      <c r="E48" s="107">
        <v>-209994.91307692308</v>
      </c>
      <c r="F48" s="109">
        <v>-213552.01</v>
      </c>
      <c r="G48" s="107">
        <v>-220735.60769230773</v>
      </c>
      <c r="H48" s="109">
        <v>-226082.1</v>
      </c>
      <c r="I48" s="107">
        <v>-219818.55692307695</v>
      </c>
      <c r="J48" s="109">
        <v>-236448.22</v>
      </c>
      <c r="K48" s="107">
        <v>-230343.39769230768</v>
      </c>
    </row>
    <row r="49" spans="1:11" ht="12.75">
      <c r="A49" s="44" t="s">
        <v>232</v>
      </c>
      <c r="B49" s="109">
        <v>-9431.75</v>
      </c>
      <c r="C49" s="107">
        <v>-6744.4353846153845</v>
      </c>
      <c r="D49" s="109">
        <v>-9996.38</v>
      </c>
      <c r="E49" s="107">
        <v>-7999.726153846154</v>
      </c>
      <c r="F49" s="109">
        <v>-58759.35</v>
      </c>
      <c r="G49" s="107">
        <v>-45241.073846153835</v>
      </c>
      <c r="H49" s="109">
        <v>-118501.07</v>
      </c>
      <c r="I49" s="107">
        <v>-87997.68769230769</v>
      </c>
      <c r="J49" s="109">
        <v>-72293.76</v>
      </c>
      <c r="K49" s="107">
        <v>-132535.63461538462</v>
      </c>
    </row>
    <row r="50" spans="1:11" ht="12.75">
      <c r="A50" s="44" t="s">
        <v>233</v>
      </c>
      <c r="B50" s="109">
        <v>-5512.53</v>
      </c>
      <c r="C50" s="107">
        <v>-7339.468461538461</v>
      </c>
      <c r="D50" s="109">
        <v>9725.21</v>
      </c>
      <c r="E50" s="107">
        <v>1721.5607692307692</v>
      </c>
      <c r="F50" s="109">
        <v>18181.04</v>
      </c>
      <c r="G50" s="107">
        <v>17338.531538461542</v>
      </c>
      <c r="H50" s="109">
        <v>6585.95</v>
      </c>
      <c r="I50" s="107">
        <v>934.6107692307692</v>
      </c>
      <c r="J50" s="109">
        <v>-24979.76</v>
      </c>
      <c r="K50" s="107">
        <v>-2153.74</v>
      </c>
    </row>
    <row r="51" spans="1:11" ht="12.75">
      <c r="A51" s="45" t="s">
        <v>234</v>
      </c>
      <c r="B51" s="107">
        <v>-256825091.38</v>
      </c>
      <c r="C51" s="107">
        <v>-247303193.52076924</v>
      </c>
      <c r="D51" s="107">
        <v>-278071283.8500001</v>
      </c>
      <c r="E51" s="107">
        <v>-268009189.47615382</v>
      </c>
      <c r="F51" s="107">
        <v>-298988296.7899999</v>
      </c>
      <c r="G51" s="107">
        <v>-287740555.52615386</v>
      </c>
      <c r="H51" s="107">
        <v>-322402804.5299999</v>
      </c>
      <c r="I51" s="107">
        <v>-310842746.9853846</v>
      </c>
      <c r="J51" s="107">
        <v>-349497705.6900001</v>
      </c>
      <c r="K51" s="107">
        <v>-336817551.35230774</v>
      </c>
    </row>
    <row r="52" spans="1:11" ht="12.75">
      <c r="A52" s="45" t="s">
        <v>235</v>
      </c>
      <c r="B52" s="47">
        <f>ROUND(+B51/1000,0)</f>
        <v>-256825</v>
      </c>
      <c r="C52" s="47">
        <f aca="true" t="shared" si="0" ref="C52:K52">ROUND(+C51/1000,0)</f>
        <v>-247303</v>
      </c>
      <c r="D52" s="47">
        <f t="shared" si="0"/>
        <v>-278071</v>
      </c>
      <c r="E52" s="47">
        <f t="shared" si="0"/>
        <v>-268009</v>
      </c>
      <c r="F52" s="47">
        <f t="shared" si="0"/>
        <v>-298988</v>
      </c>
      <c r="G52" s="47">
        <f t="shared" si="0"/>
        <v>-287741</v>
      </c>
      <c r="H52" s="47">
        <f t="shared" si="0"/>
        <v>-322403</v>
      </c>
      <c r="I52" s="47">
        <f t="shared" si="0"/>
        <v>-310843</v>
      </c>
      <c r="J52" s="47">
        <f t="shared" si="0"/>
        <v>-349498</v>
      </c>
      <c r="K52" s="47">
        <f t="shared" si="0"/>
        <v>-336818</v>
      </c>
    </row>
    <row r="53" spans="1:11" ht="12.75">
      <c r="A53" s="45" t="s">
        <v>279</v>
      </c>
      <c r="B53" s="46">
        <v>-257960</v>
      </c>
      <c r="C53" s="46">
        <v>-248471</v>
      </c>
      <c r="D53" s="46">
        <v>-279100</v>
      </c>
      <c r="E53" s="46">
        <v>-269186</v>
      </c>
      <c r="F53" s="46">
        <v>-300326</v>
      </c>
      <c r="G53" s="46">
        <v>-290199</v>
      </c>
      <c r="H53" s="46">
        <v>-324131</v>
      </c>
      <c r="I53" s="46">
        <v>-312418</v>
      </c>
      <c r="J53" s="46">
        <v>-351113</v>
      </c>
      <c r="K53" s="46">
        <v>-338542</v>
      </c>
    </row>
    <row r="54" spans="1:11" ht="12.75">
      <c r="A54" s="49" t="s">
        <v>231</v>
      </c>
      <c r="B54" s="48">
        <f>+B52-B53</f>
        <v>1135</v>
      </c>
      <c r="C54" s="48">
        <f aca="true" t="shared" si="1" ref="C54:K54">+C52-C53</f>
        <v>1168</v>
      </c>
      <c r="D54" s="48">
        <f t="shared" si="1"/>
        <v>1029</v>
      </c>
      <c r="E54" s="48">
        <f t="shared" si="1"/>
        <v>1177</v>
      </c>
      <c r="F54" s="48">
        <f t="shared" si="1"/>
        <v>1338</v>
      </c>
      <c r="G54" s="48">
        <f t="shared" si="1"/>
        <v>2458</v>
      </c>
      <c r="H54" s="48">
        <f t="shared" si="1"/>
        <v>1728</v>
      </c>
      <c r="I54" s="48">
        <f t="shared" si="1"/>
        <v>1575</v>
      </c>
      <c r="J54" s="48">
        <f t="shared" si="1"/>
        <v>1615</v>
      </c>
      <c r="K54" s="48">
        <f t="shared" si="1"/>
        <v>1724</v>
      </c>
    </row>
    <row r="55" ht="12.75">
      <c r="A55" s="45"/>
    </row>
    <row r="56" spans="1:3" ht="12.75">
      <c r="A56" s="70"/>
      <c r="B56" s="48"/>
      <c r="C56" s="48"/>
    </row>
    <row r="57" spans="2:3" ht="12.75">
      <c r="B57" s="48"/>
      <c r="C57" s="48"/>
    </row>
    <row r="58" ht="12.75">
      <c r="A58" s="45"/>
    </row>
  </sheetData>
  <printOptions/>
  <pageMargins left="0.25" right="0.25" top="0.5" bottom="0.5" header="0.5" footer="0.25"/>
  <pageSetup fitToHeight="1" fitToWidth="1" horizontalDpi="600" verticalDpi="600" orientation="landscape" scale="73" r:id="rId3"/>
  <headerFooter alignWithMargins="0">
    <oddFooter>&amp;L&amp;F&amp;R&amp;D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E45" sqref="E45"/>
    </sheetView>
  </sheetViews>
  <sheetFormatPr defaultColWidth="9.140625" defaultRowHeight="12.75"/>
  <cols>
    <col min="1" max="1" width="32.421875" style="0" bestFit="1" customWidth="1"/>
    <col min="2" max="4" width="15.140625" style="0" bestFit="1" customWidth="1"/>
    <col min="5" max="6" width="11.28125" style="0" bestFit="1" customWidth="1"/>
  </cols>
  <sheetData>
    <row r="1" ht="12.75">
      <c r="A1" s="110" t="s">
        <v>345</v>
      </c>
    </row>
    <row r="2" spans="1:3" ht="12.75" customHeight="1">
      <c r="A2" s="45" t="s">
        <v>238</v>
      </c>
      <c r="B2" s="44" t="s">
        <v>239</v>
      </c>
      <c r="C2" s="106" t="s">
        <v>343</v>
      </c>
    </row>
    <row r="3" spans="4:8" ht="12.75">
      <c r="D3" s="144" t="s">
        <v>351</v>
      </c>
      <c r="E3" s="145"/>
      <c r="F3" s="145"/>
      <c r="G3" s="145"/>
      <c r="H3" s="145"/>
    </row>
    <row r="4" spans="2:6" ht="12.75">
      <c r="B4" s="134" t="s">
        <v>280</v>
      </c>
      <c r="C4" s="134" t="s">
        <v>268</v>
      </c>
      <c r="D4" s="124" t="s">
        <v>269</v>
      </c>
      <c r="E4" s="124" t="s">
        <v>270</v>
      </c>
      <c r="F4" s="124" t="s">
        <v>338</v>
      </c>
    </row>
    <row r="5" spans="1:7" ht="12.75">
      <c r="A5" s="44" t="s">
        <v>240</v>
      </c>
      <c r="B5" s="107">
        <v>30910780</v>
      </c>
      <c r="C5" s="107">
        <v>32213318</v>
      </c>
      <c r="D5" s="135">
        <v>33118795</v>
      </c>
      <c r="E5" s="135">
        <v>34313246.03</v>
      </c>
      <c r="F5" s="135">
        <v>37976430</v>
      </c>
      <c r="G5" s="47"/>
    </row>
    <row r="6" spans="1:7" ht="12.75">
      <c r="A6" s="44" t="s">
        <v>241</v>
      </c>
      <c r="B6" s="107">
        <v>1018291</v>
      </c>
      <c r="C6" s="107">
        <v>1065040</v>
      </c>
      <c r="D6" s="135">
        <v>1108530</v>
      </c>
      <c r="E6" s="135">
        <v>1310965.53</v>
      </c>
      <c r="F6" s="135">
        <v>1181459</v>
      </c>
      <c r="G6" s="47"/>
    </row>
    <row r="7" spans="1:7" ht="12.75">
      <c r="A7" s="44" t="s">
        <v>242</v>
      </c>
      <c r="B7" s="107">
        <v>156372</v>
      </c>
      <c r="C7" s="107">
        <v>156372</v>
      </c>
      <c r="D7" s="135">
        <v>156372</v>
      </c>
      <c r="E7" s="135">
        <v>156371.64</v>
      </c>
      <c r="F7" s="135">
        <v>156372</v>
      </c>
      <c r="G7" s="47"/>
    </row>
    <row r="8" spans="1:7" ht="12.75">
      <c r="A8" s="44" t="s">
        <v>243</v>
      </c>
      <c r="B8" s="107">
        <v>639996</v>
      </c>
      <c r="C8" s="107">
        <v>639996</v>
      </c>
      <c r="D8" s="135">
        <v>639996</v>
      </c>
      <c r="E8" s="135">
        <v>639996</v>
      </c>
      <c r="F8" s="135">
        <v>639996</v>
      </c>
      <c r="G8" s="47"/>
    </row>
    <row r="9" spans="1:7" ht="12.75">
      <c r="A9" s="44" t="s">
        <v>244</v>
      </c>
      <c r="B9" s="107">
        <v>24120702</v>
      </c>
      <c r="C9" s="107">
        <v>25162406</v>
      </c>
      <c r="D9" s="135">
        <v>28022436</v>
      </c>
      <c r="E9" s="135">
        <v>34284150.8</v>
      </c>
      <c r="F9" s="135">
        <v>34256474</v>
      </c>
      <c r="G9" s="47"/>
    </row>
    <row r="10" spans="1:6" ht="12.75">
      <c r="A10" s="45" t="s">
        <v>346</v>
      </c>
      <c r="B10" s="100">
        <v>15169103</v>
      </c>
      <c r="C10" s="100">
        <v>8975583</v>
      </c>
      <c r="D10" s="135">
        <v>15434451</v>
      </c>
      <c r="E10" s="135">
        <v>20560242</v>
      </c>
      <c r="F10" s="135">
        <v>13306833</v>
      </c>
    </row>
    <row r="11" spans="1:6" ht="12.75">
      <c r="A11" s="45" t="s">
        <v>347</v>
      </c>
      <c r="B11" s="100">
        <v>2405413</v>
      </c>
      <c r="C11" s="100">
        <v>1494860</v>
      </c>
      <c r="D11" s="135">
        <v>2579354</v>
      </c>
      <c r="E11" s="135">
        <v>3401230</v>
      </c>
      <c r="F11" s="135">
        <v>2231055</v>
      </c>
    </row>
    <row r="12" spans="1:6" ht="12.75">
      <c r="A12" s="45" t="s">
        <v>328</v>
      </c>
      <c r="B12" s="100">
        <v>-2012395</v>
      </c>
      <c r="C12" s="100">
        <v>5834684</v>
      </c>
      <c r="D12" s="135">
        <v>331265</v>
      </c>
      <c r="E12" s="135">
        <v>-5472292</v>
      </c>
      <c r="F12" s="135">
        <v>-721248</v>
      </c>
    </row>
    <row r="13" spans="1:6" ht="12.75">
      <c r="A13" s="45" t="s">
        <v>329</v>
      </c>
      <c r="B13" s="100">
        <v>-334638</v>
      </c>
      <c r="C13" s="100">
        <v>970241</v>
      </c>
      <c r="D13" s="135">
        <v>55084</v>
      </c>
      <c r="E13" s="135">
        <v>-909975</v>
      </c>
      <c r="F13" s="135">
        <v>-119935</v>
      </c>
    </row>
    <row r="14" spans="1:6" ht="12.75">
      <c r="A14" s="115" t="s">
        <v>330</v>
      </c>
      <c r="B14" s="100">
        <v>-43392</v>
      </c>
      <c r="C14" s="100">
        <v>-43392</v>
      </c>
      <c r="D14" s="118">
        <v>-43392</v>
      </c>
      <c r="E14" s="118">
        <v>-43392</v>
      </c>
      <c r="F14" s="118">
        <v>-43392</v>
      </c>
    </row>
    <row r="15" spans="1:6" ht="12.75">
      <c r="A15" s="115" t="s">
        <v>331</v>
      </c>
      <c r="B15" s="136">
        <v>39259465</v>
      </c>
      <c r="C15" s="136">
        <v>42708028</v>
      </c>
      <c r="D15" s="109">
        <v>44624506</v>
      </c>
      <c r="E15" s="109">
        <v>43404459</v>
      </c>
      <c r="F15" s="109">
        <v>40921149</v>
      </c>
    </row>
    <row r="17" ht="12.75">
      <c r="A17" s="110" t="s">
        <v>342</v>
      </c>
    </row>
    <row r="18" spans="1:4" ht="11.25" customHeight="1">
      <c r="A18" s="97" t="s">
        <v>239</v>
      </c>
      <c r="B18" s="97" t="s">
        <v>343</v>
      </c>
      <c r="C18" s="96" t="s">
        <v>238</v>
      </c>
      <c r="D18" s="111"/>
    </row>
    <row r="20" ht="12.75">
      <c r="B20" s="94" t="s">
        <v>338</v>
      </c>
    </row>
    <row r="21" spans="1:2" ht="12.75">
      <c r="A21" s="94" t="s">
        <v>251</v>
      </c>
      <c r="B21" s="128">
        <v>43929</v>
      </c>
    </row>
    <row r="22" spans="1:2" ht="12.75">
      <c r="A22" s="94" t="s">
        <v>252</v>
      </c>
      <c r="B22" s="128">
        <v>14988</v>
      </c>
    </row>
    <row r="23" spans="1:2" ht="12.75">
      <c r="A23" s="94" t="s">
        <v>253</v>
      </c>
      <c r="B23" s="128">
        <v>1645578</v>
      </c>
    </row>
    <row r="24" spans="1:2" ht="12.75">
      <c r="A24" s="94" t="s">
        <v>254</v>
      </c>
      <c r="B24" s="128">
        <v>13973665</v>
      </c>
    </row>
    <row r="25" spans="1:2" ht="12.75">
      <c r="A25" s="94" t="s">
        <v>255</v>
      </c>
      <c r="B25" s="128">
        <v>7014167</v>
      </c>
    </row>
    <row r="26" spans="1:2" ht="12.75">
      <c r="A26" s="94" t="s">
        <v>256</v>
      </c>
      <c r="B26" s="128">
        <v>9748225</v>
      </c>
    </row>
    <row r="27" spans="1:2" ht="12.75">
      <c r="A27" s="94" t="s">
        <v>257</v>
      </c>
      <c r="B27" s="128">
        <v>1753044</v>
      </c>
    </row>
    <row r="28" spans="1:2" ht="12.75">
      <c r="A28" s="94" t="s">
        <v>258</v>
      </c>
      <c r="B28" s="128">
        <v>88126</v>
      </c>
    </row>
    <row r="29" spans="1:2" ht="12.75">
      <c r="A29" s="94" t="s">
        <v>259</v>
      </c>
      <c r="B29" s="128">
        <v>-25248</v>
      </c>
    </row>
    <row r="30" spans="1:2" ht="12.75">
      <c r="A30" s="94" t="s">
        <v>260</v>
      </c>
      <c r="B30" s="128">
        <v>0</v>
      </c>
    </row>
    <row r="31" spans="1:2" ht="12.75">
      <c r="A31" s="94" t="s">
        <v>261</v>
      </c>
      <c r="B31" s="128">
        <v>0</v>
      </c>
    </row>
    <row r="32" spans="1:2" ht="12.75">
      <c r="A32" s="95" t="s">
        <v>262</v>
      </c>
      <c r="B32" s="58">
        <v>34256474</v>
      </c>
    </row>
    <row r="33" spans="1:2" ht="12.75">
      <c r="A33" s="95" t="s">
        <v>263</v>
      </c>
      <c r="B33" s="58">
        <v>10534584</v>
      </c>
    </row>
    <row r="34" spans="1:2" ht="12.75">
      <c r="A34" s="126" t="s">
        <v>341</v>
      </c>
      <c r="B34" s="127">
        <f>9533251+13212907</f>
        <v>22746158</v>
      </c>
    </row>
    <row r="35" spans="1:2" ht="12.75">
      <c r="A35" s="126" t="s">
        <v>281</v>
      </c>
      <c r="B35" s="127">
        <v>16628280</v>
      </c>
    </row>
    <row r="36" spans="1:2" ht="12.75">
      <c r="A36" s="126" t="s">
        <v>282</v>
      </c>
      <c r="B36" s="127">
        <v>14237727</v>
      </c>
    </row>
    <row r="37" spans="1:2" ht="12.75">
      <c r="A37" s="126" t="s">
        <v>283</v>
      </c>
      <c r="B37" s="127">
        <v>13301371</v>
      </c>
    </row>
    <row r="38" ht="12.75">
      <c r="A38" s="102"/>
    </row>
    <row r="39" spans="1:2" ht="12.75">
      <c r="A39" s="112" t="s">
        <v>340</v>
      </c>
      <c r="B39" s="103"/>
    </row>
    <row r="40" spans="1:2" ht="12.75" customHeight="1">
      <c r="A40" s="125" t="s">
        <v>250</v>
      </c>
      <c r="B40" s="125" t="s">
        <v>265</v>
      </c>
    </row>
    <row r="42" ht="12.75">
      <c r="B42" s="104" t="s">
        <v>238</v>
      </c>
    </row>
    <row r="43" spans="1:2" ht="12.75">
      <c r="A43" s="105" t="s">
        <v>266</v>
      </c>
      <c r="B43" s="113">
        <v>352852</v>
      </c>
    </row>
    <row r="44" spans="1:2" ht="12.75">
      <c r="A44" s="105" t="s">
        <v>267</v>
      </c>
      <c r="B44" s="113">
        <v>58673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11.140625" style="0" bestFit="1" customWidth="1"/>
    <col min="3" max="6" width="10.28125" style="0" bestFit="1" customWidth="1"/>
  </cols>
  <sheetData>
    <row r="1" ht="12.75">
      <c r="A1" s="110" t="s">
        <v>284</v>
      </c>
    </row>
    <row r="2" spans="1:2" ht="12.75" customHeight="1">
      <c r="A2" s="119" t="s">
        <v>285</v>
      </c>
      <c r="B2" s="120" t="s">
        <v>238</v>
      </c>
    </row>
    <row r="4" spans="2:6" ht="12.75">
      <c r="B4" s="111" t="s">
        <v>275</v>
      </c>
      <c r="C4" s="111" t="s">
        <v>276</v>
      </c>
      <c r="D4" s="111" t="s">
        <v>277</v>
      </c>
      <c r="E4" s="111" t="s">
        <v>278</v>
      </c>
      <c r="F4" s="111" t="s">
        <v>339</v>
      </c>
    </row>
    <row r="5" spans="1:6" ht="12.75">
      <c r="A5" s="115" t="s">
        <v>286</v>
      </c>
      <c r="B5" s="107">
        <v>73167970</v>
      </c>
      <c r="C5" s="107">
        <v>71781006</v>
      </c>
      <c r="D5" s="107">
        <v>73195938</v>
      </c>
      <c r="E5" s="107">
        <v>74984919</v>
      </c>
      <c r="F5" s="107">
        <v>73323718</v>
      </c>
    </row>
    <row r="6" spans="1:6" ht="12.75">
      <c r="A6" s="111" t="s">
        <v>100</v>
      </c>
      <c r="B6" s="107">
        <v>426437</v>
      </c>
      <c r="C6" s="107">
        <v>286561</v>
      </c>
      <c r="D6" s="107">
        <v>247117</v>
      </c>
      <c r="E6" s="107">
        <v>304342</v>
      </c>
      <c r="F6" s="107">
        <v>336399</v>
      </c>
    </row>
    <row r="7" spans="1:6" ht="12.75">
      <c r="A7" s="111" t="s">
        <v>102</v>
      </c>
      <c r="B7" s="107">
        <v>56364</v>
      </c>
      <c r="C7" s="107">
        <v>53100</v>
      </c>
      <c r="D7" s="107">
        <v>28738</v>
      </c>
      <c r="E7" s="107">
        <v>5364</v>
      </c>
      <c r="F7" s="107">
        <v>5509</v>
      </c>
    </row>
    <row r="8" spans="1:6" ht="12.75">
      <c r="A8" s="111" t="s">
        <v>104</v>
      </c>
      <c r="B8" s="107">
        <v>20829</v>
      </c>
      <c r="C8" s="107">
        <v>7133</v>
      </c>
      <c r="D8" s="107">
        <v>6659</v>
      </c>
      <c r="E8" s="107">
        <v>18048</v>
      </c>
      <c r="F8" s="107">
        <v>1938</v>
      </c>
    </row>
    <row r="9" spans="1:6" ht="12.75">
      <c r="A9" s="111" t="s">
        <v>106</v>
      </c>
      <c r="B9" s="107">
        <v>45</v>
      </c>
      <c r="C9" s="107">
        <v>0</v>
      </c>
      <c r="D9" s="107">
        <v>34</v>
      </c>
      <c r="E9" s="107">
        <v>0</v>
      </c>
      <c r="F9" s="107">
        <v>0</v>
      </c>
    </row>
    <row r="10" spans="1:6" ht="12.75">
      <c r="A10" s="111" t="s">
        <v>108</v>
      </c>
      <c r="B10" s="107">
        <v>5224597</v>
      </c>
      <c r="C10" s="107">
        <v>5575835</v>
      </c>
      <c r="D10" s="107">
        <v>6139057</v>
      </c>
      <c r="E10" s="107">
        <v>6279344</v>
      </c>
      <c r="F10" s="107">
        <v>6095614</v>
      </c>
    </row>
    <row r="11" spans="1:6" ht="12.75">
      <c r="A11" s="111" t="s">
        <v>110</v>
      </c>
      <c r="B11" s="107">
        <v>132436</v>
      </c>
      <c r="C11" s="107">
        <v>124499</v>
      </c>
      <c r="D11" s="107">
        <v>142238</v>
      </c>
      <c r="E11" s="107">
        <v>141329</v>
      </c>
      <c r="F11" s="107">
        <v>164862</v>
      </c>
    </row>
    <row r="12" spans="1:6" ht="12.75">
      <c r="A12" s="111" t="s">
        <v>112</v>
      </c>
      <c r="B12" s="107">
        <v>78458</v>
      </c>
      <c r="C12" s="107">
        <v>87313</v>
      </c>
      <c r="D12" s="107">
        <v>56230</v>
      </c>
      <c r="E12" s="107">
        <v>65231</v>
      </c>
      <c r="F12" s="107">
        <v>-3887</v>
      </c>
    </row>
    <row r="13" spans="1:6" ht="12.75">
      <c r="A13" s="111" t="s">
        <v>114</v>
      </c>
      <c r="B13" s="107">
        <v>61363</v>
      </c>
      <c r="C13" s="107">
        <v>43547</v>
      </c>
      <c r="D13" s="107">
        <v>55665</v>
      </c>
      <c r="E13" s="107">
        <v>43619</v>
      </c>
      <c r="F13" s="107">
        <v>73706</v>
      </c>
    </row>
    <row r="14" spans="1:6" ht="12.75">
      <c r="A14" s="111" t="s">
        <v>116</v>
      </c>
      <c r="B14" s="107">
        <v>2103142</v>
      </c>
      <c r="C14" s="107">
        <v>2332217</v>
      </c>
      <c r="D14" s="107">
        <v>2569580</v>
      </c>
      <c r="E14" s="107">
        <v>1841056</v>
      </c>
      <c r="F14" s="107">
        <v>2115226</v>
      </c>
    </row>
    <row r="15" spans="1:6" ht="12.75">
      <c r="A15" s="111" t="s">
        <v>118</v>
      </c>
      <c r="B15" s="107">
        <v>1762288</v>
      </c>
      <c r="C15" s="107">
        <v>1808079</v>
      </c>
      <c r="D15" s="107">
        <v>2016821</v>
      </c>
      <c r="E15" s="107">
        <v>2316295</v>
      </c>
      <c r="F15" s="107">
        <v>2287598</v>
      </c>
    </row>
    <row r="16" spans="1:6" ht="12.75">
      <c r="A16" s="111" t="s">
        <v>120</v>
      </c>
      <c r="B16" s="107">
        <v>1042195</v>
      </c>
      <c r="C16" s="107">
        <v>1572952</v>
      </c>
      <c r="D16" s="107">
        <v>1482786</v>
      </c>
      <c r="E16" s="107">
        <v>1432577</v>
      </c>
      <c r="F16" s="107">
        <v>1383529</v>
      </c>
    </row>
    <row r="17" spans="1:6" ht="12.75">
      <c r="A17" s="111" t="s">
        <v>122</v>
      </c>
      <c r="B17" s="107">
        <v>116808</v>
      </c>
      <c r="C17" s="107">
        <v>120361</v>
      </c>
      <c r="D17" s="107">
        <v>108507</v>
      </c>
      <c r="E17" s="107">
        <v>133024</v>
      </c>
      <c r="F17" s="107">
        <v>146692</v>
      </c>
    </row>
    <row r="18" spans="1:6" ht="12.75">
      <c r="A18" s="111" t="s">
        <v>124</v>
      </c>
      <c r="B18" s="107">
        <v>0</v>
      </c>
      <c r="C18" s="107">
        <v>1483</v>
      </c>
      <c r="D18" s="107">
        <v>0</v>
      </c>
      <c r="E18" s="107">
        <v>0</v>
      </c>
      <c r="F18" s="107">
        <v>0</v>
      </c>
    </row>
    <row r="19" spans="1:6" ht="12.75">
      <c r="A19" s="111" t="s">
        <v>125</v>
      </c>
      <c r="B19" s="107">
        <v>212735</v>
      </c>
      <c r="C19" s="107">
        <v>164707</v>
      </c>
      <c r="D19" s="107">
        <v>205147</v>
      </c>
      <c r="E19" s="107">
        <v>349841</v>
      </c>
      <c r="F19" s="107">
        <v>208153</v>
      </c>
    </row>
    <row r="20" spans="1:6" ht="12.75">
      <c r="A20" s="111" t="s">
        <v>127</v>
      </c>
      <c r="B20" s="107">
        <v>1192312</v>
      </c>
      <c r="C20" s="107">
        <v>1104168</v>
      </c>
      <c r="D20" s="107">
        <v>1212817</v>
      </c>
      <c r="E20" s="107">
        <v>1496614</v>
      </c>
      <c r="F20" s="107">
        <v>1888624</v>
      </c>
    </row>
    <row r="21" spans="1:6" ht="12.75">
      <c r="A21" s="111" t="s">
        <v>130</v>
      </c>
      <c r="B21" s="107">
        <v>233509</v>
      </c>
      <c r="C21" s="107">
        <v>222651</v>
      </c>
      <c r="D21" s="107">
        <v>233413</v>
      </c>
      <c r="E21" s="107">
        <v>240903</v>
      </c>
      <c r="F21" s="107">
        <v>248600</v>
      </c>
    </row>
    <row r="22" spans="1:6" ht="12.75">
      <c r="A22" s="111" t="s">
        <v>131</v>
      </c>
      <c r="B22" s="107">
        <v>160653</v>
      </c>
      <c r="C22" s="107">
        <v>220298</v>
      </c>
      <c r="D22" s="107">
        <v>457253</v>
      </c>
      <c r="E22" s="107">
        <v>374347</v>
      </c>
      <c r="F22" s="107">
        <v>423508</v>
      </c>
    </row>
    <row r="23" spans="1:6" ht="12.75">
      <c r="A23" s="111" t="s">
        <v>132</v>
      </c>
      <c r="B23" s="107">
        <v>422223</v>
      </c>
      <c r="C23" s="107">
        <v>469054</v>
      </c>
      <c r="D23" s="107">
        <v>432627</v>
      </c>
      <c r="E23" s="107">
        <v>437649</v>
      </c>
      <c r="F23" s="107">
        <v>499001</v>
      </c>
    </row>
    <row r="24" spans="1:6" ht="12.75">
      <c r="A24" s="111" t="s">
        <v>134</v>
      </c>
      <c r="B24" s="107">
        <v>493408</v>
      </c>
      <c r="C24" s="107">
        <v>433180</v>
      </c>
      <c r="D24" s="107">
        <v>503316</v>
      </c>
      <c r="E24" s="107">
        <v>544580</v>
      </c>
      <c r="F24" s="107">
        <v>582189</v>
      </c>
    </row>
    <row r="25" spans="1:6" ht="12.75">
      <c r="A25" s="111" t="s">
        <v>135</v>
      </c>
      <c r="B25" s="107">
        <v>374357</v>
      </c>
      <c r="C25" s="107">
        <v>364666</v>
      </c>
      <c r="D25" s="107">
        <v>361432</v>
      </c>
      <c r="E25" s="107">
        <v>390962</v>
      </c>
      <c r="F25" s="107">
        <v>423998</v>
      </c>
    </row>
    <row r="26" spans="1:6" ht="12.75">
      <c r="A26" s="111" t="s">
        <v>137</v>
      </c>
      <c r="B26" s="107">
        <v>138550</v>
      </c>
      <c r="C26" s="107">
        <v>111741</v>
      </c>
      <c r="D26" s="107">
        <v>79416</v>
      </c>
      <c r="E26" s="107">
        <v>60297</v>
      </c>
      <c r="F26" s="107">
        <v>86035</v>
      </c>
    </row>
    <row r="27" spans="1:6" ht="12.75">
      <c r="A27" s="111" t="s">
        <v>287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</row>
    <row r="28" spans="1:6" ht="12.75">
      <c r="A28" s="111" t="s">
        <v>142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</row>
    <row r="29" spans="1:6" ht="12.75">
      <c r="A29" s="111" t="s">
        <v>144</v>
      </c>
      <c r="B29" s="107">
        <v>1738886</v>
      </c>
      <c r="C29" s="107">
        <v>1876326</v>
      </c>
      <c r="D29" s="107">
        <v>1969125</v>
      </c>
      <c r="E29" s="107">
        <v>2385590</v>
      </c>
      <c r="F29" s="107">
        <v>2399583</v>
      </c>
    </row>
    <row r="30" spans="1:6" ht="12.75">
      <c r="A30" s="111" t="s">
        <v>146</v>
      </c>
      <c r="B30" s="107">
        <v>4632512</v>
      </c>
      <c r="C30" s="107">
        <v>4884163</v>
      </c>
      <c r="D30" s="107">
        <v>4883275</v>
      </c>
      <c r="E30" s="107">
        <v>5032731</v>
      </c>
      <c r="F30" s="107">
        <v>5213801</v>
      </c>
    </row>
    <row r="31" spans="1:6" ht="12.75">
      <c r="A31" s="111" t="s">
        <v>148</v>
      </c>
      <c r="B31" s="107">
        <v>1112710</v>
      </c>
      <c r="C31" s="107">
        <v>1457749</v>
      </c>
      <c r="D31" s="107">
        <v>2057868</v>
      </c>
      <c r="E31" s="107">
        <v>1428449</v>
      </c>
      <c r="F31" s="107">
        <v>1172159</v>
      </c>
    </row>
    <row r="32" spans="1:6" ht="12.75">
      <c r="A32" s="111" t="s">
        <v>150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</row>
    <row r="33" spans="1:6" ht="12.75">
      <c r="A33" s="111" t="s">
        <v>288</v>
      </c>
      <c r="B33" s="107">
        <v>-1</v>
      </c>
      <c r="C33" s="107">
        <v>0</v>
      </c>
      <c r="D33" s="107">
        <v>0</v>
      </c>
      <c r="E33" s="107">
        <v>0</v>
      </c>
      <c r="F33" s="107">
        <v>0</v>
      </c>
    </row>
    <row r="34" spans="1:6" ht="12.75">
      <c r="A34" s="111" t="s">
        <v>289</v>
      </c>
      <c r="B34" s="107">
        <v>10635065</v>
      </c>
      <c r="C34" s="107">
        <v>10102924</v>
      </c>
      <c r="D34" s="107">
        <v>8458260</v>
      </c>
      <c r="E34" s="107">
        <v>8051963</v>
      </c>
      <c r="F34" s="107">
        <v>6418264</v>
      </c>
    </row>
    <row r="35" spans="1:6" ht="12.75">
      <c r="A35" s="111" t="s">
        <v>290</v>
      </c>
      <c r="B35" s="107">
        <v>1011036</v>
      </c>
      <c r="C35" s="107">
        <v>1053775</v>
      </c>
      <c r="D35" s="107">
        <v>938842</v>
      </c>
      <c r="E35" s="107">
        <v>882998</v>
      </c>
      <c r="F35" s="107">
        <v>948525</v>
      </c>
    </row>
    <row r="36" spans="1:6" ht="12.75">
      <c r="A36" s="111" t="s">
        <v>291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</row>
    <row r="37" spans="1:6" ht="12.75">
      <c r="A37" s="111" t="s">
        <v>292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</row>
    <row r="38" spans="1:6" ht="12.75">
      <c r="A38" s="111" t="s">
        <v>293</v>
      </c>
      <c r="B38" s="107">
        <v>7503536</v>
      </c>
      <c r="C38" s="107">
        <v>6689122</v>
      </c>
      <c r="D38" s="107">
        <v>5768572</v>
      </c>
      <c r="E38" s="107">
        <v>5408305</v>
      </c>
      <c r="F38" s="107">
        <v>5376194</v>
      </c>
    </row>
    <row r="39" spans="1:6" ht="12.75">
      <c r="A39" s="111" t="s">
        <v>294</v>
      </c>
      <c r="B39" s="107">
        <v>70005</v>
      </c>
      <c r="C39" s="107">
        <v>47631</v>
      </c>
      <c r="D39" s="107">
        <v>25818</v>
      </c>
      <c r="E39" s="107">
        <v>33624</v>
      </c>
      <c r="F39" s="107">
        <v>36262</v>
      </c>
    </row>
    <row r="40" spans="1:6" ht="12.75">
      <c r="A40" s="111" t="s">
        <v>295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</row>
    <row r="41" spans="1:6" ht="12.75">
      <c r="A41" s="111" t="s">
        <v>296</v>
      </c>
      <c r="B41" s="107">
        <v>85997</v>
      </c>
      <c r="C41" s="107">
        <v>172720</v>
      </c>
      <c r="D41" s="107">
        <v>163423</v>
      </c>
      <c r="E41" s="107">
        <v>218044</v>
      </c>
      <c r="F41" s="107">
        <v>7086</v>
      </c>
    </row>
    <row r="42" spans="1:6" ht="12.75">
      <c r="A42" s="111" t="s">
        <v>297</v>
      </c>
      <c r="B42" s="107">
        <v>10334329</v>
      </c>
      <c r="C42" s="107">
        <v>7265783</v>
      </c>
      <c r="D42" s="107">
        <v>7566077</v>
      </c>
      <c r="E42" s="107">
        <v>8702480</v>
      </c>
      <c r="F42" s="107">
        <v>7910891</v>
      </c>
    </row>
    <row r="43" spans="1:6" ht="12.75">
      <c r="A43" s="111" t="s">
        <v>298</v>
      </c>
      <c r="B43" s="107">
        <v>14275836</v>
      </c>
      <c r="C43" s="107">
        <v>14261927</v>
      </c>
      <c r="D43" s="107">
        <v>15572724</v>
      </c>
      <c r="E43" s="107">
        <v>17432199</v>
      </c>
      <c r="F43" s="107">
        <v>17932378</v>
      </c>
    </row>
    <row r="44" spans="1:6" ht="12.75">
      <c r="A44" s="111" t="s">
        <v>299</v>
      </c>
      <c r="B44" s="107">
        <v>-3105197</v>
      </c>
      <c r="C44" s="107">
        <v>-3322731</v>
      </c>
      <c r="D44" s="107">
        <v>-3700512</v>
      </c>
      <c r="E44" s="107">
        <v>-4117743</v>
      </c>
      <c r="F44" s="107">
        <v>-3852791</v>
      </c>
    </row>
    <row r="45" spans="1:6" ht="12.75">
      <c r="A45" s="111" t="s">
        <v>300</v>
      </c>
      <c r="B45" s="107">
        <v>380642</v>
      </c>
      <c r="C45" s="107">
        <v>580403</v>
      </c>
      <c r="D45" s="107">
        <v>606397</v>
      </c>
      <c r="E45" s="107">
        <v>574750</v>
      </c>
      <c r="F45" s="107">
        <v>660240</v>
      </c>
    </row>
    <row r="46" spans="1:6" ht="12.75">
      <c r="A46" s="111" t="s">
        <v>301</v>
      </c>
      <c r="B46" s="107">
        <v>743383</v>
      </c>
      <c r="C46" s="107">
        <v>11817</v>
      </c>
      <c r="D46" s="107">
        <v>32966</v>
      </c>
      <c r="E46" s="107">
        <v>108310</v>
      </c>
      <c r="F46" s="107">
        <v>151109</v>
      </c>
    </row>
    <row r="47" spans="1:6" ht="12.75">
      <c r="A47" s="111" t="s">
        <v>302</v>
      </c>
      <c r="B47" s="107">
        <v>2196882</v>
      </c>
      <c r="C47" s="107">
        <v>3891094</v>
      </c>
      <c r="D47" s="107">
        <v>3929800</v>
      </c>
      <c r="E47" s="107">
        <v>2361107</v>
      </c>
      <c r="F47" s="107">
        <v>1632613</v>
      </c>
    </row>
    <row r="48" spans="1:6" ht="12.75">
      <c r="A48" s="111" t="s">
        <v>303</v>
      </c>
      <c r="B48" s="107">
        <v>5599039</v>
      </c>
      <c r="C48" s="107">
        <v>5999398</v>
      </c>
      <c r="D48" s="107">
        <v>6696741</v>
      </c>
      <c r="E48" s="107">
        <v>8266144</v>
      </c>
      <c r="F48" s="107">
        <v>8777485</v>
      </c>
    </row>
    <row r="49" spans="1:6" ht="12.75">
      <c r="A49" s="111" t="s">
        <v>304</v>
      </c>
      <c r="B49" s="107">
        <v>98269</v>
      </c>
      <c r="C49" s="107">
        <v>76730</v>
      </c>
      <c r="D49" s="107">
        <v>87504</v>
      </c>
      <c r="E49" s="107">
        <v>87504</v>
      </c>
      <c r="F49" s="107">
        <v>0</v>
      </c>
    </row>
    <row r="50" spans="1:6" ht="12.75">
      <c r="A50" s="111" t="s">
        <v>305</v>
      </c>
      <c r="B50" s="107">
        <v>901591</v>
      </c>
      <c r="C50" s="107">
        <v>904806</v>
      </c>
      <c r="D50" s="107">
        <v>1021578</v>
      </c>
      <c r="E50" s="107">
        <v>1063871</v>
      </c>
      <c r="F50" s="107">
        <v>1029535</v>
      </c>
    </row>
    <row r="51" spans="1:6" ht="12.75">
      <c r="A51" s="111" t="s">
        <v>306</v>
      </c>
      <c r="B51" s="107">
        <v>497477</v>
      </c>
      <c r="C51" s="107">
        <v>506431</v>
      </c>
      <c r="D51" s="107">
        <v>540689</v>
      </c>
      <c r="E51" s="107">
        <v>349459</v>
      </c>
      <c r="F51" s="107">
        <v>352950</v>
      </c>
    </row>
    <row r="52" spans="1:6" ht="12.75">
      <c r="A52" s="111" t="s">
        <v>157</v>
      </c>
      <c r="B52" s="107">
        <v>203264</v>
      </c>
      <c r="C52" s="107">
        <v>217393</v>
      </c>
      <c r="D52" s="107">
        <v>237938</v>
      </c>
      <c r="E52" s="107">
        <v>239712</v>
      </c>
      <c r="F52" s="107">
        <v>190140</v>
      </c>
    </row>
    <row r="53" spans="1:6" ht="12.75">
      <c r="A53" s="111" t="s">
        <v>307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</row>
    <row r="54" spans="1:6" ht="12.75">
      <c r="A54" s="111" t="s">
        <v>308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</row>
    <row r="55" spans="1:6" ht="12.75">
      <c r="A55" s="111" t="s">
        <v>309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</row>
    <row r="56" spans="1:6" ht="12.75">
      <c r="A56" s="111" t="s">
        <v>310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</row>
    <row r="57" spans="1:6" ht="12.75">
      <c r="A57" s="111" t="s">
        <v>311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</row>
    <row r="58" spans="1:6" ht="12.75">
      <c r="A58" s="111" t="s">
        <v>312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</row>
    <row r="59" spans="1:6" ht="12.75">
      <c r="A59" s="111" t="s">
        <v>313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</row>
    <row r="60" spans="1:6" ht="12.75">
      <c r="A60" s="111" t="s">
        <v>314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</row>
    <row r="61" spans="1:6" ht="12.75">
      <c r="A61" s="111" t="s">
        <v>315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</row>
    <row r="62" spans="1:6" ht="12.75">
      <c r="A62" s="111" t="s">
        <v>316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</row>
    <row r="63" spans="1:6" ht="12.75">
      <c r="A63" s="111" t="s">
        <v>317</v>
      </c>
      <c r="B63" s="107">
        <v>0</v>
      </c>
      <c r="C63" s="107">
        <v>0</v>
      </c>
      <c r="D63" s="107">
        <v>0</v>
      </c>
      <c r="E63" s="107">
        <v>0</v>
      </c>
      <c r="F63" s="107">
        <v>0</v>
      </c>
    </row>
    <row r="64" spans="1:6" ht="12.75">
      <c r="A64" s="111" t="s">
        <v>318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</row>
    <row r="65" spans="1:6" ht="12.75">
      <c r="A65" s="111" t="s">
        <v>319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</row>
    <row r="66" spans="1:6" ht="12.75">
      <c r="A66" s="111" t="s">
        <v>320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</row>
    <row r="67" spans="1:6" ht="12.75">
      <c r="A67" s="111" t="s">
        <v>321</v>
      </c>
      <c r="B67" s="107">
        <v>0</v>
      </c>
      <c r="C67" s="107">
        <v>0</v>
      </c>
      <c r="D67" s="107">
        <v>0</v>
      </c>
      <c r="E67" s="107">
        <v>0</v>
      </c>
      <c r="F67" s="107">
        <v>0</v>
      </c>
    </row>
    <row r="68" spans="1:6" ht="12.75">
      <c r="A68" s="111" t="s">
        <v>322</v>
      </c>
      <c r="B68" s="107">
        <v>0</v>
      </c>
      <c r="C68" s="107">
        <v>0</v>
      </c>
      <c r="D68" s="107">
        <v>0</v>
      </c>
      <c r="E68" s="107">
        <v>0</v>
      </c>
      <c r="F68" s="107">
        <v>0</v>
      </c>
    </row>
    <row r="69" spans="1:6" ht="12.75">
      <c r="A69" s="111" t="s">
        <v>323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</row>
    <row r="70" spans="1:6" ht="12.75">
      <c r="A70" s="111" t="s">
        <v>324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</row>
    <row r="71" spans="1:6" ht="12.75">
      <c r="A71" s="111" t="s">
        <v>325</v>
      </c>
      <c r="B71" s="107">
        <v>0</v>
      </c>
      <c r="C71" s="107">
        <v>0</v>
      </c>
      <c r="D71" s="107">
        <v>0</v>
      </c>
      <c r="E71" s="107">
        <v>0</v>
      </c>
      <c r="F71" s="107">
        <v>0</v>
      </c>
    </row>
    <row r="72" spans="1:6" ht="12.75">
      <c r="A72" s="111" t="s">
        <v>326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</row>
    <row r="74" spans="1:6" ht="12.75">
      <c r="A74" s="116" t="s">
        <v>327</v>
      </c>
      <c r="B74" s="117">
        <f>+B5-SchE6!G220</f>
        <v>0</v>
      </c>
      <c r="C74" s="117">
        <f>+C5-SchE6!I220</f>
        <v>0</v>
      </c>
      <c r="D74" s="117">
        <f>+D5-SchE6!K220</f>
        <v>0</v>
      </c>
      <c r="E74" s="117">
        <f>+E5-SchE6!M220</f>
        <v>0</v>
      </c>
      <c r="F74" s="117">
        <f>+F5-SchE6!O220</f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Williams</dc:creator>
  <cp:keywords/>
  <dc:description/>
  <cp:lastModifiedBy>Sue Richards</cp:lastModifiedBy>
  <cp:lastPrinted>2008-07-29T18:35:47Z</cp:lastPrinted>
  <dcterms:created xsi:type="dcterms:W3CDTF">2000-04-03T20:47:08Z</dcterms:created>
  <dcterms:modified xsi:type="dcterms:W3CDTF">2009-02-18T21:34:21Z</dcterms:modified>
  <cp:category/>
  <cp:version/>
  <cp:contentType/>
  <cp:contentStatus/>
</cp:coreProperties>
</file>