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2" yWindow="3643" windowWidth="14820" windowHeight="5014" activeTab="0"/>
  </bookViews>
  <sheets>
    <sheet name="SCHH-1" sheetId="1" r:id="rId1"/>
  </sheets>
  <externalReferences>
    <externalReference r:id="rId4"/>
    <externalReference r:id="rId5"/>
    <externalReference r:id="rId6"/>
    <externalReference r:id="rId7"/>
  </externalReferences>
  <definedNames>
    <definedName name="_Regression_Int" localSheetId="0" hidden="1">1</definedName>
    <definedName name="_xlnm.Print_Area" localSheetId="0">'SCHH-1'!$A$1:$AI$339,'SCHH-1'!$A$344:$T$395</definedName>
    <definedName name="Print_Area_MI" localSheetId="0">'SCHH-1'!$B$269:$Q$395</definedName>
    <definedName name="_xlnm.Print_Titles" localSheetId="0">'SCHH-1'!$A:$D</definedName>
  </definedNames>
  <calcPr fullCalcOnLoad="1"/>
</workbook>
</file>

<file path=xl/sharedStrings.xml><?xml version="1.0" encoding="utf-8"?>
<sst xmlns="http://schemas.openxmlformats.org/spreadsheetml/2006/main" count="558" uniqueCount="189">
  <si>
    <t>FLORIDA PUBLIC SERVICE COMMISSION</t>
  </si>
  <si>
    <t>TYPE OF DATA SHOWN:</t>
  </si>
  <si>
    <t>SUMMARY</t>
  </si>
  <si>
    <t>ATTRITION</t>
  </si>
  <si>
    <t>O&amp;M</t>
  </si>
  <si>
    <t>DEPRECIATION</t>
  </si>
  <si>
    <t>AMORTIZATION EXPENSES</t>
  </si>
  <si>
    <t>TAXES OTHER THAN INCOME - OTHER</t>
  </si>
  <si>
    <t>INCOME TAXES TOTAL</t>
  </si>
  <si>
    <t>REVENUE CREDITED TO COS:</t>
  </si>
  <si>
    <t>TOTAL COST - CUSTOMER</t>
  </si>
  <si>
    <t>TOTAL COST - CAPACITY</t>
  </si>
  <si>
    <t>TOTAL COST - COMMODITY</t>
  </si>
  <si>
    <t>TOTAL COST - REVENUE</t>
  </si>
  <si>
    <t>NO. OF CUSTOMERS</t>
  </si>
  <si>
    <t>ANNUAL SALES</t>
  </si>
  <si>
    <t>TOTAL</t>
  </si>
  <si>
    <t>CUSTOMER COSTS</t>
  </si>
  <si>
    <t>CAPACITY COSTS</t>
  </si>
  <si>
    <t>COMMODITY COSTS</t>
  </si>
  <si>
    <t>REVENUE COSTS</t>
  </si>
  <si>
    <t xml:space="preserve">   TOTAL</t>
  </si>
  <si>
    <t>less:REVENUE AT PRESENT RATES</t>
  </si>
  <si>
    <t xml:space="preserve">   (in the projected test year)</t>
  </si>
  <si>
    <t>equals: GAS SALES REVENUE DEFICIENCY</t>
  </si>
  <si>
    <t>equals:TOTAL BASE-REVENUE DEFICIENCY</t>
  </si>
  <si>
    <t>UNIT COSTS:</t>
  </si>
  <si>
    <t xml:space="preserve">   Customer</t>
  </si>
  <si>
    <t xml:space="preserve">   Capacity</t>
  </si>
  <si>
    <t xml:space="preserve">   Commodity</t>
  </si>
  <si>
    <t>REVENUES: (projected test year)</t>
  </si>
  <si>
    <t xml:space="preserve">   Gas Sales (due to growth)</t>
  </si>
  <si>
    <t xml:space="preserve">   Other Operating Revenue</t>
  </si>
  <si>
    <t xml:space="preserve">   Total</t>
  </si>
  <si>
    <t>EXPENSES:</t>
  </si>
  <si>
    <t xml:space="preserve">   Purchased Gas Cost</t>
  </si>
  <si>
    <t xml:space="preserve">   O&amp;M Expenses</t>
  </si>
  <si>
    <t xml:space="preserve">   Depreciation Expenses</t>
  </si>
  <si>
    <t xml:space="preserve">   Amortization Expenses</t>
  </si>
  <si>
    <t xml:space="preserve">   Taxes Other Than Income--Fixed</t>
  </si>
  <si>
    <t xml:space="preserve">   Taxes Other Than Income--Revenue</t>
  </si>
  <si>
    <t>INCOME TAXES:</t>
  </si>
  <si>
    <t>NET OPERATING INCOME:</t>
  </si>
  <si>
    <t>RATE BASE:</t>
  </si>
  <si>
    <t>RATE OF RETURN</t>
  </si>
  <si>
    <t>REVENUES:</t>
  </si>
  <si>
    <t xml:space="preserve">   Gas Sales</t>
  </si>
  <si>
    <t>PRE TAX NOI:</t>
  </si>
  <si>
    <t xml:space="preserve">   GAS SALES (due to growth)</t>
  </si>
  <si>
    <t xml:space="preserve">   OTHER OPERATING REVENUE</t>
  </si>
  <si>
    <t xml:space="preserve">   RATE OF RETURN</t>
  </si>
  <si>
    <t xml:space="preserve">   INDEX</t>
  </si>
  <si>
    <t xml:space="preserve">   GAS SALES</t>
  </si>
  <si>
    <t xml:space="preserve">   TOTAL REVENUE INCREASE</t>
  </si>
  <si>
    <t xml:space="preserve">   PERCENT INCREASE</t>
  </si>
  <si>
    <t>PROPOSED TOTAL TARGET REVENUES</t>
  </si>
  <si>
    <t>LESS:CUSTOMER CHARGE REVENUES</t>
  </si>
  <si>
    <t xml:space="preserve">   PROPOSED CUSTOMER CHARGES</t>
  </si>
  <si>
    <t>DIVIDED BY:NUMBER OF THERMS</t>
  </si>
  <si>
    <t xml:space="preserve">   CUSTOMER CHARGES</t>
  </si>
  <si>
    <t xml:space="preserve">     NON-GAS (CENTS PER THERM)</t>
  </si>
  <si>
    <t xml:space="preserve">     PURCHASED GAS ADJUSTMENT</t>
  </si>
  <si>
    <t xml:space="preserve">     TOTAL (INCLUDING PGA)</t>
  </si>
  <si>
    <t>RATE BASE</t>
  </si>
  <si>
    <t>PRESENT REVENUE</t>
  </si>
  <si>
    <t xml:space="preserve">     NUMBER OF BILLS</t>
  </si>
  <si>
    <t>LINE NO.</t>
  </si>
  <si>
    <t>COMPANY:  PEOPLES GAS SYSTEM</t>
  </si>
  <si>
    <t>RESIDENTIAL</t>
  </si>
  <si>
    <t>COMMERCIAL</t>
  </si>
  <si>
    <t>(50,000 - 249,999)</t>
  </si>
  <si>
    <t>(250,000 - 499,999)</t>
  </si>
  <si>
    <t>STREET</t>
  </si>
  <si>
    <t>SMALL GENERAL</t>
  </si>
  <si>
    <t>GENERAL</t>
  </si>
  <si>
    <t>LIGHTING</t>
  </si>
  <si>
    <t>SERVICE</t>
  </si>
  <si>
    <t>SERVICE 1</t>
  </si>
  <si>
    <t>SERVICE 2</t>
  </si>
  <si>
    <t>SERVICE 3</t>
  </si>
  <si>
    <t>SERVICE 4</t>
  </si>
  <si>
    <t>(1,000,000 - 3,999,999)</t>
  </si>
  <si>
    <t>(4,000,000 - 50,000,000)</t>
  </si>
  <si>
    <t>INTERRUPTIBLE</t>
  </si>
  <si>
    <t>WHOLESALE</t>
  </si>
  <si>
    <t>SPECIAL</t>
  </si>
  <si>
    <t>SERVICE 5</t>
  </si>
  <si>
    <t>LARGE VOLUME</t>
  </si>
  <si>
    <t>CONTRACTS</t>
  </si>
  <si>
    <t>RECONNECTION CHARGE-RESIDENTIAL</t>
  </si>
  <si>
    <t>RECONNECTION CHARGE-COMMERCIAL</t>
  </si>
  <si>
    <t>TEMPORARY DISCONNECT CHARGE</t>
  </si>
  <si>
    <t>RETURN CHECK CHARGE</t>
  </si>
  <si>
    <t>FAILED TRIP CHARGE</t>
  </si>
  <si>
    <t>IT ADMINISTRATION CHARGE</t>
  </si>
  <si>
    <t>NGV</t>
  </si>
  <si>
    <t>LESS:OTHER OPERATING REVENUE</t>
  </si>
  <si>
    <t>FORFEITED DISCOUNTS</t>
  </si>
  <si>
    <t xml:space="preserve">   Total Expenses excl. Income Taxes</t>
  </si>
  <si>
    <t>OTHER REVENUE (RENT)</t>
  </si>
  <si>
    <t>RETURN</t>
  </si>
  <si>
    <t>PROPOSED RATES</t>
  </si>
  <si>
    <t>PRESENT RATES (Projected Test Year)</t>
  </si>
  <si>
    <t xml:space="preserve">     CUST. CHARGE REV. BY RATE CLASS </t>
  </si>
  <si>
    <t>LESS:OTHER NON-THERM-RATE REV.</t>
  </si>
  <si>
    <t>EQUALS:PER-THERM TARGET REVENUE</t>
  </si>
  <si>
    <t>BASE RATE PER-THERM (UNROUNDED)</t>
  </si>
  <si>
    <t>BASE RATE PER-THERM (ROUNDED)</t>
  </si>
  <si>
    <t>plus:DEFICIENCY IN OTHER OPER. REV.</t>
  </si>
  <si>
    <t>PROJECTED TEST YEAR:      12/31/09</t>
  </si>
  <si>
    <t>WITNESS:  D. YARDLEY</t>
  </si>
  <si>
    <t>GENERATOR</t>
  </si>
  <si>
    <t>SERVICE CHARGES - PGS</t>
  </si>
  <si>
    <t>CONNECTION CHARGE-RESIDENTIAL</t>
  </si>
  <si>
    <t>CONNECTION CHARGE-COMMERCIAL</t>
  </si>
  <si>
    <t>COLLECTION IN LIEU OF DISCONNECT</t>
  </si>
  <si>
    <t>CHANGE OF ACCOUNT</t>
  </si>
  <si>
    <t>POOL MANAGER CHARGES</t>
  </si>
  <si>
    <t xml:space="preserve">DOCKET NO.:  080318-GU   </t>
  </si>
  <si>
    <t>(2,000 - 9,999)</t>
  </si>
  <si>
    <t>(10,000 - 49,999)</t>
  </si>
  <si>
    <t>PROPOSED REVENUE</t>
  </si>
  <si>
    <t xml:space="preserve">     PRORATED PERCENTAGE OF BILLS</t>
  </si>
  <si>
    <t>GS-4</t>
  </si>
  <si>
    <t>GS-5</t>
  </si>
  <si>
    <t>GS-2</t>
  </si>
  <si>
    <t>GS-3</t>
  </si>
  <si>
    <t>GAIN ON SALE OF PROPERTY</t>
  </si>
  <si>
    <t xml:space="preserve"> COST OF SERVICE</t>
  </si>
  <si>
    <t>EXPLANATION:  FULLY ALLOCATED</t>
  </si>
  <si>
    <t>EMBEDDED COST OF SERVICE STUDY</t>
  </si>
  <si>
    <t>(1 - 1,999)</t>
  </si>
  <si>
    <t>(500,000 +)</t>
  </si>
  <si>
    <t>SMALL INTERRUPTIBLE</t>
  </si>
  <si>
    <t>NATURAL GAS</t>
  </si>
  <si>
    <t>VEHICLE SALES</t>
  </si>
  <si>
    <t>REVENUE DEFICIENCY</t>
  </si>
  <si>
    <t>RATE OF RETURN BY CLASS</t>
  </si>
  <si>
    <t>PRESENT RATES</t>
  </si>
  <si>
    <t>RATE DESIGN</t>
  </si>
  <si>
    <t>PAGE 1 OF 13</t>
  </si>
  <si>
    <t>PAGE 3 OF 13</t>
  </si>
  <si>
    <t>PAGE 5 OF 13</t>
  </si>
  <si>
    <t>PAGE 7 OF 13</t>
  </si>
  <si>
    <t>PAGE 9 OF 13</t>
  </si>
  <si>
    <t>PAGE 11 OF 13</t>
  </si>
  <si>
    <t>PAGE 13 OF 13</t>
  </si>
  <si>
    <t>PAGE 12 OF 13</t>
  </si>
  <si>
    <t>PAGE 10 OF 13</t>
  </si>
  <si>
    <t>PAGE 8 OF 13</t>
  </si>
  <si>
    <t>PAGE 6 OF 13</t>
  </si>
  <si>
    <t>PAGE 4 OF 13</t>
  </si>
  <si>
    <t>PAGE 2 OF 13</t>
  </si>
  <si>
    <t xml:space="preserve">   Gain on Sale of Property</t>
  </si>
  <si>
    <t>Proposed</t>
  </si>
  <si>
    <t>Difference</t>
  </si>
  <si>
    <t>Comm Gen</t>
  </si>
  <si>
    <t>S.Contracts</t>
  </si>
  <si>
    <t>Differential</t>
  </si>
  <si>
    <t>Proposed Differential</t>
  </si>
  <si>
    <t>Existing Unit Rate</t>
  </si>
  <si>
    <t>Residential Bills (0-99 annual therms)</t>
  </si>
  <si>
    <t>Residential Customer Charge (0-99 annual therms)</t>
  </si>
  <si>
    <t>Residential Bills (100-249 annual therms)</t>
  </si>
  <si>
    <t>Residential Customer Charge (100-249 annual therms)</t>
  </si>
  <si>
    <t>Residential Bills (250+ annual therms)</t>
  </si>
  <si>
    <t>Residential Customer Charge (250+ annual therms)</t>
  </si>
  <si>
    <t xml:space="preserve">   PER THERM CHARGES</t>
  </si>
  <si>
    <t xml:space="preserve">  REVENUE Reductions</t>
  </si>
  <si>
    <t>NET PER-THERM REVENUE (ROUNDED)</t>
  </si>
  <si>
    <t>PER-THERM-RATE REVENUE (ROUNDED)</t>
  </si>
  <si>
    <t>(See lines 6-11 below)</t>
  </si>
  <si>
    <r>
      <t xml:space="preserve">SUMMARY: </t>
    </r>
    <r>
      <rPr>
        <b/>
        <sz val="14"/>
        <rFont val="Arial"/>
        <family val="2"/>
      </rPr>
      <t>PROPOSED TARIFF RATES</t>
    </r>
  </si>
  <si>
    <r>
      <t xml:space="preserve">SUMMARY: </t>
    </r>
    <r>
      <rPr>
        <b/>
        <sz val="14"/>
        <rFont val="Arial"/>
        <family val="2"/>
      </rPr>
      <t>PRESENT TARIFF RATES</t>
    </r>
  </si>
  <si>
    <t>(50,000,000 +)</t>
  </si>
  <si>
    <t>PEAK MONTH - JANUARY SALES</t>
  </si>
  <si>
    <t>TAXES OTHER THAN INCOME - REV. REL.</t>
  </si>
  <si>
    <t>SUPPORTING SCHEDULES:  H-2 p.10-11</t>
  </si>
  <si>
    <t>SUPPORTING SCHEDULES:  E-1 p.2, H-2 p.8-9</t>
  </si>
  <si>
    <t>SUPPORTING SCHEDULES:  E-1 p.2, H-1 p.9-12</t>
  </si>
  <si>
    <t>SUPPORTING SCHEDULES:  E-1 p.3, H-1 p.9-12</t>
  </si>
  <si>
    <t>SUPPORTING SCHEDULES:  H-1 p.5-8</t>
  </si>
  <si>
    <t>SUPPORTING SCHEDULES:  E-2, H-1 p.7-8</t>
  </si>
  <si>
    <t>SUPPORTING SCHEDULES:  E-1 p.3, E-3</t>
  </si>
  <si>
    <t>SIS</t>
  </si>
  <si>
    <t>IS</t>
  </si>
  <si>
    <t>ISLV</t>
  </si>
  <si>
    <t>Required at 8.50</t>
  </si>
  <si>
    <t>SCHEDULE H-1 (Revised - 5/06/09)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</si>
</sst>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00_)"/>
    <numFmt numFmtId="167" formatCode="0.0000_)"/>
    <numFmt numFmtId="168" formatCode="0.000_)"/>
    <numFmt numFmtId="169" formatCode="&quot;$&quot;#,##0.00"/>
    <numFmt numFmtId="170" formatCode="&quot;$&quot;#,##0.00000"/>
    <numFmt numFmtId="171" formatCode="&quot;$&quot;#,##0"/>
    <numFmt numFmtId="172" formatCode="0.0%"/>
    <numFmt numFmtId="173" formatCode="&quot;$&quot;#,##0.0_);\(&quot;$&quot;#,##0.0\)"/>
    <numFmt numFmtId="174" formatCode="0.0_)"/>
    <numFmt numFmtId="175" formatCode="0.000000_)"/>
    <numFmt numFmtId="176" formatCode="_(* #,##0.0_);_(* \(#,##0.0\);_(* &quot;-&quot;??_);_(@_)"/>
    <numFmt numFmtId="177" formatCode="_(* #,##0_);_(* \(#,##0\);_(* &quot;-&quot;??_);_(@_)"/>
    <numFmt numFmtId="178" formatCode="0.000000"/>
    <numFmt numFmtId="179" formatCode="0.000"/>
    <numFmt numFmtId="180" formatCode="#,##0.0_);\(#,##0.0\)"/>
    <numFmt numFmtId="181" formatCode="#,##0.000_);\(#,##0.000\)"/>
    <numFmt numFmtId="182" formatCode="#,##0.0000_);\(#,##0.0000\)"/>
    <numFmt numFmtId="183" formatCode="#,##0.00000_);\(#,##0.00000\)"/>
    <numFmt numFmtId="184" formatCode="#,##0.000000_);\(#,##0.000000\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.000%"/>
    <numFmt numFmtId="190" formatCode="_(* #,##0.000_);_(* \(#,##0.000\);_(* &quot;-&quot;??_);_(@_)"/>
    <numFmt numFmtId="191" formatCode="_(* #,##0.0000_);_(* \(#,##0.0000\);_(* &quot;-&quot;??_);_(@_)"/>
    <numFmt numFmtId="192" formatCode="_(&quot;$&quot;* #,##0.0000_);_(&quot;$&quot;* \(#,##0.0000\);_(&quot;$&quot;* &quot;-&quot;????_);_(@_)"/>
    <numFmt numFmtId="193" formatCode="_(&quot;$&quot;* #,##0.00000_);_(&quot;$&quot;* \(#,##0.00000\);_(&quot;$&quot;* &quot;-&quot;??_);_(@_)"/>
    <numFmt numFmtId="194" formatCode="_(&quot;$&quot;* #,##0.00000_);_(&quot;$&quot;* \(#,##0.00000\);_(&quot;$&quot;* &quot;-&quot;?????_);_(@_)"/>
    <numFmt numFmtId="195" formatCode="0.00000"/>
    <numFmt numFmtId="196" formatCode="0.0000%"/>
    <numFmt numFmtId="197" formatCode="0.00000%"/>
    <numFmt numFmtId="198" formatCode="0.0000000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0.000000%"/>
    <numFmt numFmtId="204" formatCode="0.0000000%"/>
    <numFmt numFmtId="205" formatCode="0.00000000%"/>
    <numFmt numFmtId="206" formatCode="0.00000000_)"/>
  </numFmts>
  <fonts count="55">
    <font>
      <sz val="12"/>
      <name val="Helv"/>
      <family val="0"/>
    </font>
    <font>
      <sz val="10"/>
      <name val="Arial"/>
      <family val="0"/>
    </font>
    <font>
      <sz val="14"/>
      <name val="Helv"/>
      <family val="0"/>
    </font>
    <font>
      <sz val="14"/>
      <color indexed="12"/>
      <name val="Helv"/>
      <family val="0"/>
    </font>
    <font>
      <sz val="12"/>
      <color indexed="10"/>
      <name val="Helv"/>
      <family val="0"/>
    </font>
    <font>
      <b/>
      <u val="single"/>
      <sz val="14"/>
      <color indexed="10"/>
      <name val="Helv"/>
      <family val="0"/>
    </font>
    <font>
      <b/>
      <u val="single"/>
      <sz val="14"/>
      <name val="Helv"/>
      <family val="0"/>
    </font>
    <font>
      <b/>
      <u val="single"/>
      <sz val="12"/>
      <name val="Helv"/>
      <family val="0"/>
    </font>
    <font>
      <sz val="12"/>
      <color indexed="12"/>
      <name val="Helv"/>
      <family val="0"/>
    </font>
    <font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2"/>
      <name val="Arial"/>
      <family val="2"/>
    </font>
    <font>
      <u val="singleAccounting"/>
      <sz val="14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Accounting"/>
      <sz val="12"/>
      <name val="Helv"/>
      <family val="0"/>
    </font>
    <font>
      <u val="single"/>
      <sz val="14"/>
      <color indexed="12"/>
      <name val="Helv"/>
      <family val="0"/>
    </font>
    <font>
      <u val="single"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2"/>
      <name val="Helv"/>
      <family val="0"/>
    </font>
    <font>
      <sz val="9"/>
      <name val="Helv"/>
      <family val="0"/>
    </font>
    <font>
      <i/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b/>
      <u val="double"/>
      <sz val="12"/>
      <name val="Arial"/>
      <family val="2"/>
    </font>
    <font>
      <b/>
      <sz val="14"/>
      <name val="Helv"/>
      <family val="0"/>
    </font>
    <font>
      <sz val="12"/>
      <color indexed="56"/>
      <name val="Helv"/>
      <family val="0"/>
    </font>
    <font>
      <sz val="14"/>
      <color indexed="56"/>
      <name val="Helv"/>
      <family val="0"/>
    </font>
    <font>
      <u val="single"/>
      <sz val="12"/>
      <color indexed="56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9" fillId="0" borderId="0" xfId="0" applyFont="1" applyFill="1" applyAlignment="1">
      <alignment/>
    </xf>
    <xf numFmtId="37" fontId="12" fillId="0" borderId="0" xfId="0" applyNumberFormat="1" applyFont="1" applyFill="1" applyAlignment="1" applyProtection="1">
      <alignment/>
      <protection locked="0"/>
    </xf>
    <xf numFmtId="164" fontId="10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6" fontId="12" fillId="0" borderId="0" xfId="0" applyNumberFormat="1" applyFont="1" applyFill="1" applyAlignment="1" applyProtection="1">
      <alignment/>
      <protection locked="0"/>
    </xf>
    <xf numFmtId="175" fontId="9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4" fontId="8" fillId="0" borderId="0" xfId="0" applyFont="1" applyFill="1" applyAlignment="1">
      <alignment/>
    </xf>
    <xf numFmtId="37" fontId="10" fillId="0" borderId="0" xfId="0" applyNumberFormat="1" applyFont="1" applyFill="1" applyAlignment="1" applyProtection="1">
      <alignment/>
      <protection locked="0"/>
    </xf>
    <xf numFmtId="186" fontId="4" fillId="0" borderId="0" xfId="44" applyNumberFormat="1" applyFont="1" applyFill="1" applyAlignment="1">
      <alignment/>
    </xf>
    <xf numFmtId="177" fontId="4" fillId="0" borderId="0" xfId="42" applyNumberFormat="1" applyFont="1" applyFill="1" applyAlignment="1">
      <alignment/>
    </xf>
    <xf numFmtId="164" fontId="10" fillId="0" borderId="10" xfId="0" applyFont="1" applyFill="1" applyBorder="1" applyAlignment="1" applyProtection="1">
      <alignment horizontal="center"/>
      <protection/>
    </xf>
    <xf numFmtId="164" fontId="10" fillId="0" borderId="11" xfId="0" applyFont="1" applyFill="1" applyBorder="1" applyAlignment="1" applyProtection="1">
      <alignment horizontal="center"/>
      <protection/>
    </xf>
    <xf numFmtId="164" fontId="10" fillId="0" borderId="0" xfId="0" applyFont="1" applyFill="1" applyAlignment="1" applyProtection="1">
      <alignment horizontal="center"/>
      <protection/>
    </xf>
    <xf numFmtId="3" fontId="9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 quotePrefix="1">
      <alignment horizontal="center"/>
    </xf>
    <xf numFmtId="164" fontId="40" fillId="0" borderId="0" xfId="0" applyFont="1" applyFill="1" applyBorder="1" applyAlignment="1">
      <alignment horizontal="center"/>
    </xf>
    <xf numFmtId="177" fontId="40" fillId="0" borderId="0" xfId="42" applyNumberFormat="1" applyFont="1" applyFill="1" applyBorder="1" applyAlignment="1" quotePrefix="1">
      <alignment horizontal="center"/>
    </xf>
    <xf numFmtId="177" fontId="40" fillId="0" borderId="0" xfId="42" applyNumberFormat="1" applyFont="1" applyFill="1" applyBorder="1" applyAlignment="1">
      <alignment horizontal="center"/>
    </xf>
    <xf numFmtId="164" fontId="40" fillId="0" borderId="0" xfId="0" applyFont="1" applyFill="1" applyBorder="1" applyAlignment="1" applyProtection="1">
      <alignment horizontal="center"/>
      <protection/>
    </xf>
    <xf numFmtId="164" fontId="9" fillId="0" borderId="10" xfId="0" applyFont="1" applyFill="1" applyBorder="1" applyAlignment="1" applyProtection="1">
      <alignment horizontal="left"/>
      <protection/>
    </xf>
    <xf numFmtId="3" fontId="9" fillId="0" borderId="0" xfId="0" applyNumberFormat="1" applyFont="1" applyFill="1" applyAlignment="1" applyProtection="1">
      <alignment horizontal="left"/>
      <protection/>
    </xf>
    <xf numFmtId="44" fontId="10" fillId="0" borderId="0" xfId="44" applyFont="1" applyFill="1" applyAlignment="1" applyProtection="1">
      <alignment/>
      <protection locked="0"/>
    </xf>
    <xf numFmtId="37" fontId="10" fillId="0" borderId="0" xfId="44" applyNumberFormat="1" applyFont="1" applyFill="1" applyAlignment="1" applyProtection="1">
      <alignment/>
      <protection locked="0"/>
    </xf>
    <xf numFmtId="7" fontId="12" fillId="0" borderId="0" xfId="0" applyNumberFormat="1" applyFont="1" applyFill="1" applyAlignment="1" applyProtection="1">
      <alignment/>
      <protection locked="0"/>
    </xf>
    <xf numFmtId="164" fontId="41" fillId="0" borderId="0" xfId="0" applyFont="1" applyFill="1" applyAlignment="1">
      <alignment horizontal="center"/>
    </xf>
    <xf numFmtId="37" fontId="41" fillId="0" borderId="0" xfId="0" applyNumberFormat="1" applyFont="1" applyFill="1" applyAlignment="1" applyProtection="1">
      <alignment/>
      <protection locked="0"/>
    </xf>
    <xf numFmtId="44" fontId="41" fillId="0" borderId="0" xfId="44" applyFont="1" applyFill="1" applyAlignment="1" applyProtection="1">
      <alignment/>
      <protection locked="0"/>
    </xf>
    <xf numFmtId="164" fontId="0" fillId="0" borderId="0" xfId="0" applyFont="1" applyFill="1" applyBorder="1" applyAlignment="1">
      <alignment/>
    </xf>
    <xf numFmtId="3" fontId="37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0" applyFont="1" applyFill="1" applyAlignment="1" applyProtection="1">
      <alignment horizontal="left"/>
      <protection locked="0"/>
    </xf>
    <xf numFmtId="164" fontId="45" fillId="0" borderId="0" xfId="0" applyFont="1" applyFill="1" applyAlignment="1">
      <alignment horizontal="right"/>
    </xf>
    <xf numFmtId="6" fontId="45" fillId="0" borderId="12" xfId="44" applyNumberFormat="1" applyFont="1" applyFill="1" applyBorder="1" applyAlignment="1" applyProtection="1">
      <alignment horizontal="left"/>
      <protection locked="0"/>
    </xf>
    <xf numFmtId="37" fontId="45" fillId="0" borderId="12" xfId="0" applyNumberFormat="1" applyFont="1" applyFill="1" applyBorder="1" applyAlignment="1" applyProtection="1">
      <alignment horizontal="right"/>
      <protection locked="0"/>
    </xf>
    <xf numFmtId="164" fontId="41" fillId="0" borderId="0" xfId="0" applyFont="1" applyFill="1" applyAlignment="1" applyProtection="1">
      <alignment horizontal="left"/>
      <protection locked="0"/>
    </xf>
    <xf numFmtId="37" fontId="49" fillId="0" borderId="0" xfId="0" applyNumberFormat="1" applyFont="1" applyFill="1" applyAlignment="1" applyProtection="1">
      <alignment/>
      <protection locked="0"/>
    </xf>
    <xf numFmtId="164" fontId="46" fillId="0" borderId="0" xfId="0" applyFont="1" applyFill="1" applyAlignment="1" applyProtection="1" quotePrefix="1">
      <alignment horizontal="left"/>
      <protection locked="0"/>
    </xf>
    <xf numFmtId="164" fontId="46" fillId="0" borderId="0" xfId="0" applyFont="1" applyFill="1" applyAlignment="1">
      <alignment/>
    </xf>
    <xf numFmtId="166" fontId="46" fillId="0" borderId="0" xfId="0" applyNumberFormat="1" applyFont="1" applyFill="1" applyAlignment="1" applyProtection="1">
      <alignment/>
      <protection locked="0"/>
    </xf>
    <xf numFmtId="164" fontId="48" fillId="0" borderId="0" xfId="0" applyFont="1" applyFill="1" applyAlignment="1">
      <alignment/>
    </xf>
    <xf numFmtId="7" fontId="48" fillId="0" borderId="0" xfId="0" applyNumberFormat="1" applyFont="1" applyFill="1" applyAlignment="1" applyProtection="1">
      <alignment horizontal="center"/>
      <protection locked="0"/>
    </xf>
    <xf numFmtId="7" fontId="46" fillId="0" borderId="0" xfId="0" applyNumberFormat="1" applyFont="1" applyFill="1" applyAlignment="1" applyProtection="1">
      <alignment/>
      <protection locked="0"/>
    </xf>
    <xf numFmtId="177" fontId="10" fillId="0" borderId="0" xfId="44" applyNumberFormat="1" applyFont="1" applyFill="1" applyAlignment="1" applyProtection="1">
      <alignment/>
      <protection locked="0"/>
    </xf>
    <xf numFmtId="186" fontId="10" fillId="0" borderId="0" xfId="44" applyNumberFormat="1" applyFont="1" applyFill="1" applyAlignment="1" applyProtection="1">
      <alignment/>
      <protection locked="0"/>
    </xf>
    <xf numFmtId="186" fontId="10" fillId="0" borderId="0" xfId="44" applyNumberFormat="1" applyFont="1" applyFill="1" applyBorder="1" applyAlignment="1">
      <alignment/>
    </xf>
    <xf numFmtId="177" fontId="46" fillId="0" borderId="0" xfId="42" applyNumberFormat="1" applyFont="1" applyFill="1" applyBorder="1" applyAlignment="1">
      <alignment/>
    </xf>
    <xf numFmtId="10" fontId="53" fillId="0" borderId="0" xfId="0" applyNumberFormat="1" applyFont="1" applyFill="1" applyBorder="1" applyAlignment="1" applyProtection="1">
      <alignment/>
      <protection locked="0"/>
    </xf>
    <xf numFmtId="164" fontId="52" fillId="0" borderId="0" xfId="0" applyFont="1" applyFill="1" applyAlignment="1">
      <alignment/>
    </xf>
    <xf numFmtId="164" fontId="9" fillId="0" borderId="0" xfId="0" applyFont="1" applyFill="1" applyBorder="1" applyAlignment="1">
      <alignment/>
    </xf>
    <xf numFmtId="164" fontId="10" fillId="0" borderId="0" xfId="0" applyFont="1" applyFill="1" applyBorder="1" applyAlignment="1" applyProtection="1">
      <alignment horizontal="left"/>
      <protection/>
    </xf>
    <xf numFmtId="164" fontId="10" fillId="0" borderId="0" xfId="0" applyFont="1" applyFill="1" applyBorder="1" applyAlignment="1">
      <alignment/>
    </xf>
    <xf numFmtId="164" fontId="9" fillId="0" borderId="11" xfId="0" applyFont="1" applyFill="1" applyBorder="1" applyAlignment="1">
      <alignment/>
    </xf>
    <xf numFmtId="164" fontId="10" fillId="0" borderId="11" xfId="0" applyFont="1" applyFill="1" applyBorder="1" applyAlignment="1" applyProtection="1">
      <alignment horizontal="left"/>
      <protection/>
    </xf>
    <xf numFmtId="164" fontId="10" fillId="0" borderId="11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10" fillId="0" borderId="0" xfId="0" applyFont="1" applyFill="1" applyAlignment="1" applyProtection="1" quotePrefix="1">
      <alignment horizontal="left"/>
      <protection/>
    </xf>
    <xf numFmtId="164" fontId="10" fillId="0" borderId="0" xfId="0" applyFont="1" applyFill="1" applyAlignment="1" applyProtection="1">
      <alignment horizontal="left"/>
      <protection/>
    </xf>
    <xf numFmtId="164" fontId="0" fillId="0" borderId="0" xfId="0" applyFont="1" applyFill="1" applyAlignment="1">
      <alignment/>
    </xf>
    <xf numFmtId="164" fontId="10" fillId="0" borderId="0" xfId="0" applyFont="1" applyFill="1" applyBorder="1" applyAlignment="1" applyProtection="1" quotePrefix="1">
      <alignment horizontal="left"/>
      <protection/>
    </xf>
    <xf numFmtId="164" fontId="10" fillId="0" borderId="11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 horizontal="center"/>
    </xf>
    <xf numFmtId="164" fontId="11" fillId="0" borderId="0" xfId="0" applyFont="1" applyFill="1" applyAlignment="1" applyProtection="1">
      <alignment horizontal="left"/>
      <protection locked="0"/>
    </xf>
    <xf numFmtId="37" fontId="10" fillId="0" borderId="0" xfId="0" applyNumberFormat="1" applyFont="1" applyFill="1" applyAlignment="1" applyProtection="1">
      <alignment horizontal="right"/>
      <protection locked="0"/>
    </xf>
    <xf numFmtId="10" fontId="10" fillId="0" borderId="0" xfId="57" applyNumberFormat="1" applyFont="1" applyFill="1" applyAlignment="1" applyProtection="1">
      <alignment/>
      <protection locked="0"/>
    </xf>
    <xf numFmtId="164" fontId="10" fillId="0" borderId="13" xfId="0" applyFont="1" applyFill="1" applyBorder="1" applyAlignment="1" applyProtection="1">
      <alignment horizontal="left"/>
      <protection/>
    </xf>
    <xf numFmtId="164" fontId="10" fillId="0" borderId="13" xfId="0" applyFont="1" applyFill="1" applyBorder="1" applyAlignment="1">
      <alignment/>
    </xf>
    <xf numFmtId="164" fontId="9" fillId="0" borderId="13" xfId="0" applyFont="1" applyFill="1" applyBorder="1" applyAlignment="1">
      <alignment/>
    </xf>
    <xf numFmtId="164" fontId="46" fillId="0" borderId="0" xfId="0" applyFont="1" applyFill="1" applyAlignment="1" applyProtection="1">
      <alignment horizontal="left"/>
      <protection locked="0"/>
    </xf>
    <xf numFmtId="37" fontId="46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 locked="0"/>
    </xf>
    <xf numFmtId="37" fontId="10" fillId="0" borderId="12" xfId="0" applyNumberFormat="1" applyFont="1" applyFill="1" applyBorder="1" applyAlignment="1" applyProtection="1">
      <alignment horizontal="right"/>
      <protection locked="0"/>
    </xf>
    <xf numFmtId="37" fontId="10" fillId="0" borderId="12" xfId="0" applyNumberFormat="1" applyFont="1" applyFill="1" applyBorder="1" applyAlignment="1" applyProtection="1">
      <alignment/>
      <protection locked="0"/>
    </xf>
    <xf numFmtId="164" fontId="10" fillId="0" borderId="12" xfId="0" applyFont="1" applyFill="1" applyBorder="1" applyAlignment="1" applyProtection="1">
      <alignment horizontal="left"/>
      <protection locked="0"/>
    </xf>
    <xf numFmtId="164" fontId="10" fillId="0" borderId="12" xfId="0" applyFont="1" applyFill="1" applyBorder="1" applyAlignment="1">
      <alignment/>
    </xf>
    <xf numFmtId="164" fontId="9" fillId="0" borderId="12" xfId="0" applyFont="1" applyFill="1" applyBorder="1" applyAlignment="1">
      <alignment/>
    </xf>
    <xf numFmtId="168" fontId="10" fillId="0" borderId="0" xfId="0" applyNumberFormat="1" applyFont="1" applyFill="1" applyAlignment="1" applyProtection="1">
      <alignment/>
      <protection locked="0"/>
    </xf>
    <xf numFmtId="167" fontId="10" fillId="0" borderId="0" xfId="0" applyNumberFormat="1" applyFont="1" applyFill="1" applyAlignment="1" applyProtection="1">
      <alignment/>
      <protection locked="0"/>
    </xf>
    <xf numFmtId="164" fontId="10" fillId="0" borderId="0" xfId="0" applyFont="1" applyFill="1" applyBorder="1" applyAlignment="1" applyProtection="1">
      <alignment horizontal="center"/>
      <protection/>
    </xf>
    <xf numFmtId="164" fontId="46" fillId="0" borderId="0" xfId="0" applyFont="1" applyFill="1" applyBorder="1" applyAlignment="1" applyProtection="1">
      <alignment horizontal="left"/>
      <protection locked="0"/>
    </xf>
    <xf numFmtId="37" fontId="46" fillId="0" borderId="0" xfId="0" applyNumberFormat="1" applyFont="1" applyFill="1" applyBorder="1" applyAlignment="1" applyProtection="1">
      <alignment/>
      <protection locked="0"/>
    </xf>
    <xf numFmtId="164" fontId="48" fillId="0" borderId="0" xfId="0" applyFont="1" applyFill="1" applyBorder="1" applyAlignment="1">
      <alignment/>
    </xf>
    <xf numFmtId="164" fontId="46" fillId="0" borderId="12" xfId="0" applyFont="1" applyFill="1" applyBorder="1" applyAlignment="1" applyProtection="1">
      <alignment horizontal="left"/>
      <protection locked="0"/>
    </xf>
    <xf numFmtId="37" fontId="46" fillId="0" borderId="12" xfId="0" applyNumberFormat="1" applyFont="1" applyFill="1" applyBorder="1" applyAlignment="1" applyProtection="1">
      <alignment/>
      <protection locked="0"/>
    </xf>
    <xf numFmtId="164" fontId="48" fillId="0" borderId="12" xfId="0" applyFont="1" applyFill="1" applyBorder="1" applyAlignment="1">
      <alignment/>
    </xf>
    <xf numFmtId="37" fontId="46" fillId="0" borderId="0" xfId="0" applyNumberFormat="1" applyFont="1" applyFill="1" applyAlignment="1" applyProtection="1">
      <alignment horizontal="right"/>
      <protection locked="0"/>
    </xf>
    <xf numFmtId="10" fontId="46" fillId="0" borderId="0" xfId="57" applyNumberFormat="1" applyFont="1" applyFill="1" applyAlignment="1" applyProtection="1">
      <alignment/>
      <protection locked="0"/>
    </xf>
    <xf numFmtId="10" fontId="46" fillId="0" borderId="0" xfId="0" applyNumberFormat="1" applyFont="1" applyFill="1" applyAlignment="1" applyProtection="1">
      <alignment/>
      <protection locked="0"/>
    </xf>
    <xf numFmtId="37" fontId="10" fillId="0" borderId="0" xfId="0" applyNumberFormat="1" applyFont="1" applyFill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/>
      <protection locked="0"/>
    </xf>
    <xf numFmtId="164" fontId="6" fillId="0" borderId="0" xfId="0" applyFont="1" applyFill="1" applyBorder="1" applyAlignment="1">
      <alignment/>
    </xf>
    <xf numFmtId="164" fontId="7" fillId="0" borderId="0" xfId="0" applyFont="1" applyFill="1" applyAlignment="1">
      <alignment/>
    </xf>
    <xf numFmtId="10" fontId="10" fillId="0" borderId="0" xfId="0" applyNumberFormat="1" applyFont="1" applyFill="1" applyAlignment="1" applyProtection="1">
      <alignment horizontal="left"/>
      <protection locked="0"/>
    </xf>
    <xf numFmtId="10" fontId="10" fillId="0" borderId="0" xfId="0" applyNumberFormat="1" applyFont="1" applyFill="1" applyAlignment="1" applyProtection="1">
      <alignment/>
      <protection locked="0"/>
    </xf>
    <xf numFmtId="10" fontId="12" fillId="0" borderId="0" xfId="0" applyNumberFormat="1" applyFont="1" applyFill="1" applyAlignment="1" applyProtection="1">
      <alignment/>
      <protection locked="0"/>
    </xf>
    <xf numFmtId="10" fontId="3" fillId="0" borderId="0" xfId="0" applyNumberFormat="1" applyFont="1" applyFill="1" applyBorder="1" applyAlignment="1" applyProtection="1">
      <alignment/>
      <protection locked="0"/>
    </xf>
    <xf numFmtId="186" fontId="9" fillId="0" borderId="0" xfId="44" applyNumberFormat="1" applyFont="1" applyFill="1" applyAlignment="1">
      <alignment/>
    </xf>
    <xf numFmtId="165" fontId="10" fillId="0" borderId="0" xfId="0" applyNumberFormat="1" applyFont="1" applyFill="1" applyAlignment="1" applyProtection="1">
      <alignment/>
      <protection locked="0"/>
    </xf>
    <xf numFmtId="165" fontId="12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164" fontId="52" fillId="0" borderId="0" xfId="0" applyFont="1" applyFill="1" applyBorder="1" applyAlignment="1">
      <alignment/>
    </xf>
    <xf numFmtId="37" fontId="10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37" fontId="53" fillId="0" borderId="0" xfId="0" applyNumberFormat="1" applyFont="1" applyFill="1" applyBorder="1" applyAlignment="1" applyProtection="1">
      <alignment/>
      <protection locked="0"/>
    </xf>
    <xf numFmtId="186" fontId="34" fillId="0" borderId="0" xfId="44" applyNumberFormat="1" applyFont="1" applyFill="1" applyAlignment="1">
      <alignment/>
    </xf>
    <xf numFmtId="186" fontId="34" fillId="0" borderId="13" xfId="44" applyNumberFormat="1" applyFont="1" applyFill="1" applyBorder="1" applyAlignment="1">
      <alignment/>
    </xf>
    <xf numFmtId="164" fontId="46" fillId="0" borderId="0" xfId="0" applyNumberFormat="1" applyFont="1" applyFill="1" applyAlignment="1" applyProtection="1">
      <alignment horizontal="left"/>
      <protection locked="0"/>
    </xf>
    <xf numFmtId="186" fontId="9" fillId="0" borderId="13" xfId="44" applyNumberFormat="1" applyFont="1" applyFill="1" applyBorder="1" applyAlignment="1">
      <alignment horizontal="right"/>
    </xf>
    <xf numFmtId="168" fontId="0" fillId="0" borderId="0" xfId="0" applyNumberFormat="1" applyFill="1" applyAlignment="1">
      <alignment/>
    </xf>
    <xf numFmtId="164" fontId="53" fillId="0" borderId="0" xfId="0" applyFont="1" applyFill="1" applyBorder="1" applyAlignment="1">
      <alignment/>
    </xf>
    <xf numFmtId="10" fontId="46" fillId="0" borderId="0" xfId="0" applyNumberFormat="1" applyFont="1" applyFill="1" applyAlignment="1" applyProtection="1">
      <alignment horizontal="left"/>
      <protection locked="0"/>
    </xf>
    <xf numFmtId="165" fontId="10" fillId="0" borderId="0" xfId="0" applyNumberFormat="1" applyFont="1" applyFill="1" applyAlignment="1" applyProtection="1">
      <alignment horizontal="left"/>
      <protection locked="0"/>
    </xf>
    <xf numFmtId="167" fontId="0" fillId="0" borderId="0" xfId="0" applyNumberFormat="1" applyFill="1" applyAlignment="1">
      <alignment/>
    </xf>
    <xf numFmtId="9" fontId="0" fillId="0" borderId="0" xfId="57" applyFont="1" applyFill="1" applyAlignment="1">
      <alignment horizontal="left"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0" fillId="0" borderId="0" xfId="0" applyFont="1" applyFill="1" applyAlignment="1" applyProtection="1" quotePrefix="1">
      <alignment horizontal="left"/>
      <protection locked="0"/>
    </xf>
    <xf numFmtId="164" fontId="8" fillId="0" borderId="0" xfId="0" applyFont="1" applyFill="1" applyBorder="1" applyAlignment="1">
      <alignment/>
    </xf>
    <xf numFmtId="164" fontId="15" fillId="0" borderId="0" xfId="0" applyFont="1" applyFill="1" applyAlignment="1">
      <alignment/>
    </xf>
    <xf numFmtId="165" fontId="46" fillId="0" borderId="0" xfId="0" applyNumberFormat="1" applyFont="1" applyFill="1" applyAlignment="1" applyProtection="1">
      <alignment horizontal="left"/>
      <protection locked="0"/>
    </xf>
    <xf numFmtId="7" fontId="3" fillId="0" borderId="0" xfId="0" applyNumberFormat="1" applyFont="1" applyFill="1" applyBorder="1" applyAlignment="1" applyProtection="1">
      <alignment/>
      <protection locked="0"/>
    </xf>
    <xf numFmtId="164" fontId="12" fillId="0" borderId="0" xfId="0" applyFont="1" applyFill="1" applyAlignment="1">
      <alignment/>
    </xf>
    <xf numFmtId="164" fontId="3" fillId="0" borderId="0" xfId="0" applyFont="1" applyFill="1" applyBorder="1" applyAlignment="1">
      <alignment/>
    </xf>
    <xf numFmtId="164" fontId="41" fillId="0" borderId="0" xfId="0" applyFont="1" applyFill="1" applyAlignment="1">
      <alignment/>
    </xf>
    <xf numFmtId="164" fontId="42" fillId="0" borderId="0" xfId="0" applyFont="1" applyFill="1" applyAlignment="1">
      <alignment/>
    </xf>
    <xf numFmtId="164" fontId="43" fillId="0" borderId="0" xfId="0" applyFont="1" applyFill="1" applyBorder="1" applyAlignment="1">
      <alignment/>
    </xf>
    <xf numFmtId="164" fontId="43" fillId="0" borderId="0" xfId="0" applyFont="1" applyFill="1" applyAlignment="1">
      <alignment/>
    </xf>
    <xf numFmtId="164" fontId="44" fillId="0" borderId="0" xfId="0" applyFont="1" applyFill="1" applyAlignment="1">
      <alignment/>
    </xf>
    <xf numFmtId="164" fontId="50" fillId="0" borderId="0" xfId="0" applyFont="1" applyFill="1" applyAlignment="1">
      <alignment/>
    </xf>
    <xf numFmtId="177" fontId="0" fillId="0" borderId="0" xfId="42" applyNumberFormat="1" applyFont="1" applyFill="1" applyAlignment="1">
      <alignment/>
    </xf>
    <xf numFmtId="177" fontId="10" fillId="0" borderId="0" xfId="42" applyNumberFormat="1" applyFont="1" applyFill="1" applyAlignment="1">
      <alignment/>
    </xf>
    <xf numFmtId="164" fontId="2" fillId="0" borderId="0" xfId="0" applyFont="1" applyFill="1" applyBorder="1" applyAlignment="1">
      <alignment/>
    </xf>
    <xf numFmtId="186" fontId="0" fillId="0" borderId="0" xfId="44" applyNumberFormat="1" applyFont="1" applyFill="1" applyAlignment="1">
      <alignment/>
    </xf>
    <xf numFmtId="186" fontId="38" fillId="0" borderId="0" xfId="44" applyNumberFormat="1" applyFont="1" applyFill="1" applyAlignment="1">
      <alignment/>
    </xf>
    <xf numFmtId="178" fontId="10" fillId="0" borderId="0" xfId="0" applyNumberFormat="1" applyFont="1" applyFill="1" applyAlignment="1">
      <alignment/>
    </xf>
    <xf numFmtId="202" fontId="10" fillId="0" borderId="0" xfId="42" applyNumberFormat="1" applyFont="1" applyFill="1" applyAlignment="1" applyProtection="1">
      <alignment/>
      <protection locked="0"/>
    </xf>
    <xf numFmtId="178" fontId="10" fillId="0" borderId="0" xfId="0" applyNumberFormat="1" applyFont="1" applyFill="1" applyAlignment="1" applyProtection="1">
      <alignment/>
      <protection locked="0"/>
    </xf>
    <xf numFmtId="178" fontId="12" fillId="0" borderId="0" xfId="0" applyNumberFormat="1" applyFont="1" applyFill="1" applyAlignment="1" applyProtection="1">
      <alignment/>
      <protection locked="0"/>
    </xf>
    <xf numFmtId="178" fontId="3" fillId="0" borderId="0" xfId="0" applyNumberFormat="1" applyFont="1" applyFill="1" applyBorder="1" applyAlignment="1" applyProtection="1">
      <alignment/>
      <protection locked="0"/>
    </xf>
    <xf numFmtId="177" fontId="0" fillId="0" borderId="0" xfId="42" applyNumberFormat="1" applyFont="1" applyFill="1" applyAlignment="1">
      <alignment/>
    </xf>
    <xf numFmtId="166" fontId="10" fillId="0" borderId="0" xfId="0" applyNumberFormat="1" applyFont="1" applyFill="1" applyAlignment="1">
      <alignment/>
    </xf>
    <xf numFmtId="177" fontId="38" fillId="0" borderId="0" xfId="42" applyNumberFormat="1" applyFont="1" applyFill="1" applyAlignment="1">
      <alignment/>
    </xf>
    <xf numFmtId="198" fontId="9" fillId="0" borderId="0" xfId="0" applyNumberFormat="1" applyFont="1" applyFill="1" applyAlignment="1">
      <alignment/>
    </xf>
    <xf numFmtId="37" fontId="39" fillId="0" borderId="0" xfId="0" applyNumberFormat="1" applyFont="1" applyFill="1" applyBorder="1" applyAlignment="1" applyProtection="1">
      <alignment/>
      <protection locked="0"/>
    </xf>
    <xf numFmtId="164" fontId="54" fillId="0" borderId="0" xfId="0" applyFont="1" applyFill="1" applyAlignment="1">
      <alignment/>
    </xf>
    <xf numFmtId="193" fontId="0" fillId="0" borderId="0" xfId="44" applyNumberFormat="1" applyFont="1" applyFill="1" applyAlignment="1">
      <alignment/>
    </xf>
    <xf numFmtId="177" fontId="10" fillId="0" borderId="0" xfId="42" applyNumberFormat="1" applyFont="1" applyFill="1" applyAlignment="1" applyProtection="1">
      <alignment/>
      <protection locked="0"/>
    </xf>
    <xf numFmtId="37" fontId="11" fillId="0" borderId="0" xfId="0" applyNumberFormat="1" applyFont="1" applyFill="1" applyAlignment="1" applyProtection="1">
      <alignment/>
      <protection locked="0"/>
    </xf>
    <xf numFmtId="188" fontId="0" fillId="0" borderId="0" xfId="44" applyNumberFormat="1" applyFont="1" applyFill="1" applyAlignment="1">
      <alignment/>
    </xf>
    <xf numFmtId="166" fontId="0" fillId="0" borderId="0" xfId="0" applyNumberFormat="1" applyFill="1" applyAlignment="1">
      <alignment/>
    </xf>
    <xf numFmtId="7" fontId="10" fillId="0" borderId="0" xfId="0" applyNumberFormat="1" applyFont="1" applyFill="1" applyAlignment="1" applyProtection="1">
      <alignment/>
      <protection locked="0"/>
    </xf>
    <xf numFmtId="165" fontId="10" fillId="0" borderId="0" xfId="0" applyNumberFormat="1" applyFont="1" applyFill="1" applyAlignment="1">
      <alignment/>
    </xf>
    <xf numFmtId="167" fontId="10" fillId="0" borderId="0" xfId="0" applyNumberFormat="1" applyFont="1" applyFill="1" applyAlignment="1" applyProtection="1">
      <alignment horizontal="left"/>
      <protection locked="0"/>
    </xf>
    <xf numFmtId="168" fontId="12" fillId="0" borderId="0" xfId="0" applyNumberFormat="1" applyFont="1" applyFill="1" applyAlignment="1" applyProtection="1">
      <alignment/>
      <protection locked="0"/>
    </xf>
    <xf numFmtId="168" fontId="3" fillId="0" borderId="0" xfId="0" applyNumberFormat="1" applyFont="1" applyFill="1" applyBorder="1" applyAlignment="1" applyProtection="1">
      <alignment/>
      <protection locked="0"/>
    </xf>
    <xf numFmtId="168" fontId="10" fillId="0" borderId="0" xfId="0" applyNumberFormat="1" applyFont="1" applyFill="1" applyAlignment="1">
      <alignment/>
    </xf>
    <xf numFmtId="190" fontId="35" fillId="0" borderId="0" xfId="42" applyNumberFormat="1" applyFont="1" applyFill="1" applyAlignment="1">
      <alignment/>
    </xf>
    <xf numFmtId="190" fontId="10" fillId="0" borderId="0" xfId="0" applyNumberFormat="1" applyFont="1" applyFill="1" applyAlignment="1" applyProtection="1">
      <alignment/>
      <protection locked="0"/>
    </xf>
    <xf numFmtId="190" fontId="35" fillId="0" borderId="0" xfId="42" applyNumberFormat="1" applyFont="1" applyFill="1" applyAlignment="1">
      <alignment horizontal="right"/>
    </xf>
    <xf numFmtId="168" fontId="12" fillId="0" borderId="0" xfId="0" applyNumberFormat="1" applyFont="1" applyFill="1" applyAlignment="1" applyProtection="1">
      <alignment horizontal="center"/>
      <protection locked="0"/>
    </xf>
    <xf numFmtId="164" fontId="47" fillId="0" borderId="0" xfId="0" applyFont="1" applyFill="1" applyAlignment="1">
      <alignment horizontal="center"/>
    </xf>
    <xf numFmtId="164" fontId="36" fillId="0" borderId="0" xfId="0" applyFont="1" applyFill="1" applyAlignment="1">
      <alignment horizontal="center"/>
    </xf>
    <xf numFmtId="164" fontId="16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4" fillId="0" borderId="0" xfId="0" applyFont="1" applyFill="1" applyBorder="1" applyAlignment="1">
      <alignment/>
    </xf>
    <xf numFmtId="179" fontId="12" fillId="0" borderId="0" xfId="0" applyNumberFormat="1" applyFont="1" applyFill="1" applyAlignment="1" applyProtection="1">
      <alignment/>
      <protection locked="0"/>
    </xf>
    <xf numFmtId="164" fontId="13" fillId="0" borderId="0" xfId="0" applyFont="1" applyFill="1" applyAlignment="1">
      <alignment/>
    </xf>
    <xf numFmtId="164" fontId="14" fillId="0" borderId="0" xfId="0" applyFont="1" applyFill="1" applyAlignment="1">
      <alignment/>
    </xf>
    <xf numFmtId="44" fontId="9" fillId="0" borderId="0" xfId="44" applyFont="1" applyFill="1" applyAlignment="1">
      <alignment/>
    </xf>
    <xf numFmtId="165" fontId="46" fillId="0" borderId="0" xfId="0" applyNumberFormat="1" applyFont="1" applyFill="1" applyAlignment="1" applyProtection="1">
      <alignment horizontal="left"/>
      <protection/>
    </xf>
    <xf numFmtId="164" fontId="47" fillId="0" borderId="0" xfId="0" applyFont="1" applyFill="1" applyAlignment="1">
      <alignment/>
    </xf>
    <xf numFmtId="37" fontId="10" fillId="0" borderId="0" xfId="0" applyNumberFormat="1" applyFont="1" applyFill="1" applyAlignment="1" applyProtection="1">
      <alignment horizontal="centerContinuous"/>
      <protection locked="0"/>
    </xf>
    <xf numFmtId="37" fontId="47" fillId="0" borderId="0" xfId="0" applyNumberFormat="1" applyFont="1" applyFill="1" applyAlignment="1" applyProtection="1">
      <alignment horizontal="centerContinuous"/>
      <protection locked="0"/>
    </xf>
    <xf numFmtId="164" fontId="2" fillId="0" borderId="0" xfId="0" applyFont="1" applyFill="1" applyAlignment="1">
      <alignment/>
    </xf>
    <xf numFmtId="7" fontId="10" fillId="0" borderId="0" xfId="44" applyNumberFormat="1" applyFont="1" applyFill="1" applyAlignment="1" applyProtection="1">
      <alignment/>
      <protection locked="0"/>
    </xf>
    <xf numFmtId="164" fontId="9" fillId="0" borderId="0" xfId="0" applyFont="1" applyFill="1" applyAlignment="1">
      <alignment horizontal="center"/>
    </xf>
    <xf numFmtId="164" fontId="10" fillId="0" borderId="0" xfId="0" applyFont="1" applyFill="1" applyBorder="1" applyAlignment="1">
      <alignment horizontal="right"/>
    </xf>
    <xf numFmtId="165" fontId="46" fillId="0" borderId="0" xfId="0" applyNumberFormat="1" applyFont="1" applyFill="1" applyAlignment="1">
      <alignment/>
    </xf>
    <xf numFmtId="186" fontId="46" fillId="0" borderId="14" xfId="44" applyNumberFormat="1" applyFont="1" applyFill="1" applyBorder="1" applyAlignment="1">
      <alignment/>
    </xf>
    <xf numFmtId="177" fontId="51" fillId="0" borderId="0" xfId="42" applyNumberFormat="1" applyFont="1" applyFill="1" applyAlignment="1">
      <alignment/>
    </xf>
    <xf numFmtId="177" fontId="46" fillId="0" borderId="0" xfId="42" applyNumberFormat="1" applyFont="1" applyFill="1" applyAlignment="1">
      <alignment/>
    </xf>
    <xf numFmtId="37" fontId="10" fillId="24" borderId="0" xfId="0" applyNumberFormat="1" applyFont="1" applyFill="1" applyAlignment="1" applyProtection="1">
      <alignment/>
      <protection locked="0"/>
    </xf>
    <xf numFmtId="37" fontId="11" fillId="24" borderId="0" xfId="0" applyNumberFormat="1" applyFont="1" applyFill="1" applyAlignment="1" applyProtection="1">
      <alignment/>
      <protection locked="0"/>
    </xf>
    <xf numFmtId="37" fontId="46" fillId="24" borderId="0" xfId="0" applyNumberFormat="1" applyFont="1" applyFill="1" applyAlignment="1" applyProtection="1">
      <alignment/>
      <protection locked="0"/>
    </xf>
    <xf numFmtId="7" fontId="10" fillId="0" borderId="0" xfId="44" applyNumberFormat="1" applyFont="1" applyFill="1" applyAlignment="1" applyProtection="1">
      <alignment horizontal="right"/>
      <protection locked="0"/>
    </xf>
    <xf numFmtId="206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Rate%20Case%202008\PGS%20Templates\PGS%20E%20schedules\SCH-E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Rate%20Case%202008\PGS%20Templates\PGS%20G%20schedules\SCH-G2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wkmf\Local%20Settings\Temporary%20Internet%20Files\Content.Outlook\ITOJ3WQP\SCH-H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wkmf\Local%20Settings\Temporary%20Internet%20Files\Content.Outlook\ITOJ3WQP\5-5-09%20PSC%20adjust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-1"/>
      <sheetName val="SCNew"/>
      <sheetName val="Fuel Rev"/>
      <sheetName val="Unbilled Fuel"/>
      <sheetName val="Actual 2007"/>
      <sheetName val="Plan 2009"/>
      <sheetName val="Plan 2009 New"/>
      <sheetName val="SO Hist"/>
      <sheetName val="SC"/>
    </sheetNames>
    <sheetDataSet>
      <sheetData sheetId="0">
        <row r="140">
          <cell r="C140">
            <v>924113</v>
          </cell>
          <cell r="D140">
            <v>1900910</v>
          </cell>
          <cell r="E140">
            <v>850266</v>
          </cell>
          <cell r="F140">
            <v>8592</v>
          </cell>
          <cell r="G140">
            <v>756</v>
          </cell>
          <cell r="H140">
            <v>9504</v>
          </cell>
          <cell r="I140">
            <v>125113</v>
          </cell>
          <cell r="J140">
            <v>159942</v>
          </cell>
          <cell r="K140">
            <v>72768</v>
          </cell>
          <cell r="L140">
            <v>9930.655999999999</v>
          </cell>
          <cell r="M140">
            <v>1476</v>
          </cell>
          <cell r="N140">
            <v>1242</v>
          </cell>
          <cell r="O140">
            <v>312</v>
          </cell>
          <cell r="P140">
            <v>168</v>
          </cell>
          <cell r="Q140">
            <v>36</v>
          </cell>
          <cell r="R140">
            <v>180</v>
          </cell>
          <cell r="S140">
            <v>132</v>
          </cell>
          <cell r="T140">
            <v>96</v>
          </cell>
        </row>
        <row r="175">
          <cell r="I175">
            <v>35</v>
          </cell>
          <cell r="J175">
            <v>1284801</v>
          </cell>
          <cell r="M175">
            <v>50</v>
          </cell>
          <cell r="N175">
            <v>1835430</v>
          </cell>
        </row>
        <row r="176">
          <cell r="I176">
            <v>75</v>
          </cell>
          <cell r="J176">
            <v>182886</v>
          </cell>
          <cell r="N176">
            <v>158501.2</v>
          </cell>
        </row>
        <row r="177">
          <cell r="I177">
            <v>60</v>
          </cell>
          <cell r="J177">
            <v>1059992.824753785</v>
          </cell>
          <cell r="M177">
            <v>70</v>
          </cell>
          <cell r="N177">
            <v>1236658.2955460825</v>
          </cell>
        </row>
        <row r="178">
          <cell r="I178">
            <v>100</v>
          </cell>
          <cell r="J178">
            <v>99124.17903865941</v>
          </cell>
          <cell r="N178">
            <v>89211.76113479347</v>
          </cell>
        </row>
        <row r="179">
          <cell r="I179">
            <v>20</v>
          </cell>
          <cell r="J179">
            <v>1385568.9962075555</v>
          </cell>
          <cell r="M179">
            <v>20</v>
          </cell>
          <cell r="N179">
            <v>1385568.9962075555</v>
          </cell>
        </row>
        <row r="180">
          <cell r="I180">
            <v>20</v>
          </cell>
          <cell r="J180">
            <v>436452</v>
          </cell>
          <cell r="M180">
            <v>28</v>
          </cell>
          <cell r="N180">
            <v>611032.7999999999</v>
          </cell>
        </row>
        <row r="181">
          <cell r="I181" t="str">
            <v>5% or $25</v>
          </cell>
          <cell r="J181">
            <v>91903</v>
          </cell>
          <cell r="M181" t="str">
            <v>5% or $25</v>
          </cell>
          <cell r="N181">
            <v>91903.39999999982</v>
          </cell>
        </row>
        <row r="182">
          <cell r="I182">
            <v>144</v>
          </cell>
          <cell r="J182">
            <v>507999.9999999981</v>
          </cell>
          <cell r="M182">
            <v>144</v>
          </cell>
          <cell r="N182">
            <v>507999.9999999981</v>
          </cell>
        </row>
        <row r="183">
          <cell r="I183" t="str">
            <v>$142+$0.91 per acct</v>
          </cell>
          <cell r="J183">
            <v>176355.99999999924</v>
          </cell>
          <cell r="M183" t="str">
            <v>$142+$0.91 per acct</v>
          </cell>
          <cell r="N183">
            <v>174093.99999999924</v>
          </cell>
        </row>
        <row r="184">
          <cell r="I184" t="str">
            <v>Varies</v>
          </cell>
          <cell r="J184">
            <v>862216.8</v>
          </cell>
          <cell r="M184" t="str">
            <v>Varies</v>
          </cell>
          <cell r="N184">
            <v>862216.8</v>
          </cell>
        </row>
        <row r="185">
          <cell r="I185" t="str">
            <v>Varies</v>
          </cell>
          <cell r="J185">
            <v>367614.12</v>
          </cell>
          <cell r="M185" t="str">
            <v>Varies</v>
          </cell>
          <cell r="N185">
            <v>367614.12</v>
          </cell>
        </row>
        <row r="186">
          <cell r="I186">
            <v>25</v>
          </cell>
          <cell r="J186">
            <v>65755</v>
          </cell>
          <cell r="M186">
            <v>20</v>
          </cell>
          <cell r="N186">
            <v>52604</v>
          </cell>
        </row>
        <row r="187">
          <cell r="I187">
            <v>15</v>
          </cell>
          <cell r="J187">
            <v>74028</v>
          </cell>
          <cell r="M187">
            <v>25</v>
          </cell>
          <cell r="N187">
            <v>123380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G2-1"/>
      <sheetName val="data"/>
    </sheetNames>
    <sheetDataSet>
      <sheetData sheetId="0">
        <row r="30">
          <cell r="R30">
            <v>267636.06799459487</v>
          </cell>
        </row>
        <row r="31">
          <cell r="R31">
            <v>5722843.77326475</v>
          </cell>
        </row>
        <row r="32">
          <cell r="R32">
            <v>1201994.3863327624</v>
          </cell>
        </row>
        <row r="33">
          <cell r="R33">
            <v>1927730.7315000002</v>
          </cell>
        </row>
        <row r="34">
          <cell r="R34">
            <v>83979.61000000003</v>
          </cell>
        </row>
        <row r="35">
          <cell r="R3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H-2"/>
      <sheetName val="H-2 Reclass-Workpaper"/>
      <sheetName val="Print Macros"/>
    </sheetNames>
    <sheetDataSet>
      <sheetData sheetId="0">
        <row r="100">
          <cell r="E100">
            <v>59391044.01892853</v>
          </cell>
          <cell r="G100">
            <v>153109.44</v>
          </cell>
          <cell r="I100">
            <v>115660.04871158625</v>
          </cell>
          <cell r="K100">
            <v>262975.68</v>
          </cell>
          <cell r="M100">
            <v>5046880.432856772</v>
          </cell>
          <cell r="O100">
            <v>20534619.17771726</v>
          </cell>
          <cell r="Q100">
            <v>30498071.95314589</v>
          </cell>
          <cell r="S100">
            <v>15303329.128718164</v>
          </cell>
          <cell r="U100">
            <v>7839570.599112001</v>
          </cell>
          <cell r="W100">
            <v>6691955.805273</v>
          </cell>
          <cell r="Y100">
            <v>3568424.5221300004</v>
          </cell>
          <cell r="AA100">
            <v>4773640.14786</v>
          </cell>
          <cell r="AC100">
            <v>1531163.2865200804</v>
          </cell>
          <cell r="AE100">
            <v>66369.29483905534</v>
          </cell>
          <cell r="AG100">
            <v>228758.61232966665</v>
          </cell>
          <cell r="AI100">
            <v>6555854.985208858</v>
          </cell>
        </row>
        <row r="345">
          <cell r="C345">
            <v>560844755.1474365</v>
          </cell>
          <cell r="E345">
            <v>200710259.08525226</v>
          </cell>
          <cell r="G345">
            <v>316231.941305083</v>
          </cell>
          <cell r="I345">
            <v>602950.3370883684</v>
          </cell>
          <cell r="K345">
            <v>772490.7017844502</v>
          </cell>
          <cell r="M345">
            <v>16159714.137305867</v>
          </cell>
          <cell r="O345">
            <v>71182730.9744358</v>
          </cell>
          <cell r="Q345">
            <v>104348219.34736156</v>
          </cell>
          <cell r="S345">
            <v>54780517.26310089</v>
          </cell>
          <cell r="U345">
            <v>28610349.09279268</v>
          </cell>
          <cell r="W345">
            <v>27797717.350406423</v>
          </cell>
          <cell r="Y345">
            <v>12644826.690954281</v>
          </cell>
          <cell r="AA345">
            <v>13600680.253662128</v>
          </cell>
          <cell r="AC345">
            <v>5276436.472063785</v>
          </cell>
          <cell r="AE345">
            <v>349914.0006954157</v>
          </cell>
          <cell r="AG345">
            <v>921236.8703587216</v>
          </cell>
          <cell r="AI345">
            <v>22770480.628868744</v>
          </cell>
        </row>
        <row r="346">
          <cell r="C346">
            <v>0</v>
          </cell>
          <cell r="E346">
            <v>0</v>
          </cell>
          <cell r="G346">
            <v>0</v>
          </cell>
          <cell r="I346">
            <v>0</v>
          </cell>
          <cell r="K346">
            <v>0</v>
          </cell>
          <cell r="M346">
            <v>0</v>
          </cell>
          <cell r="O346">
            <v>0</v>
          </cell>
          <cell r="Q346">
            <v>0</v>
          </cell>
          <cell r="S346">
            <v>0</v>
          </cell>
          <cell r="U346">
            <v>0</v>
          </cell>
          <cell r="W346">
            <v>0</v>
          </cell>
          <cell r="Y346">
            <v>0</v>
          </cell>
          <cell r="AA346">
            <v>0</v>
          </cell>
          <cell r="AC346">
            <v>0</v>
          </cell>
          <cell r="AE346">
            <v>0</v>
          </cell>
          <cell r="AG346">
            <v>0</v>
          </cell>
          <cell r="AI346">
            <v>0</v>
          </cell>
        </row>
        <row r="347">
          <cell r="C347">
            <v>72124723.48714304</v>
          </cell>
          <cell r="E347">
            <v>37882076.41283459</v>
          </cell>
          <cell r="G347">
            <v>75456.72699943396</v>
          </cell>
          <cell r="I347">
            <v>44354.38027136806</v>
          </cell>
          <cell r="K347">
            <v>183251.07098574136</v>
          </cell>
          <cell r="M347">
            <v>2816918.7647691043</v>
          </cell>
          <cell r="O347">
            <v>8306640.686145502</v>
          </cell>
          <cell r="Q347">
            <v>9684787.75341634</v>
          </cell>
          <cell r="S347">
            <v>4478221.054043801</v>
          </cell>
          <cell r="U347">
            <v>2111680.9812417245</v>
          </cell>
          <cell r="W347">
            <v>2094054.3743228004</v>
          </cell>
          <cell r="Y347">
            <v>972328.8976076217</v>
          </cell>
          <cell r="AA347">
            <v>1512945.1004776761</v>
          </cell>
          <cell r="AC347">
            <v>221276.02183517566</v>
          </cell>
          <cell r="AE347">
            <v>33943.30152511272</v>
          </cell>
          <cell r="AG347">
            <v>61449.87877428347</v>
          </cell>
          <cell r="AI347">
            <v>1645338.0818927654</v>
          </cell>
        </row>
        <row r="348">
          <cell r="C348">
            <v>41853490.40771723</v>
          </cell>
          <cell r="E348">
            <v>15137964.332277779</v>
          </cell>
          <cell r="G348">
            <v>24103.996994725727</v>
          </cell>
          <cell r="I348">
            <v>44523.414672809115</v>
          </cell>
          <cell r="K348">
            <v>58881.191689306</v>
          </cell>
          <cell r="M348">
            <v>1217025.3909571476</v>
          </cell>
          <cell r="O348">
            <v>5302187.704494551</v>
          </cell>
          <cell r="Q348">
            <v>7735218.626516029</v>
          </cell>
          <cell r="S348">
            <v>4051502.1403730344</v>
          </cell>
          <cell r="U348">
            <v>2112384.947860683</v>
          </cell>
          <cell r="W348">
            <v>2054798.4230639394</v>
          </cell>
          <cell r="Y348">
            <v>934854.9995346278</v>
          </cell>
          <cell r="AA348">
            <v>1005853.3898748319</v>
          </cell>
          <cell r="AC348">
            <v>392052.47283494973</v>
          </cell>
          <cell r="AE348">
            <v>26015.43983849077</v>
          </cell>
          <cell r="AG348">
            <v>68106.09065185116</v>
          </cell>
          <cell r="AI348">
            <v>1688017.8460824664</v>
          </cell>
        </row>
        <row r="349">
          <cell r="C349">
            <v>1837602.72</v>
          </cell>
          <cell r="E349">
            <v>285002.8293894292</v>
          </cell>
          <cell r="G349">
            <v>0</v>
          </cell>
          <cell r="I349">
            <v>2545.2960908313953</v>
          </cell>
          <cell r="K349">
            <v>0</v>
          </cell>
          <cell r="M349">
            <v>26089.731467188023</v>
          </cell>
          <cell r="O349">
            <v>219128.3406646726</v>
          </cell>
          <cell r="Q349">
            <v>387503.67770345655</v>
          </cell>
          <cell r="S349">
            <v>219957.4299224718</v>
          </cell>
          <cell r="U349">
            <v>121267.72574512206</v>
          </cell>
          <cell r="W349">
            <v>185926.44033081672</v>
          </cell>
          <cell r="Y349">
            <v>82925.98870507549</v>
          </cell>
          <cell r="AA349">
            <v>152804.96093055047</v>
          </cell>
          <cell r="AC349">
            <v>0.0014459965304349386</v>
          </cell>
          <cell r="AE349">
            <v>1163.3809258192578</v>
          </cell>
          <cell r="AG349">
            <v>3747.767637796777</v>
          </cell>
          <cell r="AI349">
            <v>149539.14904077316</v>
          </cell>
        </row>
        <row r="350">
          <cell r="C350">
            <v>9778750.251775952</v>
          </cell>
          <cell r="E350">
            <v>3536870.4278566428</v>
          </cell>
          <cell r="G350">
            <v>5631.715882829209</v>
          </cell>
          <cell r="I350">
            <v>10402.557784317514</v>
          </cell>
          <cell r="K350">
            <v>13757.14336958865</v>
          </cell>
          <cell r="M350">
            <v>284348.7420596479</v>
          </cell>
          <cell r="O350">
            <v>1238815.8991090795</v>
          </cell>
          <cell r="Q350">
            <v>1807275.100707933</v>
          </cell>
          <cell r="S350">
            <v>946602.7131619703</v>
          </cell>
          <cell r="U350">
            <v>493542.70431246044</v>
          </cell>
          <cell r="W350">
            <v>480088.05003227113</v>
          </cell>
          <cell r="Y350">
            <v>218421.77254558535</v>
          </cell>
          <cell r="AA350">
            <v>235010.00737741534</v>
          </cell>
          <cell r="AC350">
            <v>91600.08353179668</v>
          </cell>
          <cell r="AE350">
            <v>6078.309990217592</v>
          </cell>
          <cell r="AG350">
            <v>15912.470970078644</v>
          </cell>
          <cell r="AI350">
            <v>394392.5530841175</v>
          </cell>
        </row>
        <row r="351">
          <cell r="C351">
            <v>1052682.921344249</v>
          </cell>
          <cell r="E351">
            <v>418317.92653999984</v>
          </cell>
          <cell r="G351">
            <v>712.8641628601806</v>
          </cell>
          <cell r="I351">
            <v>990.0795749596242</v>
          </cell>
          <cell r="K351">
            <v>1869.9338207526232</v>
          </cell>
          <cell r="M351">
            <v>34360.074755260015</v>
          </cell>
          <cell r="O351">
            <v>133621.02561776614</v>
          </cell>
          <cell r="Q351">
            <v>183922.9722601046</v>
          </cell>
          <cell r="S351">
            <v>93476.25387238587</v>
          </cell>
          <cell r="U351">
            <v>47558.81326358211</v>
          </cell>
          <cell r="W351">
            <v>44882.109964645344</v>
          </cell>
          <cell r="Y351">
            <v>20771.102728160775</v>
          </cell>
          <cell r="AA351">
            <v>25663.9083752899</v>
          </cell>
          <cell r="AC351">
            <v>7348.425641465569</v>
          </cell>
          <cell r="AE351">
            <v>626.1031842511375</v>
          </cell>
          <cell r="AG351">
            <v>1491.432797006621</v>
          </cell>
          <cell r="AI351">
            <v>37069.89478575885</v>
          </cell>
        </row>
        <row r="352">
          <cell r="C352">
            <v>-480321.33785999997</v>
          </cell>
          <cell r="E352">
            <v>-434216.8643672819</v>
          </cell>
          <cell r="G352">
            <v>-1015.0986246406248</v>
          </cell>
          <cell r="I352">
            <v>-89.31733708430079</v>
          </cell>
          <cell r="K352">
            <v>-1122.8465233454956</v>
          </cell>
          <cell r="M352">
            <v>-14781.428564322914</v>
          </cell>
          <cell r="O352">
            <v>-18895.390156247933</v>
          </cell>
          <cell r="Q352">
            <v>-8596.639475043285</v>
          </cell>
          <cell r="S352">
            <v>-1173.4700849686064</v>
          </cell>
          <cell r="U352">
            <v>-174.38146764077771</v>
          </cell>
          <cell r="W352">
            <v>-146.73562520992274</v>
          </cell>
          <cell r="Y352">
            <v>-36.86112324114001</v>
          </cell>
          <cell r="AA352">
            <v>-19.848297129844617</v>
          </cell>
          <cell r="AC352">
            <v>-4.253206527823847</v>
          </cell>
          <cell r="AE352">
            <v>-21.266032639119235</v>
          </cell>
          <cell r="AG352">
            <v>-15.595090602020772</v>
          </cell>
          <cell r="AI352">
            <v>-11.341884074196926</v>
          </cell>
        </row>
        <row r="353">
          <cell r="C353">
            <v>47671804.011049986</v>
          </cell>
          <cell r="E353">
            <v>17060371.95908855</v>
          </cell>
          <cell r="G353">
            <v>26879.71491142273</v>
          </cell>
          <cell r="I353">
            <v>51250.77846277976</v>
          </cell>
          <cell r="K353">
            <v>65661.7094085971</v>
          </cell>
          <cell r="M353">
            <v>1373575.6965859898</v>
          </cell>
          <cell r="O353">
            <v>6050532.110427834</v>
          </cell>
          <cell r="Q353">
            <v>8869598.611690274</v>
          </cell>
          <cell r="S353">
            <v>4656343.950125684</v>
          </cell>
          <cell r="U353">
            <v>2431879.6638845033</v>
          </cell>
          <cell r="W353">
            <v>2362805.9660373842</v>
          </cell>
          <cell r="Y353">
            <v>1074810.2647521417</v>
          </cell>
          <cell r="AA353">
            <v>1156057.8172815281</v>
          </cell>
          <cell r="AC353">
            <v>448497.09846507513</v>
          </cell>
          <cell r="AE353">
            <v>29742.68994900222</v>
          </cell>
          <cell r="AG353">
            <v>78305.13369060394</v>
          </cell>
          <cell r="AI353">
            <v>1935490.8462886119</v>
          </cell>
        </row>
        <row r="354">
          <cell r="C354">
            <v>16720164.237212237</v>
          </cell>
          <cell r="E354">
            <v>5983667.432383541</v>
          </cell>
          <cell r="G354">
            <v>9427.653458724897</v>
          </cell>
          <cell r="I354">
            <v>17975.435395397013</v>
          </cell>
          <cell r="K354">
            <v>23029.851464261093</v>
          </cell>
          <cell r="M354">
            <v>481760.90071685775</v>
          </cell>
          <cell r="O354">
            <v>2122132.6255123513</v>
          </cell>
          <cell r="Q354">
            <v>3110877.563417484</v>
          </cell>
          <cell r="S354">
            <v>1633142.2149034853</v>
          </cell>
          <cell r="U354">
            <v>852945.0107627636</v>
          </cell>
          <cell r="W354">
            <v>828718.455958844</v>
          </cell>
          <cell r="Y354">
            <v>376973.4442256858</v>
          </cell>
          <cell r="AA354">
            <v>405469.7944340393</v>
          </cell>
          <cell r="AC354">
            <v>157303.57392204</v>
          </cell>
          <cell r="AE354">
            <v>10431.7986516417</v>
          </cell>
          <cell r="AG354">
            <v>27464.341303724905</v>
          </cell>
          <cell r="AI354">
            <v>678844.140701394</v>
          </cell>
        </row>
        <row r="355">
          <cell r="C355">
            <v>-9780512.59079229</v>
          </cell>
          <cell r="E355">
            <v>-8031861.520783558</v>
          </cell>
          <cell r="G355">
            <v>-18776.63502298941</v>
          </cell>
          <cell r="I355">
            <v>-1925.1816368537256</v>
          </cell>
          <cell r="K355">
            <v>-24202.283434732548</v>
          </cell>
          <cell r="M355">
            <v>-318604.8282165081</v>
          </cell>
          <cell r="O355">
            <v>-407278.8031696607</v>
          </cell>
          <cell r="Q355">
            <v>-185295.40844220016</v>
          </cell>
          <cell r="S355">
            <v>-25293.443946347004</v>
          </cell>
          <cell r="U355">
            <v>-3758.687957666798</v>
          </cell>
          <cell r="W355">
            <v>-343473.4780150518</v>
          </cell>
          <cell r="Y355">
            <v>-114005.52457589304</v>
          </cell>
          <cell r="AA355">
            <v>-86494.20561838591</v>
          </cell>
          <cell r="AC355">
            <v>-56120.28904477665</v>
          </cell>
          <cell r="AE355">
            <v>-458.376580203268</v>
          </cell>
          <cell r="AG355">
            <v>-336.1428254823966</v>
          </cell>
          <cell r="AI355">
            <v>-162627.78152198438</v>
          </cell>
        </row>
        <row r="356">
          <cell r="C356">
            <v>82793467.4252741</v>
          </cell>
          <cell r="E356">
            <v>54328869.48883012</v>
          </cell>
          <cell r="G356">
            <v>121708.07459950651</v>
          </cell>
          <cell r="I356">
            <v>16401.442048871188</v>
          </cell>
          <cell r="K356">
            <v>319255.83695941616</v>
          </cell>
          <cell r="M356">
            <v>4301787.9950028565</v>
          </cell>
          <cell r="O356">
            <v>9672608.787670935</v>
          </cell>
          <cell r="Q356">
            <v>8163608.773541869</v>
          </cell>
          <cell r="S356">
            <v>2768929.5069737667</v>
          </cell>
          <cell r="U356">
            <v>847603.7738380956</v>
          </cell>
          <cell r="W356">
            <v>299763.42450367694</v>
          </cell>
          <cell r="Y356">
            <v>223797.59505913281</v>
          </cell>
          <cell r="AA356">
            <v>381343.3477192059</v>
          </cell>
          <cell r="AC356">
            <v>401981.86753442645</v>
          </cell>
          <cell r="AE356">
            <v>37129.831140262824</v>
          </cell>
          <cell r="AG356">
            <v>29888.396017456373</v>
          </cell>
          <cell r="AI356">
            <v>878789.2838345178</v>
          </cell>
        </row>
        <row r="357">
          <cell r="C357">
            <v>96932233.76097202</v>
          </cell>
          <cell r="E357">
            <v>17091005.519849572</v>
          </cell>
          <cell r="G357">
            <v>0</v>
          </cell>
          <cell r="I357">
            <v>152635.92165469367</v>
          </cell>
          <cell r="K357">
            <v>0</v>
          </cell>
          <cell r="M357">
            <v>1564544.9747722475</v>
          </cell>
          <cell r="O357">
            <v>13140654.385357149</v>
          </cell>
          <cell r="Q357">
            <v>23237760.511992406</v>
          </cell>
          <cell r="S357">
            <v>13190373.081525367</v>
          </cell>
          <cell r="U357">
            <v>7272164.190543854</v>
          </cell>
          <cell r="W357">
            <v>7363008.071602117</v>
          </cell>
          <cell r="Y357">
            <v>3322475.386612471</v>
          </cell>
          <cell r="AA357">
            <v>4000283.6687413193</v>
          </cell>
          <cell r="AC357">
            <v>852622.8422493028</v>
          </cell>
          <cell r="AE357">
            <v>69765.44712717904</v>
          </cell>
          <cell r="AG357">
            <v>224745.5490947981</v>
          </cell>
          <cell r="AI357">
            <v>5450194.209849551</v>
          </cell>
        </row>
        <row r="358">
          <cell r="C358">
            <v>0</v>
          </cell>
          <cell r="E358">
            <v>0</v>
          </cell>
          <cell r="G358">
            <v>0</v>
          </cell>
          <cell r="I358">
            <v>0</v>
          </cell>
          <cell r="K358">
            <v>0</v>
          </cell>
          <cell r="M358">
            <v>0</v>
          </cell>
          <cell r="O358">
            <v>0</v>
          </cell>
          <cell r="Q358">
            <v>0</v>
          </cell>
          <cell r="S358">
            <v>0</v>
          </cell>
          <cell r="U358">
            <v>0</v>
          </cell>
          <cell r="W358">
            <v>0</v>
          </cell>
          <cell r="Y358">
            <v>0</v>
          </cell>
          <cell r="AA358">
            <v>0</v>
          </cell>
          <cell r="AC358">
            <v>0</v>
          </cell>
          <cell r="AE358">
            <v>0</v>
          </cell>
          <cell r="AG358">
            <v>0</v>
          </cell>
          <cell r="AI358">
            <v>0</v>
          </cell>
        </row>
        <row r="359">
          <cell r="C359">
            <v>1052682.921344249</v>
          </cell>
          <cell r="E359">
            <v>418317.92653999984</v>
          </cell>
          <cell r="G359">
            <v>712.8641628601806</v>
          </cell>
          <cell r="I359">
            <v>990.0795749596242</v>
          </cell>
          <cell r="K359">
            <v>1869.9338207526232</v>
          </cell>
          <cell r="M359">
            <v>34360.074755260015</v>
          </cell>
          <cell r="O359">
            <v>133621.02561776614</v>
          </cell>
          <cell r="Q359">
            <v>183922.9722601046</v>
          </cell>
          <cell r="S359">
            <v>93476.25387238587</v>
          </cell>
          <cell r="U359">
            <v>47558.81326358211</v>
          </cell>
          <cell r="W359">
            <v>44882.109964645344</v>
          </cell>
          <cell r="Y359">
            <v>20771.102728160775</v>
          </cell>
          <cell r="AA359">
            <v>25663.9083752899</v>
          </cell>
          <cell r="AC359">
            <v>7348.425641465569</v>
          </cell>
          <cell r="AE359">
            <v>626.1031842511375</v>
          </cell>
          <cell r="AG359">
            <v>1491.432797006621</v>
          </cell>
          <cell r="AI359">
            <v>37069.89478575885</v>
          </cell>
        </row>
        <row r="360">
          <cell r="C360">
            <v>338794.7432492231</v>
          </cell>
          <cell r="E360">
            <v>306274.9444636884</v>
          </cell>
          <cell r="G360">
            <v>716</v>
          </cell>
          <cell r="I360">
            <v>63</v>
          </cell>
          <cell r="K360">
            <v>792</v>
          </cell>
          <cell r="M360">
            <v>10426.083333333332</v>
          </cell>
          <cell r="O360">
            <v>13327.866892404887</v>
          </cell>
          <cell r="Q360">
            <v>6063.641221374046</v>
          </cell>
          <cell r="S360">
            <v>827.7073384223919</v>
          </cell>
          <cell r="U360">
            <v>123</v>
          </cell>
          <cell r="W360">
            <v>103.5</v>
          </cell>
          <cell r="Y360">
            <v>26</v>
          </cell>
          <cell r="AA360">
            <v>14</v>
          </cell>
          <cell r="AC360">
            <v>3</v>
          </cell>
          <cell r="AE360">
            <v>15</v>
          </cell>
          <cell r="AG360">
            <v>11</v>
          </cell>
          <cell r="AI360">
            <v>8</v>
          </cell>
        </row>
        <row r="361">
          <cell r="C361">
            <v>85557628.87177394</v>
          </cell>
          <cell r="E361">
            <v>12401124.630906796</v>
          </cell>
          <cell r="G361">
            <v>0</v>
          </cell>
          <cell r="I361">
            <v>82171.21933301409</v>
          </cell>
          <cell r="K361">
            <v>0</v>
          </cell>
          <cell r="M361">
            <v>944291.3396998334</v>
          </cell>
          <cell r="O361">
            <v>7920164.281236088</v>
          </cell>
          <cell r="Q361">
            <v>13764298.335835133</v>
          </cell>
          <cell r="S361">
            <v>7371754.856220434</v>
          </cell>
          <cell r="U361">
            <v>3888600.4830600945</v>
          </cell>
          <cell r="W361">
            <v>6027183.301539903</v>
          </cell>
          <cell r="Y361">
            <v>4256556.672922276</v>
          </cell>
          <cell r="AA361">
            <v>12241373.68572075</v>
          </cell>
          <cell r="AC361">
            <v>6402662.396711641</v>
          </cell>
          <cell r="AE361">
            <v>36175.13558788515</v>
          </cell>
          <cell r="AG361">
            <v>99744.66666666669</v>
          </cell>
          <cell r="AI361">
            <v>10121527.866333429</v>
          </cell>
        </row>
        <row r="362">
          <cell r="C362">
            <v>1081229663.7475867</v>
          </cell>
          <cell r="E362">
            <v>61965936.06062825</v>
          </cell>
          <cell r="G362">
            <v>0</v>
          </cell>
          <cell r="I362">
            <v>901551.5528224041</v>
          </cell>
          <cell r="K362">
            <v>0</v>
          </cell>
          <cell r="M362">
            <v>8296450.228259446</v>
          </cell>
          <cell r="O362">
            <v>65430832.67584133</v>
          </cell>
          <cell r="Q362">
            <v>124454784.49334837</v>
          </cell>
          <cell r="S362">
            <v>74743911.70722145</v>
          </cell>
          <cell r="U362">
            <v>43269635.39999999</v>
          </cell>
          <cell r="W362">
            <v>64790915.29999999</v>
          </cell>
          <cell r="Y362">
            <v>48728719</v>
          </cell>
          <cell r="AA362">
            <v>134464513</v>
          </cell>
          <cell r="AC362">
            <v>152002324.00399998</v>
          </cell>
          <cell r="AE362">
            <v>428668.34253232955</v>
          </cell>
          <cell r="AG362">
            <v>1582429.9833333336</v>
          </cell>
          <cell r="AI362">
            <v>300168991.9996</v>
          </cell>
        </row>
        <row r="399">
          <cell r="E399">
            <v>7115713.424426223</v>
          </cell>
          <cell r="G399">
            <v>16634.892615230612</v>
          </cell>
          <cell r="I399">
            <v>1890.4667769981777</v>
          </cell>
          <cell r="K399">
            <v>23765.868053691367</v>
          </cell>
          <cell r="M399">
            <v>312859.74850604887</v>
          </cell>
          <cell r="O399">
            <v>399934.7550531013</v>
          </cell>
          <cell r="Q399">
            <v>181954.16312133786</v>
          </cell>
          <cell r="S399">
            <v>24837.352767700304</v>
          </cell>
          <cell r="U399">
            <v>3690.9113265202504</v>
          </cell>
          <cell r="W399">
            <v>343416.44645957474</v>
          </cell>
          <cell r="Y399">
            <v>113991.1978083336</v>
          </cell>
          <cell r="AA399">
            <v>86486.49120508468</v>
          </cell>
          <cell r="AC399">
            <v>56118.6359562121</v>
          </cell>
          <cell r="AE399">
            <v>450.11113738051847</v>
          </cell>
          <cell r="AG399">
            <v>330.08150074571347</v>
          </cell>
          <cell r="AI399">
            <v>162623.37328581224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0">
          <cell r="I40">
            <v>15900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688"/>
  <sheetViews>
    <sheetView tabSelected="1" view="pageBreakPreview" zoomScale="75" zoomScaleNormal="75" zoomScaleSheetLayoutView="75" zoomScalePageLayoutView="0" workbookViewId="0" topLeftCell="A1">
      <selection activeCell="A397" sqref="A397:IV483"/>
    </sheetView>
  </sheetViews>
  <sheetFormatPr defaultColWidth="9.77734375" defaultRowHeight="15.75"/>
  <cols>
    <col min="1" max="1" width="9.77734375" style="63" customWidth="1"/>
    <col min="2" max="2" width="44.77734375" style="63" customWidth="1"/>
    <col min="3" max="3" width="17.5546875" style="63" customWidth="1"/>
    <col min="4" max="4" width="0.9921875" style="63" customWidth="1"/>
    <col min="5" max="5" width="20.10546875" style="63" customWidth="1"/>
    <col min="6" max="6" width="0.9921875" style="63" customWidth="1"/>
    <col min="7" max="7" width="14.4453125" style="63" bestFit="1" customWidth="1"/>
    <col min="8" max="8" width="0.9921875" style="63" customWidth="1"/>
    <col min="9" max="9" width="17.5546875" style="63" customWidth="1"/>
    <col min="10" max="10" width="0.9921875" style="63" customWidth="1"/>
    <col min="11" max="11" width="17.5546875" style="63" customWidth="1"/>
    <col min="12" max="12" width="0.9921875" style="63" customWidth="1"/>
    <col min="13" max="13" width="17.5546875" style="63" customWidth="1"/>
    <col min="14" max="14" width="0.9921875" style="63" customWidth="1"/>
    <col min="15" max="15" width="17.5546875" style="63" customWidth="1"/>
    <col min="16" max="16" width="0.9921875" style="63" customWidth="1"/>
    <col min="17" max="17" width="17.5546875" style="63" customWidth="1"/>
    <col min="18" max="18" width="0.9921875" style="63" customWidth="1"/>
    <col min="19" max="19" width="17.5546875" style="63" customWidth="1"/>
    <col min="20" max="20" width="0.9921875" style="63" customWidth="1"/>
    <col min="21" max="21" width="17.5546875" style="63" customWidth="1"/>
    <col min="22" max="22" width="0.9921875" style="63" customWidth="1"/>
    <col min="23" max="23" width="17.5546875" style="63" customWidth="1"/>
    <col min="24" max="24" width="0.9921875" style="63" customWidth="1"/>
    <col min="25" max="25" width="17.5546875" style="63" customWidth="1"/>
    <col min="26" max="26" width="0.9921875" style="63" customWidth="1"/>
    <col min="27" max="27" width="17.5546875" style="63" customWidth="1"/>
    <col min="28" max="28" width="0.9921875" style="63" customWidth="1"/>
    <col min="29" max="29" width="17.5546875" style="63" customWidth="1"/>
    <col min="30" max="30" width="0.9921875" style="63" customWidth="1"/>
    <col min="31" max="31" width="15.77734375" style="63" customWidth="1"/>
    <col min="32" max="32" width="0.9921875" style="63" customWidth="1"/>
    <col min="33" max="33" width="15.3359375" style="63" customWidth="1"/>
    <col min="34" max="34" width="0.9921875" style="63" customWidth="1"/>
    <col min="35" max="35" width="17.5546875" style="63" customWidth="1"/>
    <col min="36" max="36" width="0.9921875" style="1" customWidth="1"/>
    <col min="37" max="37" width="17.5546875" style="1" customWidth="1"/>
    <col min="38" max="38" width="31.6640625" style="1" customWidth="1"/>
    <col min="39" max="39" width="18.6640625" style="1" bestFit="1" customWidth="1"/>
    <col min="40" max="40" width="16.21484375" style="1" customWidth="1"/>
    <col min="41" max="42" width="14.77734375" style="1" bestFit="1" customWidth="1"/>
    <col min="43" max="16384" width="9.77734375" style="1" customWidth="1"/>
  </cols>
  <sheetData>
    <row r="1" spans="1:38" ht="18" thickBot="1">
      <c r="A1" s="54"/>
      <c r="B1" s="55" t="s">
        <v>188</v>
      </c>
      <c r="C1" s="56"/>
      <c r="D1" s="56"/>
      <c r="E1" s="54"/>
      <c r="F1" s="54"/>
      <c r="G1" s="54"/>
      <c r="H1" s="54"/>
      <c r="I1" s="16" t="s">
        <v>128</v>
      </c>
      <c r="J1" s="56"/>
      <c r="K1" s="56"/>
      <c r="L1" s="56"/>
      <c r="M1" s="54"/>
      <c r="N1" s="56"/>
      <c r="O1" s="54"/>
      <c r="P1" s="54"/>
      <c r="Q1" s="26" t="s">
        <v>140</v>
      </c>
      <c r="R1" s="56"/>
      <c r="S1" s="16"/>
      <c r="T1" s="54"/>
      <c r="U1" s="54"/>
      <c r="V1" s="54"/>
      <c r="W1" s="34"/>
      <c r="X1" s="34"/>
      <c r="Y1" s="16" t="s">
        <v>128</v>
      </c>
      <c r="Z1" s="54"/>
      <c r="AA1" s="54"/>
      <c r="AB1" s="54"/>
      <c r="AC1" s="54"/>
      <c r="AD1" s="54"/>
      <c r="AE1" s="55"/>
      <c r="AF1" s="54"/>
      <c r="AG1" s="26" t="s">
        <v>152</v>
      </c>
      <c r="AH1" s="34"/>
      <c r="AI1" s="54"/>
      <c r="AJ1" s="54"/>
      <c r="AK1" s="54"/>
      <c r="AL1" s="54"/>
    </row>
    <row r="2" spans="1:38" ht="25.5" customHeight="1">
      <c r="A2" s="57"/>
      <c r="B2" s="58" t="s">
        <v>0</v>
      </c>
      <c r="C2" s="59"/>
      <c r="D2" s="59"/>
      <c r="E2" s="57"/>
      <c r="F2" s="57"/>
      <c r="G2" s="57"/>
      <c r="H2" s="57"/>
      <c r="I2" s="17"/>
      <c r="J2" s="59"/>
      <c r="K2" s="59"/>
      <c r="L2" s="59"/>
      <c r="M2" s="60"/>
      <c r="N2" s="59"/>
      <c r="O2" s="57"/>
      <c r="P2" s="57"/>
      <c r="Q2" s="19" t="s">
        <v>1</v>
      </c>
      <c r="R2" s="59"/>
      <c r="S2" s="17"/>
      <c r="T2" s="57"/>
      <c r="U2" s="57"/>
      <c r="V2" s="57"/>
      <c r="W2" s="60"/>
      <c r="X2" s="60"/>
      <c r="Y2" s="17"/>
      <c r="Z2" s="57"/>
      <c r="AA2" s="57"/>
      <c r="AB2" s="57"/>
      <c r="AC2" s="57"/>
      <c r="AD2" s="57"/>
      <c r="AE2" s="59"/>
      <c r="AF2" s="57"/>
      <c r="AG2" s="19" t="s">
        <v>1</v>
      </c>
      <c r="AH2" s="60"/>
      <c r="AI2" s="57"/>
      <c r="AJ2" s="54"/>
      <c r="AK2" s="54"/>
      <c r="AL2" s="54"/>
    </row>
    <row r="3" spans="1:38" ht="17.25">
      <c r="A3" s="5"/>
      <c r="B3" s="61" t="s">
        <v>67</v>
      </c>
      <c r="C3" s="4"/>
      <c r="D3" s="4"/>
      <c r="E3" s="5"/>
      <c r="F3" s="5"/>
      <c r="G3" s="5"/>
      <c r="H3" s="5"/>
      <c r="I3" s="18" t="s">
        <v>129</v>
      </c>
      <c r="J3" s="4"/>
      <c r="K3" s="4"/>
      <c r="L3" s="62"/>
      <c r="N3" s="4"/>
      <c r="O3" s="5"/>
      <c r="P3" s="5"/>
      <c r="Q3" s="27" t="s">
        <v>109</v>
      </c>
      <c r="R3" s="4"/>
      <c r="S3" s="7"/>
      <c r="T3" s="5"/>
      <c r="U3" s="5"/>
      <c r="V3" s="5"/>
      <c r="Y3" s="18" t="s">
        <v>129</v>
      </c>
      <c r="Z3" s="5"/>
      <c r="AA3" s="5"/>
      <c r="AB3" s="5"/>
      <c r="AC3" s="5"/>
      <c r="AD3" s="5"/>
      <c r="AE3" s="62"/>
      <c r="AF3" s="5"/>
      <c r="AG3" s="27" t="s">
        <v>109</v>
      </c>
      <c r="AI3" s="5"/>
      <c r="AJ3" s="54"/>
      <c r="AK3" s="54"/>
      <c r="AL3" s="54"/>
    </row>
    <row r="4" spans="1:38" ht="17.25">
      <c r="A4" s="5"/>
      <c r="B4" s="61" t="s">
        <v>118</v>
      </c>
      <c r="C4" s="4"/>
      <c r="D4" s="4"/>
      <c r="E4" s="5"/>
      <c r="F4" s="5"/>
      <c r="G4" s="5"/>
      <c r="H4" s="5"/>
      <c r="I4" s="18" t="s">
        <v>130</v>
      </c>
      <c r="J4" s="4"/>
      <c r="K4" s="4"/>
      <c r="L4" s="4"/>
      <c r="N4" s="4"/>
      <c r="O4" s="5"/>
      <c r="P4" s="5"/>
      <c r="Q4" s="27" t="s">
        <v>110</v>
      </c>
      <c r="R4" s="4"/>
      <c r="S4" s="18"/>
      <c r="T4" s="5"/>
      <c r="U4" s="5"/>
      <c r="V4" s="5"/>
      <c r="Y4" s="18" t="s">
        <v>130</v>
      </c>
      <c r="Z4" s="5"/>
      <c r="AA4" s="5"/>
      <c r="AB4" s="5"/>
      <c r="AC4" s="5"/>
      <c r="AD4" s="5"/>
      <c r="AE4" s="61"/>
      <c r="AF4" s="5"/>
      <c r="AG4" s="27" t="s">
        <v>110</v>
      </c>
      <c r="AI4" s="5"/>
      <c r="AJ4" s="54"/>
      <c r="AK4" s="54"/>
      <c r="AL4" s="54"/>
    </row>
    <row r="5" spans="1:38" ht="18" thickBot="1">
      <c r="A5" s="54"/>
      <c r="B5" s="54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4"/>
      <c r="P5" s="54"/>
      <c r="Q5" s="56"/>
      <c r="R5" s="56"/>
      <c r="S5" s="54"/>
      <c r="T5" s="54"/>
      <c r="U5" s="54"/>
      <c r="V5" s="54"/>
      <c r="W5" s="34"/>
      <c r="X5" s="34"/>
      <c r="Y5" s="56"/>
      <c r="Z5" s="54"/>
      <c r="AA5" s="54"/>
      <c r="AB5" s="54"/>
      <c r="AC5" s="54"/>
      <c r="AD5" s="54"/>
      <c r="AE5" s="64"/>
      <c r="AF5" s="54"/>
      <c r="AG5" s="34"/>
      <c r="AH5" s="34"/>
      <c r="AI5" s="54"/>
      <c r="AJ5" s="54"/>
      <c r="AK5" s="54"/>
      <c r="AL5" s="54"/>
    </row>
    <row r="6" spans="1:38" ht="25.5" customHeight="1">
      <c r="A6" s="57"/>
      <c r="B6" s="59"/>
      <c r="C6" s="59"/>
      <c r="D6" s="59"/>
      <c r="E6" s="59"/>
      <c r="F6" s="59"/>
      <c r="G6" s="59"/>
      <c r="H6" s="59"/>
      <c r="I6" s="65" t="s">
        <v>2</v>
      </c>
      <c r="J6" s="59"/>
      <c r="K6" s="59"/>
      <c r="L6" s="59"/>
      <c r="M6" s="59"/>
      <c r="N6" s="59"/>
      <c r="O6" s="59"/>
      <c r="P6" s="59"/>
      <c r="Q6" s="59"/>
      <c r="R6" s="59"/>
      <c r="S6" s="57"/>
      <c r="T6" s="57"/>
      <c r="U6" s="57"/>
      <c r="V6" s="57"/>
      <c r="W6" s="60"/>
      <c r="X6" s="57"/>
      <c r="Y6" s="65" t="s">
        <v>2</v>
      </c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4"/>
      <c r="AK6" s="54"/>
      <c r="AL6" s="54"/>
    </row>
    <row r="7" spans="1:38" ht="25.5" customHeight="1">
      <c r="A7" s="54"/>
      <c r="B7" s="56"/>
      <c r="C7" s="56"/>
      <c r="D7" s="56"/>
      <c r="E7" s="56"/>
      <c r="F7" s="56"/>
      <c r="G7" s="56"/>
      <c r="H7" s="56"/>
      <c r="I7" s="66"/>
      <c r="J7" s="56"/>
      <c r="K7" s="56"/>
      <c r="L7" s="56"/>
      <c r="M7" s="56"/>
      <c r="N7" s="56"/>
      <c r="O7" s="56"/>
      <c r="P7" s="56"/>
      <c r="Q7" s="56"/>
      <c r="R7" s="56"/>
      <c r="S7" s="54"/>
      <c r="T7" s="54"/>
      <c r="U7" s="54"/>
      <c r="V7" s="54"/>
      <c r="W7" s="34"/>
      <c r="X7" s="54"/>
      <c r="Y7" s="66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ht="25.5" customHeight="1">
      <c r="A8" s="54"/>
      <c r="B8" s="56"/>
      <c r="C8" s="56"/>
      <c r="D8" s="56"/>
      <c r="E8" s="56"/>
      <c r="F8" s="56"/>
      <c r="G8" s="56"/>
      <c r="H8" s="56"/>
      <c r="I8" s="66"/>
      <c r="J8" s="56"/>
      <c r="K8" s="56"/>
      <c r="L8" s="56"/>
      <c r="M8" s="56"/>
      <c r="N8" s="56"/>
      <c r="O8" s="56"/>
      <c r="P8" s="56"/>
      <c r="Q8" s="56"/>
      <c r="R8" s="56"/>
      <c r="S8" s="54"/>
      <c r="T8" s="54"/>
      <c r="U8" s="54"/>
      <c r="V8" s="54"/>
      <c r="W8" s="34"/>
      <c r="X8" s="54"/>
      <c r="Y8" s="66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ht="25.5" customHeight="1">
      <c r="A9" s="54"/>
      <c r="B9" s="56"/>
      <c r="C9" s="56"/>
      <c r="D9" s="56"/>
      <c r="E9" s="56"/>
      <c r="F9" s="56"/>
      <c r="G9" s="56"/>
      <c r="H9" s="56"/>
      <c r="I9" s="66"/>
      <c r="J9" s="56"/>
      <c r="K9" s="56"/>
      <c r="L9" s="56"/>
      <c r="M9" s="56"/>
      <c r="N9" s="56"/>
      <c r="O9" s="56"/>
      <c r="P9" s="56"/>
      <c r="Q9" s="56"/>
      <c r="R9" s="56"/>
      <c r="S9" s="54"/>
      <c r="T9" s="54"/>
      <c r="U9" s="54"/>
      <c r="V9" s="54"/>
      <c r="W9" s="34"/>
      <c r="X9" s="54"/>
      <c r="Y9" s="66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ht="25.5" customHeight="1">
      <c r="A10" s="54"/>
      <c r="B10" s="56"/>
      <c r="C10" s="56"/>
      <c r="D10" s="56"/>
      <c r="E10" s="56"/>
      <c r="F10" s="56"/>
      <c r="G10" s="56"/>
      <c r="H10" s="56"/>
      <c r="I10" s="66"/>
      <c r="J10" s="56"/>
      <c r="K10" s="56"/>
      <c r="L10" s="56"/>
      <c r="M10" s="56"/>
      <c r="N10" s="56"/>
      <c r="O10" s="56"/>
      <c r="P10" s="56"/>
      <c r="Q10" s="56"/>
      <c r="R10" s="56"/>
      <c r="S10" s="54"/>
      <c r="T10" s="54"/>
      <c r="U10" s="54"/>
      <c r="V10" s="54"/>
      <c r="W10" s="34"/>
      <c r="X10" s="54"/>
      <c r="Y10" s="66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17.25">
      <c r="A11" s="5"/>
      <c r="B11" s="5"/>
      <c r="C11" s="4"/>
      <c r="D11" s="4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54"/>
      <c r="AK11" s="54"/>
      <c r="AL11" s="54"/>
    </row>
    <row r="12" spans="1:38" ht="17.25">
      <c r="A12" s="5"/>
      <c r="B12" s="4"/>
      <c r="C12" s="19"/>
      <c r="D12" s="19"/>
      <c r="E12" s="20"/>
      <c r="F12" s="20"/>
      <c r="G12" s="20"/>
      <c r="H12" s="20"/>
      <c r="I12" s="20" t="s">
        <v>69</v>
      </c>
      <c r="J12" s="20"/>
      <c r="K12" s="20"/>
      <c r="L12" s="20"/>
      <c r="M12" s="21" t="s">
        <v>131</v>
      </c>
      <c r="N12" s="20"/>
      <c r="O12" s="21" t="s">
        <v>119</v>
      </c>
      <c r="P12" s="21"/>
      <c r="Q12" s="21" t="s">
        <v>120</v>
      </c>
      <c r="R12" s="20"/>
      <c r="S12" s="21" t="s">
        <v>70</v>
      </c>
      <c r="T12" s="20"/>
      <c r="U12" s="21" t="s">
        <v>71</v>
      </c>
      <c r="V12" s="21"/>
      <c r="W12" s="20" t="s">
        <v>132</v>
      </c>
      <c r="X12" s="20"/>
      <c r="Y12" s="20" t="s">
        <v>81</v>
      </c>
      <c r="Z12" s="20"/>
      <c r="AA12" s="20" t="s">
        <v>82</v>
      </c>
      <c r="AB12" s="20"/>
      <c r="AC12" s="20" t="s">
        <v>174</v>
      </c>
      <c r="AD12" s="20"/>
      <c r="AE12" s="20"/>
      <c r="AF12" s="20"/>
      <c r="AG12" s="20"/>
      <c r="AH12" s="20"/>
      <c r="AI12" s="20"/>
      <c r="AJ12" s="54"/>
      <c r="AK12" s="54"/>
      <c r="AL12" s="54"/>
    </row>
    <row r="13" spans="1:38" ht="17.25">
      <c r="A13" s="5"/>
      <c r="B13" s="62"/>
      <c r="C13" s="19"/>
      <c r="D13" s="19"/>
      <c r="E13" s="20" t="s">
        <v>68</v>
      </c>
      <c r="F13" s="20"/>
      <c r="G13" s="20" t="s">
        <v>68</v>
      </c>
      <c r="H13" s="20"/>
      <c r="I13" s="20" t="s">
        <v>72</v>
      </c>
      <c r="J13" s="20"/>
      <c r="K13" s="20" t="s">
        <v>69</v>
      </c>
      <c r="L13" s="20"/>
      <c r="M13" s="20" t="s">
        <v>73</v>
      </c>
      <c r="N13" s="20"/>
      <c r="O13" s="20" t="s">
        <v>74</v>
      </c>
      <c r="P13" s="20"/>
      <c r="Q13" s="20" t="s">
        <v>74</v>
      </c>
      <c r="R13" s="20"/>
      <c r="S13" s="20" t="s">
        <v>74</v>
      </c>
      <c r="T13" s="20"/>
      <c r="U13" s="20" t="s">
        <v>74</v>
      </c>
      <c r="V13" s="20"/>
      <c r="W13" s="20" t="s">
        <v>74</v>
      </c>
      <c r="X13" s="20"/>
      <c r="Y13" s="20" t="s">
        <v>133</v>
      </c>
      <c r="Z13" s="20"/>
      <c r="AA13" s="21" t="s">
        <v>83</v>
      </c>
      <c r="AB13" s="20"/>
      <c r="AC13" s="21" t="s">
        <v>83</v>
      </c>
      <c r="AD13" s="20"/>
      <c r="AE13" s="20" t="s">
        <v>134</v>
      </c>
      <c r="AF13" s="20"/>
      <c r="AG13" s="20" t="s">
        <v>84</v>
      </c>
      <c r="AH13" s="20"/>
      <c r="AI13" s="20" t="s">
        <v>85</v>
      </c>
      <c r="AJ13" s="54"/>
      <c r="AK13" s="54"/>
      <c r="AL13" s="54"/>
    </row>
    <row r="14" spans="1:38" ht="17.25">
      <c r="A14" s="67" t="s">
        <v>66</v>
      </c>
      <c r="B14" s="68" t="s">
        <v>2</v>
      </c>
      <c r="C14" s="35" t="s">
        <v>16</v>
      </c>
      <c r="D14" s="35"/>
      <c r="E14" s="22" t="s">
        <v>76</v>
      </c>
      <c r="F14" s="23"/>
      <c r="G14" s="24" t="s">
        <v>111</v>
      </c>
      <c r="H14" s="23"/>
      <c r="I14" s="22" t="s">
        <v>75</v>
      </c>
      <c r="J14" s="22"/>
      <c r="K14" s="22" t="s">
        <v>111</v>
      </c>
      <c r="L14" s="22"/>
      <c r="M14" s="22" t="s">
        <v>76</v>
      </c>
      <c r="N14" s="22"/>
      <c r="O14" s="22" t="s">
        <v>77</v>
      </c>
      <c r="P14" s="22"/>
      <c r="Q14" s="22" t="s">
        <v>78</v>
      </c>
      <c r="R14" s="25"/>
      <c r="S14" s="22" t="s">
        <v>79</v>
      </c>
      <c r="T14" s="22"/>
      <c r="U14" s="22" t="s">
        <v>80</v>
      </c>
      <c r="V14" s="25"/>
      <c r="W14" s="22" t="s">
        <v>86</v>
      </c>
      <c r="X14" s="22"/>
      <c r="Y14" s="22" t="s">
        <v>76</v>
      </c>
      <c r="Z14" s="22"/>
      <c r="AA14" s="22" t="s">
        <v>76</v>
      </c>
      <c r="AB14" s="22"/>
      <c r="AC14" s="22" t="s">
        <v>87</v>
      </c>
      <c r="AD14" s="25"/>
      <c r="AE14" s="22" t="s">
        <v>135</v>
      </c>
      <c r="AF14" s="22"/>
      <c r="AG14" s="22" t="s">
        <v>76</v>
      </c>
      <c r="AH14" s="25"/>
      <c r="AI14" s="22" t="s">
        <v>88</v>
      </c>
      <c r="AJ14" s="54"/>
      <c r="AK14" s="54"/>
      <c r="AL14" s="54"/>
    </row>
    <row r="15" spans="1:38" ht="17.25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4"/>
      <c r="AK15" s="54"/>
      <c r="AL15" s="54"/>
    </row>
    <row r="16" spans="1:38" ht="25.5" customHeight="1">
      <c r="A16" s="7">
        <v>1</v>
      </c>
      <c r="B16" s="36" t="s">
        <v>63</v>
      </c>
      <c r="C16" s="13">
        <f>'[3]SCHH-2'!$C$345</f>
        <v>560844755.1474365</v>
      </c>
      <c r="D16" s="13"/>
      <c r="E16" s="13">
        <f>'[3]SCHH-2'!$E$345</f>
        <v>200710259.08525226</v>
      </c>
      <c r="F16" s="13"/>
      <c r="G16" s="13">
        <f>'[3]SCHH-2'!G345</f>
        <v>316231.941305083</v>
      </c>
      <c r="H16" s="13"/>
      <c r="I16" s="13">
        <f>'[3]SCHH-2'!$I345</f>
        <v>602950.3370883684</v>
      </c>
      <c r="J16" s="13"/>
      <c r="K16" s="13">
        <f>'[3]SCHH-2'!$K345</f>
        <v>772490.7017844502</v>
      </c>
      <c r="L16" s="13"/>
      <c r="M16" s="13">
        <f>'[3]SCHH-2'!$M345</f>
        <v>16159714.137305867</v>
      </c>
      <c r="N16" s="13"/>
      <c r="O16" s="13">
        <f>'[3]SCHH-2'!$O345</f>
        <v>71182730.9744358</v>
      </c>
      <c r="P16" s="13"/>
      <c r="Q16" s="13">
        <f>'[3]SCHH-2'!$Q345</f>
        <v>104348219.34736156</v>
      </c>
      <c r="R16" s="13"/>
      <c r="S16" s="13">
        <f>'[3]SCHH-2'!$S345</f>
        <v>54780517.26310089</v>
      </c>
      <c r="T16" s="13"/>
      <c r="U16" s="13">
        <f>'[3]SCHH-2'!$U345</f>
        <v>28610349.09279268</v>
      </c>
      <c r="V16" s="13"/>
      <c r="W16" s="13">
        <f>'[3]SCHH-2'!$W345</f>
        <v>27797717.350406423</v>
      </c>
      <c r="X16" s="13"/>
      <c r="Y16" s="13">
        <f>'[3]SCHH-2'!$Y345</f>
        <v>12644826.690954281</v>
      </c>
      <c r="Z16" s="5"/>
      <c r="AA16" s="13">
        <f>'[3]SCHH-2'!$AA345</f>
        <v>13600680.253662128</v>
      </c>
      <c r="AB16" s="5"/>
      <c r="AC16" s="13">
        <f>'[3]SCHH-2'!$AC345</f>
        <v>5276436.472063785</v>
      </c>
      <c r="AD16" s="13"/>
      <c r="AE16" s="13">
        <f>'[3]SCHH-2'!$AE345</f>
        <v>349914.0006954157</v>
      </c>
      <c r="AF16" s="5"/>
      <c r="AG16" s="13">
        <f>'[3]SCHH-2'!$AG345</f>
        <v>921236.8703587216</v>
      </c>
      <c r="AH16" s="5"/>
      <c r="AI16" s="13">
        <f>'[3]SCHH-2'!$AI345</f>
        <v>22770480.628868744</v>
      </c>
      <c r="AJ16" s="54"/>
      <c r="AK16" s="54"/>
      <c r="AL16" s="54"/>
    </row>
    <row r="17" spans="1:40" ht="25.5" customHeight="1">
      <c r="A17" s="7">
        <v>2</v>
      </c>
      <c r="B17" s="36" t="s">
        <v>3</v>
      </c>
      <c r="C17" s="13">
        <f>'[3]SCHH-2'!$C$346</f>
        <v>0</v>
      </c>
      <c r="D17" s="13"/>
      <c r="E17" s="13">
        <f>'[3]SCHH-2'!$E$346</f>
        <v>0</v>
      </c>
      <c r="F17" s="13"/>
      <c r="G17" s="13">
        <f>'[3]SCHH-2'!G346</f>
        <v>0</v>
      </c>
      <c r="H17" s="13"/>
      <c r="I17" s="13">
        <f>'[3]SCHH-2'!$I346</f>
        <v>0</v>
      </c>
      <c r="J17" s="13"/>
      <c r="K17" s="13">
        <f>'[3]SCHH-2'!$K346</f>
        <v>0</v>
      </c>
      <c r="L17" s="13"/>
      <c r="M17" s="13">
        <f>'[3]SCHH-2'!$M346</f>
        <v>0</v>
      </c>
      <c r="N17" s="13"/>
      <c r="O17" s="13">
        <f>'[3]SCHH-2'!$O346</f>
        <v>0</v>
      </c>
      <c r="P17" s="13"/>
      <c r="Q17" s="13">
        <f>'[3]SCHH-2'!$Q346</f>
        <v>0</v>
      </c>
      <c r="R17" s="13"/>
      <c r="S17" s="13">
        <f>'[3]SCHH-2'!$S346</f>
        <v>0</v>
      </c>
      <c r="T17" s="13"/>
      <c r="U17" s="13">
        <f>'[3]SCHH-2'!$U346</f>
        <v>0</v>
      </c>
      <c r="V17" s="13"/>
      <c r="W17" s="13">
        <f>'[3]SCHH-2'!$W346</f>
        <v>0</v>
      </c>
      <c r="X17" s="13"/>
      <c r="Y17" s="13">
        <f>'[3]SCHH-2'!$Y346</f>
        <v>0</v>
      </c>
      <c r="Z17" s="5"/>
      <c r="AA17" s="13">
        <f>'[3]SCHH-2'!$AA346</f>
        <v>0</v>
      </c>
      <c r="AB17" s="5"/>
      <c r="AC17" s="13">
        <f>'[3]SCHH-2'!$AC346</f>
        <v>0</v>
      </c>
      <c r="AD17" s="13"/>
      <c r="AE17" s="13">
        <f>'[3]SCHH-2'!$AE346</f>
        <v>0</v>
      </c>
      <c r="AF17" s="5"/>
      <c r="AG17" s="13">
        <f>'[3]SCHH-2'!$AG346</f>
        <v>0</v>
      </c>
      <c r="AH17" s="5"/>
      <c r="AI17" s="13">
        <f>'[3]SCHH-2'!$AI346</f>
        <v>0</v>
      </c>
      <c r="AJ17" s="54"/>
      <c r="AK17" s="54"/>
      <c r="AL17" s="54"/>
      <c r="AM17" s="172"/>
      <c r="AN17" s="172"/>
    </row>
    <row r="18" spans="1:41" ht="25.5" customHeight="1">
      <c r="A18" s="7">
        <v>3</v>
      </c>
      <c r="B18" s="36" t="s">
        <v>4</v>
      </c>
      <c r="C18" s="13">
        <f>'[3]SCHH-2'!$C347</f>
        <v>72124723.48714304</v>
      </c>
      <c r="D18" s="13"/>
      <c r="E18" s="13">
        <f>'[3]SCHH-2'!$E347</f>
        <v>37882076.41283459</v>
      </c>
      <c r="F18" s="13"/>
      <c r="G18" s="13">
        <f>'[3]SCHH-2'!G347</f>
        <v>75456.72699943396</v>
      </c>
      <c r="H18" s="13"/>
      <c r="I18" s="13">
        <f>'[3]SCHH-2'!$I347</f>
        <v>44354.38027136806</v>
      </c>
      <c r="J18" s="13"/>
      <c r="K18" s="13">
        <f>'[3]SCHH-2'!$K347</f>
        <v>183251.07098574136</v>
      </c>
      <c r="L18" s="13"/>
      <c r="M18" s="13">
        <f>'[3]SCHH-2'!$M347</f>
        <v>2816918.7647691043</v>
      </c>
      <c r="N18" s="13"/>
      <c r="O18" s="13">
        <f>'[3]SCHH-2'!$O347</f>
        <v>8306640.686145502</v>
      </c>
      <c r="P18" s="13"/>
      <c r="Q18" s="13">
        <f>'[3]SCHH-2'!$Q347</f>
        <v>9684787.75341634</v>
      </c>
      <c r="R18" s="13"/>
      <c r="S18" s="13">
        <f>'[3]SCHH-2'!$S347</f>
        <v>4478221.054043801</v>
      </c>
      <c r="T18" s="13"/>
      <c r="U18" s="13">
        <f>'[3]SCHH-2'!$U347</f>
        <v>2111680.9812417245</v>
      </c>
      <c r="V18" s="13"/>
      <c r="W18" s="13">
        <f>'[3]SCHH-2'!$W347</f>
        <v>2094054.3743228004</v>
      </c>
      <c r="X18" s="13"/>
      <c r="Y18" s="13">
        <f>'[3]SCHH-2'!$Y347</f>
        <v>972328.8976076217</v>
      </c>
      <c r="Z18" s="5"/>
      <c r="AA18" s="13">
        <f>'[3]SCHH-2'!$AA347</f>
        <v>1512945.1004776761</v>
      </c>
      <c r="AB18" s="5"/>
      <c r="AC18" s="13">
        <f>'[3]SCHH-2'!$AC347</f>
        <v>221276.02183517566</v>
      </c>
      <c r="AD18" s="13"/>
      <c r="AE18" s="13">
        <f>'[3]SCHH-2'!$AE347</f>
        <v>33943.30152511272</v>
      </c>
      <c r="AF18" s="5"/>
      <c r="AG18" s="13">
        <f>'[3]SCHH-2'!$AG347</f>
        <v>61449.87877428347</v>
      </c>
      <c r="AH18" s="5"/>
      <c r="AI18" s="13">
        <f>'[3]SCHH-2'!$AI347</f>
        <v>1645338.0818927654</v>
      </c>
      <c r="AJ18" s="54"/>
      <c r="AK18" s="54"/>
      <c r="AL18" s="190"/>
      <c r="AM18" s="190"/>
      <c r="AN18" s="190"/>
      <c r="AO18" s="190"/>
    </row>
    <row r="19" spans="1:41" ht="25.5" customHeight="1">
      <c r="A19" s="7">
        <v>4</v>
      </c>
      <c r="B19" s="36" t="s">
        <v>5</v>
      </c>
      <c r="C19" s="13">
        <f>'[3]SCHH-2'!$C348</f>
        <v>41853490.40771723</v>
      </c>
      <c r="D19" s="13"/>
      <c r="E19" s="13">
        <f>'[3]SCHH-2'!$E348</f>
        <v>15137964.332277779</v>
      </c>
      <c r="F19" s="13"/>
      <c r="G19" s="13">
        <f>'[3]SCHH-2'!G348</f>
        <v>24103.996994725727</v>
      </c>
      <c r="H19" s="13"/>
      <c r="I19" s="13">
        <f>'[3]SCHH-2'!$I348</f>
        <v>44523.414672809115</v>
      </c>
      <c r="J19" s="13"/>
      <c r="K19" s="13">
        <f>'[3]SCHH-2'!$K348</f>
        <v>58881.191689306</v>
      </c>
      <c r="L19" s="13"/>
      <c r="M19" s="13">
        <f>'[3]SCHH-2'!$M348</f>
        <v>1217025.3909571476</v>
      </c>
      <c r="N19" s="13"/>
      <c r="O19" s="13">
        <f>'[3]SCHH-2'!$O348</f>
        <v>5302187.704494551</v>
      </c>
      <c r="P19" s="13"/>
      <c r="Q19" s="13">
        <f>'[3]SCHH-2'!$Q348</f>
        <v>7735218.626516029</v>
      </c>
      <c r="R19" s="13"/>
      <c r="S19" s="13">
        <f>'[3]SCHH-2'!$S348</f>
        <v>4051502.1403730344</v>
      </c>
      <c r="T19" s="13"/>
      <c r="U19" s="13">
        <f>'[3]SCHH-2'!$U348</f>
        <v>2112384.947860683</v>
      </c>
      <c r="V19" s="13"/>
      <c r="W19" s="13">
        <f>'[3]SCHH-2'!$W348</f>
        <v>2054798.4230639394</v>
      </c>
      <c r="X19" s="13"/>
      <c r="Y19" s="13">
        <f>'[3]SCHH-2'!$Y348</f>
        <v>934854.9995346278</v>
      </c>
      <c r="Z19" s="5"/>
      <c r="AA19" s="13">
        <f>'[3]SCHH-2'!$AA348</f>
        <v>1005853.3898748319</v>
      </c>
      <c r="AB19" s="5"/>
      <c r="AC19" s="13">
        <f>'[3]SCHH-2'!$AC348</f>
        <v>392052.47283494973</v>
      </c>
      <c r="AD19" s="13"/>
      <c r="AE19" s="13">
        <f>'[3]SCHH-2'!$AE348</f>
        <v>26015.43983849077</v>
      </c>
      <c r="AF19" s="5"/>
      <c r="AG19" s="13">
        <f>'[3]SCHH-2'!$AG348</f>
        <v>68106.09065185116</v>
      </c>
      <c r="AH19" s="5"/>
      <c r="AI19" s="13">
        <f>'[3]SCHH-2'!$AI348</f>
        <v>1688017.8460824664</v>
      </c>
      <c r="AJ19" s="54"/>
      <c r="AK19" s="54"/>
      <c r="AL19" s="190"/>
      <c r="AM19" s="190"/>
      <c r="AN19" s="190"/>
      <c r="AO19" s="190"/>
    </row>
    <row r="20" spans="1:41" ht="25.5" customHeight="1">
      <c r="A20" s="7">
        <v>5</v>
      </c>
      <c r="B20" s="36" t="s">
        <v>6</v>
      </c>
      <c r="C20" s="13">
        <f>'[3]SCHH-2'!$C349</f>
        <v>1837602.72</v>
      </c>
      <c r="D20" s="13"/>
      <c r="E20" s="13">
        <f>'[3]SCHH-2'!$E349</f>
        <v>285002.8293894292</v>
      </c>
      <c r="F20" s="13"/>
      <c r="G20" s="13">
        <f>'[3]SCHH-2'!G349</f>
        <v>0</v>
      </c>
      <c r="H20" s="13"/>
      <c r="I20" s="13">
        <f>'[3]SCHH-2'!$I349</f>
        <v>2545.2960908313953</v>
      </c>
      <c r="J20" s="13"/>
      <c r="K20" s="13">
        <f>'[3]SCHH-2'!$K349</f>
        <v>0</v>
      </c>
      <c r="L20" s="13"/>
      <c r="M20" s="13">
        <f>'[3]SCHH-2'!$M349</f>
        <v>26089.731467188023</v>
      </c>
      <c r="N20" s="13"/>
      <c r="O20" s="13">
        <f>'[3]SCHH-2'!$O349</f>
        <v>219128.3406646726</v>
      </c>
      <c r="P20" s="13"/>
      <c r="Q20" s="13">
        <f>'[3]SCHH-2'!$Q349</f>
        <v>387503.67770345655</v>
      </c>
      <c r="R20" s="13"/>
      <c r="S20" s="13">
        <f>'[3]SCHH-2'!$S349</f>
        <v>219957.4299224718</v>
      </c>
      <c r="T20" s="13"/>
      <c r="U20" s="13">
        <f>'[3]SCHH-2'!$U349</f>
        <v>121267.72574512206</v>
      </c>
      <c r="V20" s="13"/>
      <c r="W20" s="13">
        <f>'[3]SCHH-2'!$W349</f>
        <v>185926.44033081672</v>
      </c>
      <c r="X20" s="13"/>
      <c r="Y20" s="13">
        <f>'[3]SCHH-2'!$Y349</f>
        <v>82925.98870507549</v>
      </c>
      <c r="Z20" s="5"/>
      <c r="AA20" s="13">
        <f>'[3]SCHH-2'!$AA349</f>
        <v>152804.96093055047</v>
      </c>
      <c r="AB20" s="5"/>
      <c r="AC20" s="13">
        <f>'[3]SCHH-2'!$AC349</f>
        <v>0.0014459965304349386</v>
      </c>
      <c r="AD20" s="13"/>
      <c r="AE20" s="13">
        <f>'[3]SCHH-2'!$AE349</f>
        <v>1163.3809258192578</v>
      </c>
      <c r="AF20" s="5"/>
      <c r="AG20" s="13">
        <f>'[3]SCHH-2'!$AG349</f>
        <v>3747.767637796777</v>
      </c>
      <c r="AH20" s="5"/>
      <c r="AI20" s="13">
        <f>'[3]SCHH-2'!$AI349</f>
        <v>149539.14904077316</v>
      </c>
      <c r="AJ20" s="54"/>
      <c r="AK20" s="54"/>
      <c r="AL20" s="190"/>
      <c r="AM20" s="190"/>
      <c r="AN20" s="190"/>
      <c r="AO20" s="190"/>
    </row>
    <row r="21" spans="1:41" ht="25.5" customHeight="1">
      <c r="A21" s="7">
        <v>6</v>
      </c>
      <c r="B21" s="36" t="s">
        <v>7</v>
      </c>
      <c r="C21" s="13">
        <f>'[3]SCHH-2'!$C350</f>
        <v>9778750.251775952</v>
      </c>
      <c r="D21" s="13"/>
      <c r="E21" s="13">
        <f>'[3]SCHH-2'!$E350</f>
        <v>3536870.4278566428</v>
      </c>
      <c r="F21" s="13"/>
      <c r="G21" s="13">
        <f>'[3]SCHH-2'!G350</f>
        <v>5631.715882829209</v>
      </c>
      <c r="H21" s="13"/>
      <c r="I21" s="13">
        <f>'[3]SCHH-2'!$I350</f>
        <v>10402.557784317514</v>
      </c>
      <c r="J21" s="13"/>
      <c r="K21" s="13">
        <f>'[3]SCHH-2'!$K350</f>
        <v>13757.14336958865</v>
      </c>
      <c r="L21" s="13"/>
      <c r="M21" s="13">
        <f>'[3]SCHH-2'!$M350</f>
        <v>284348.7420596479</v>
      </c>
      <c r="N21" s="13"/>
      <c r="O21" s="13">
        <f>'[3]SCHH-2'!$O350</f>
        <v>1238815.8991090795</v>
      </c>
      <c r="P21" s="13"/>
      <c r="Q21" s="13">
        <f>'[3]SCHH-2'!$Q350</f>
        <v>1807275.100707933</v>
      </c>
      <c r="R21" s="13"/>
      <c r="S21" s="13">
        <f>'[3]SCHH-2'!$S350</f>
        <v>946602.7131619703</v>
      </c>
      <c r="T21" s="13"/>
      <c r="U21" s="13">
        <f>'[3]SCHH-2'!$U350</f>
        <v>493542.70431246044</v>
      </c>
      <c r="V21" s="13"/>
      <c r="W21" s="13">
        <f>'[3]SCHH-2'!$W350</f>
        <v>480088.05003227113</v>
      </c>
      <c r="X21" s="13"/>
      <c r="Y21" s="13">
        <f>'[3]SCHH-2'!$Y350</f>
        <v>218421.77254558535</v>
      </c>
      <c r="Z21" s="5"/>
      <c r="AA21" s="13">
        <f>'[3]SCHH-2'!$AA350</f>
        <v>235010.00737741534</v>
      </c>
      <c r="AB21" s="5"/>
      <c r="AC21" s="13">
        <f>'[3]SCHH-2'!$AC350</f>
        <v>91600.08353179668</v>
      </c>
      <c r="AD21" s="13"/>
      <c r="AE21" s="13">
        <f>'[3]SCHH-2'!$AE350</f>
        <v>6078.309990217592</v>
      </c>
      <c r="AF21" s="5"/>
      <c r="AG21" s="13">
        <f>'[3]SCHH-2'!$AG350</f>
        <v>15912.470970078644</v>
      </c>
      <c r="AH21" s="5"/>
      <c r="AI21" s="13">
        <f>'[3]SCHH-2'!$AI350</f>
        <v>394392.5530841175</v>
      </c>
      <c r="AJ21" s="54"/>
      <c r="AK21" s="54"/>
      <c r="AL21" s="190"/>
      <c r="AM21" s="190"/>
      <c r="AN21" s="190"/>
      <c r="AO21" s="190"/>
    </row>
    <row r="22" spans="1:41" ht="25.5" customHeight="1">
      <c r="A22" s="7">
        <v>7</v>
      </c>
      <c r="B22" s="36" t="s">
        <v>176</v>
      </c>
      <c r="C22" s="13">
        <f>'[3]SCHH-2'!$C351</f>
        <v>1052682.921344249</v>
      </c>
      <c r="D22" s="13"/>
      <c r="E22" s="13">
        <f>'[3]SCHH-2'!$E351</f>
        <v>418317.92653999984</v>
      </c>
      <c r="F22" s="13"/>
      <c r="G22" s="13">
        <f>'[3]SCHH-2'!G351</f>
        <v>712.8641628601806</v>
      </c>
      <c r="H22" s="13"/>
      <c r="I22" s="13">
        <f>'[3]SCHH-2'!$I351</f>
        <v>990.0795749596242</v>
      </c>
      <c r="J22" s="13"/>
      <c r="K22" s="13">
        <f>'[3]SCHH-2'!$K351</f>
        <v>1869.9338207526232</v>
      </c>
      <c r="L22" s="13"/>
      <c r="M22" s="13">
        <f>'[3]SCHH-2'!$M351</f>
        <v>34360.074755260015</v>
      </c>
      <c r="N22" s="13"/>
      <c r="O22" s="13">
        <f>'[3]SCHH-2'!$O351</f>
        <v>133621.02561776614</v>
      </c>
      <c r="P22" s="13"/>
      <c r="Q22" s="13">
        <f>'[3]SCHH-2'!$Q351</f>
        <v>183922.9722601046</v>
      </c>
      <c r="R22" s="13"/>
      <c r="S22" s="13">
        <f>'[3]SCHH-2'!$S351</f>
        <v>93476.25387238587</v>
      </c>
      <c r="T22" s="13"/>
      <c r="U22" s="13">
        <f>'[3]SCHH-2'!$U351</f>
        <v>47558.81326358211</v>
      </c>
      <c r="V22" s="13"/>
      <c r="W22" s="13">
        <f>'[3]SCHH-2'!$W351</f>
        <v>44882.109964645344</v>
      </c>
      <c r="X22" s="13"/>
      <c r="Y22" s="13">
        <f>'[3]SCHH-2'!$Y351</f>
        <v>20771.102728160775</v>
      </c>
      <c r="Z22" s="5"/>
      <c r="AA22" s="13">
        <f>'[3]SCHH-2'!$AA351</f>
        <v>25663.9083752899</v>
      </c>
      <c r="AB22" s="5"/>
      <c r="AC22" s="13">
        <f>'[3]SCHH-2'!$AC351</f>
        <v>7348.425641465569</v>
      </c>
      <c r="AD22" s="13"/>
      <c r="AE22" s="13">
        <f>'[3]SCHH-2'!$AE351</f>
        <v>626.1031842511375</v>
      </c>
      <c r="AF22" s="5"/>
      <c r="AG22" s="13">
        <f>'[3]SCHH-2'!$AG351</f>
        <v>1491.432797006621</v>
      </c>
      <c r="AH22" s="5"/>
      <c r="AI22" s="13">
        <f>'[3]SCHH-2'!$AI351</f>
        <v>37069.89478575885</v>
      </c>
      <c r="AJ22" s="54"/>
      <c r="AK22" s="54"/>
      <c r="AL22" s="190"/>
      <c r="AM22" s="191"/>
      <c r="AN22" s="191"/>
      <c r="AO22" s="190"/>
    </row>
    <row r="23" spans="1:41" ht="25.5" customHeight="1">
      <c r="A23" s="7">
        <v>8</v>
      </c>
      <c r="B23" s="36" t="s">
        <v>127</v>
      </c>
      <c r="C23" s="13">
        <f>'[3]SCHH-2'!$C352</f>
        <v>-480321.33785999997</v>
      </c>
      <c r="D23" s="13"/>
      <c r="E23" s="13">
        <f>'[3]SCHH-2'!$E352</f>
        <v>-434216.8643672819</v>
      </c>
      <c r="F23" s="13"/>
      <c r="G23" s="13">
        <f>'[3]SCHH-2'!G352</f>
        <v>-1015.0986246406248</v>
      </c>
      <c r="H23" s="13"/>
      <c r="I23" s="13">
        <f>'[3]SCHH-2'!$I352</f>
        <v>-89.31733708430079</v>
      </c>
      <c r="J23" s="13"/>
      <c r="K23" s="13">
        <f>'[3]SCHH-2'!$K352</f>
        <v>-1122.8465233454956</v>
      </c>
      <c r="L23" s="13"/>
      <c r="M23" s="13">
        <f>'[3]SCHH-2'!$M352</f>
        <v>-14781.428564322914</v>
      </c>
      <c r="N23" s="13"/>
      <c r="O23" s="13">
        <f>'[3]SCHH-2'!$O352</f>
        <v>-18895.390156247933</v>
      </c>
      <c r="P23" s="13"/>
      <c r="Q23" s="13">
        <f>'[3]SCHH-2'!$Q352</f>
        <v>-8596.639475043285</v>
      </c>
      <c r="R23" s="13"/>
      <c r="S23" s="13">
        <f>'[3]SCHH-2'!$S352</f>
        <v>-1173.4700849686064</v>
      </c>
      <c r="T23" s="13"/>
      <c r="U23" s="13">
        <f>'[3]SCHH-2'!$U352</f>
        <v>-174.38146764077771</v>
      </c>
      <c r="V23" s="13"/>
      <c r="W23" s="13">
        <f>'[3]SCHH-2'!$W352</f>
        <v>-146.73562520992274</v>
      </c>
      <c r="X23" s="13"/>
      <c r="Y23" s="13">
        <f>'[3]SCHH-2'!$Y352</f>
        <v>-36.86112324114001</v>
      </c>
      <c r="Z23" s="5"/>
      <c r="AA23" s="13">
        <f>'[3]SCHH-2'!$AA352</f>
        <v>-19.848297129844617</v>
      </c>
      <c r="AB23" s="5"/>
      <c r="AC23" s="13">
        <f>'[3]SCHH-2'!$AC352</f>
        <v>-4.253206527823847</v>
      </c>
      <c r="AD23" s="13"/>
      <c r="AE23" s="13">
        <f>'[3]SCHH-2'!$AE352</f>
        <v>-21.266032639119235</v>
      </c>
      <c r="AF23" s="5"/>
      <c r="AG23" s="13">
        <f>'[3]SCHH-2'!$AG352</f>
        <v>-15.595090602020772</v>
      </c>
      <c r="AH23" s="5"/>
      <c r="AI23" s="13">
        <f>'[3]SCHH-2'!$AI352</f>
        <v>-11.341884074196926</v>
      </c>
      <c r="AJ23" s="54"/>
      <c r="AK23" s="54"/>
      <c r="AL23" s="190"/>
      <c r="AM23" s="190"/>
      <c r="AN23" s="190"/>
      <c r="AO23" s="190"/>
    </row>
    <row r="24" spans="1:41" ht="25.5" customHeight="1">
      <c r="A24" s="7">
        <v>9</v>
      </c>
      <c r="B24" s="36" t="s">
        <v>100</v>
      </c>
      <c r="C24" s="13">
        <f>'[3]SCHH-2'!$C353</f>
        <v>47671804.011049986</v>
      </c>
      <c r="D24" s="13"/>
      <c r="E24" s="13">
        <f>'[3]SCHH-2'!$E353</f>
        <v>17060371.95908855</v>
      </c>
      <c r="F24" s="13"/>
      <c r="G24" s="13">
        <f>'[3]SCHH-2'!G353</f>
        <v>26879.71491142273</v>
      </c>
      <c r="H24" s="13"/>
      <c r="I24" s="13">
        <f>'[3]SCHH-2'!$I353</f>
        <v>51250.77846277976</v>
      </c>
      <c r="J24" s="13"/>
      <c r="K24" s="13">
        <f>'[3]SCHH-2'!$K353</f>
        <v>65661.7094085971</v>
      </c>
      <c r="L24" s="13"/>
      <c r="M24" s="13">
        <f>'[3]SCHH-2'!$M353</f>
        <v>1373575.6965859898</v>
      </c>
      <c r="N24" s="13"/>
      <c r="O24" s="13">
        <f>'[3]SCHH-2'!$O353</f>
        <v>6050532.110427834</v>
      </c>
      <c r="P24" s="13"/>
      <c r="Q24" s="13">
        <f>'[3]SCHH-2'!$Q353</f>
        <v>8869598.611690274</v>
      </c>
      <c r="R24" s="13"/>
      <c r="S24" s="13">
        <f>'[3]SCHH-2'!$S353</f>
        <v>4656343.950125684</v>
      </c>
      <c r="T24" s="13"/>
      <c r="U24" s="13">
        <f>'[3]SCHH-2'!$U353</f>
        <v>2431879.6638845033</v>
      </c>
      <c r="V24" s="13"/>
      <c r="W24" s="13">
        <f>'[3]SCHH-2'!$W353</f>
        <v>2362805.9660373842</v>
      </c>
      <c r="X24" s="13"/>
      <c r="Y24" s="13">
        <f>'[3]SCHH-2'!$Y353</f>
        <v>1074810.2647521417</v>
      </c>
      <c r="Z24" s="5"/>
      <c r="AA24" s="13">
        <f>'[3]SCHH-2'!$AA353</f>
        <v>1156057.8172815281</v>
      </c>
      <c r="AB24" s="5"/>
      <c r="AC24" s="13">
        <f>'[3]SCHH-2'!$AC353</f>
        <v>448497.09846507513</v>
      </c>
      <c r="AD24" s="13"/>
      <c r="AE24" s="13">
        <f>'[3]SCHH-2'!$AE353</f>
        <v>29742.68994900222</v>
      </c>
      <c r="AF24" s="5"/>
      <c r="AG24" s="13">
        <f>'[3]SCHH-2'!$AG353</f>
        <v>78305.13369060394</v>
      </c>
      <c r="AH24" s="5"/>
      <c r="AI24" s="13">
        <f>'[3]SCHH-2'!$AI353</f>
        <v>1935490.8462886119</v>
      </c>
      <c r="AJ24" s="54"/>
      <c r="AK24" s="54"/>
      <c r="AL24" s="190"/>
      <c r="AM24" s="190"/>
      <c r="AN24" s="190"/>
      <c r="AO24" s="190"/>
    </row>
    <row r="25" spans="1:41" ht="25.5" customHeight="1">
      <c r="A25" s="7">
        <v>10</v>
      </c>
      <c r="B25" s="36" t="s">
        <v>8</v>
      </c>
      <c r="C25" s="13">
        <f>'[3]SCHH-2'!$C354</f>
        <v>16720164.237212237</v>
      </c>
      <c r="D25" s="13"/>
      <c r="E25" s="13">
        <f>'[3]SCHH-2'!$E354</f>
        <v>5983667.432383541</v>
      </c>
      <c r="F25" s="13"/>
      <c r="G25" s="13">
        <f>'[3]SCHH-2'!G354</f>
        <v>9427.653458724897</v>
      </c>
      <c r="H25" s="13"/>
      <c r="I25" s="13">
        <f>'[3]SCHH-2'!$I354</f>
        <v>17975.435395397013</v>
      </c>
      <c r="J25" s="13"/>
      <c r="K25" s="13">
        <f>'[3]SCHH-2'!$K354</f>
        <v>23029.851464261093</v>
      </c>
      <c r="L25" s="13"/>
      <c r="M25" s="13">
        <f>'[3]SCHH-2'!$M354</f>
        <v>481760.90071685775</v>
      </c>
      <c r="N25" s="13"/>
      <c r="O25" s="13">
        <f>'[3]SCHH-2'!$O354</f>
        <v>2122132.6255123513</v>
      </c>
      <c r="P25" s="13"/>
      <c r="Q25" s="13">
        <f>'[3]SCHH-2'!$Q354</f>
        <v>3110877.563417484</v>
      </c>
      <c r="R25" s="13"/>
      <c r="S25" s="13">
        <f>'[3]SCHH-2'!$S354</f>
        <v>1633142.2149034853</v>
      </c>
      <c r="T25" s="13"/>
      <c r="U25" s="13">
        <f>'[3]SCHH-2'!$U354</f>
        <v>852945.0107627636</v>
      </c>
      <c r="V25" s="13"/>
      <c r="W25" s="13">
        <f>'[3]SCHH-2'!$W354</f>
        <v>828718.455958844</v>
      </c>
      <c r="X25" s="13"/>
      <c r="Y25" s="13">
        <f>'[3]SCHH-2'!$Y354</f>
        <v>376973.4442256858</v>
      </c>
      <c r="Z25" s="5"/>
      <c r="AA25" s="13">
        <f>'[3]SCHH-2'!$AA354</f>
        <v>405469.7944340393</v>
      </c>
      <c r="AB25" s="5"/>
      <c r="AC25" s="13">
        <f>'[3]SCHH-2'!$AC354</f>
        <v>157303.57392204</v>
      </c>
      <c r="AD25" s="13"/>
      <c r="AE25" s="13">
        <f>'[3]SCHH-2'!$AE354</f>
        <v>10431.7986516417</v>
      </c>
      <c r="AF25" s="5"/>
      <c r="AG25" s="13">
        <f>'[3]SCHH-2'!$AG354</f>
        <v>27464.341303724905</v>
      </c>
      <c r="AH25" s="5"/>
      <c r="AI25" s="13">
        <f>'[3]SCHH-2'!$AI354</f>
        <v>678844.140701394</v>
      </c>
      <c r="AJ25" s="54"/>
      <c r="AK25" s="54"/>
      <c r="AL25" s="190"/>
      <c r="AM25" s="190"/>
      <c r="AN25" s="190"/>
      <c r="AO25" s="190"/>
    </row>
    <row r="26" spans="1:41" ht="25.5" customHeight="1">
      <c r="A26" s="7">
        <v>11</v>
      </c>
      <c r="B26" s="36" t="s">
        <v>9</v>
      </c>
      <c r="C26" s="13">
        <f>'[3]SCHH-2'!$C355</f>
        <v>-9780512.59079229</v>
      </c>
      <c r="D26" s="13"/>
      <c r="E26" s="13">
        <f>'[3]SCHH-2'!$E355</f>
        <v>-8031861.520783558</v>
      </c>
      <c r="F26" s="13"/>
      <c r="G26" s="13">
        <f>'[3]SCHH-2'!G355</f>
        <v>-18776.63502298941</v>
      </c>
      <c r="H26" s="13"/>
      <c r="I26" s="13">
        <f>'[3]SCHH-2'!$I355</f>
        <v>-1925.1816368537256</v>
      </c>
      <c r="J26" s="13"/>
      <c r="K26" s="13">
        <f>'[3]SCHH-2'!$K355</f>
        <v>-24202.283434732548</v>
      </c>
      <c r="L26" s="13"/>
      <c r="M26" s="13">
        <f>'[3]SCHH-2'!$M355</f>
        <v>-318604.8282165081</v>
      </c>
      <c r="N26" s="13"/>
      <c r="O26" s="13">
        <f>'[3]SCHH-2'!$O355</f>
        <v>-407278.8031696607</v>
      </c>
      <c r="P26" s="13"/>
      <c r="Q26" s="13">
        <f>'[3]SCHH-2'!$Q355</f>
        <v>-185295.40844220016</v>
      </c>
      <c r="R26" s="13"/>
      <c r="S26" s="13">
        <f>'[3]SCHH-2'!$S355</f>
        <v>-25293.443946347004</v>
      </c>
      <c r="T26" s="13"/>
      <c r="U26" s="13">
        <f>'[3]SCHH-2'!$U355</f>
        <v>-3758.687957666798</v>
      </c>
      <c r="V26" s="13"/>
      <c r="W26" s="13">
        <f>'[3]SCHH-2'!$W355</f>
        <v>-343473.4780150518</v>
      </c>
      <c r="X26" s="13"/>
      <c r="Y26" s="13">
        <f>'[3]SCHH-2'!$Y355</f>
        <v>-114005.52457589304</v>
      </c>
      <c r="Z26" s="5"/>
      <c r="AA26" s="13">
        <f>'[3]SCHH-2'!$AA355</f>
        <v>-86494.20561838591</v>
      </c>
      <c r="AB26" s="5"/>
      <c r="AC26" s="13">
        <f>'[3]SCHH-2'!$AC355</f>
        <v>-56120.28904477665</v>
      </c>
      <c r="AD26" s="13"/>
      <c r="AE26" s="13">
        <f>'[3]SCHH-2'!$AE355</f>
        <v>-458.376580203268</v>
      </c>
      <c r="AF26" s="5"/>
      <c r="AG26" s="13">
        <f>'[3]SCHH-2'!$AG355</f>
        <v>-336.1428254823966</v>
      </c>
      <c r="AH26" s="5"/>
      <c r="AI26" s="13">
        <f>'[3]SCHH-2'!$AI355</f>
        <v>-162627.78152198438</v>
      </c>
      <c r="AJ26" s="54"/>
      <c r="AK26" s="54"/>
      <c r="AL26" s="190"/>
      <c r="AM26" s="190"/>
      <c r="AN26" s="190"/>
      <c r="AO26" s="190"/>
    </row>
    <row r="27" spans="1:41" ht="25.5" customHeight="1">
      <c r="A27" s="7">
        <v>12</v>
      </c>
      <c r="B27" s="36" t="s">
        <v>10</v>
      </c>
      <c r="C27" s="13">
        <f>'[3]SCHH-2'!$C356</f>
        <v>82793467.4252741</v>
      </c>
      <c r="D27" s="13"/>
      <c r="E27" s="13">
        <f>'[3]SCHH-2'!$E356</f>
        <v>54328869.48883012</v>
      </c>
      <c r="F27" s="13"/>
      <c r="G27" s="13">
        <f>'[3]SCHH-2'!G356</f>
        <v>121708.07459950651</v>
      </c>
      <c r="H27" s="13"/>
      <c r="I27" s="13">
        <f>'[3]SCHH-2'!$I356</f>
        <v>16401.442048871188</v>
      </c>
      <c r="J27" s="13"/>
      <c r="K27" s="13">
        <f>'[3]SCHH-2'!$K356</f>
        <v>319255.83695941616</v>
      </c>
      <c r="L27" s="13"/>
      <c r="M27" s="13">
        <f>'[3]SCHH-2'!$M356</f>
        <v>4301787.9950028565</v>
      </c>
      <c r="N27" s="13"/>
      <c r="O27" s="13">
        <f>'[3]SCHH-2'!$O356</f>
        <v>9672608.787670935</v>
      </c>
      <c r="P27" s="13"/>
      <c r="Q27" s="13">
        <f>'[3]SCHH-2'!$Q356</f>
        <v>8163608.773541869</v>
      </c>
      <c r="R27" s="13"/>
      <c r="S27" s="13">
        <f>'[3]SCHH-2'!$S356</f>
        <v>2768929.5069737667</v>
      </c>
      <c r="T27" s="13"/>
      <c r="U27" s="13">
        <f>'[3]SCHH-2'!$U356</f>
        <v>847603.7738380956</v>
      </c>
      <c r="V27" s="13"/>
      <c r="W27" s="13">
        <f>'[3]SCHH-2'!$W356</f>
        <v>299763.42450367694</v>
      </c>
      <c r="X27" s="13"/>
      <c r="Y27" s="13">
        <f>'[3]SCHH-2'!$Y356</f>
        <v>223797.59505913281</v>
      </c>
      <c r="Z27" s="5"/>
      <c r="AA27" s="13">
        <f>'[3]SCHH-2'!$AA356</f>
        <v>381343.3477192059</v>
      </c>
      <c r="AB27" s="5"/>
      <c r="AC27" s="13">
        <f>'[3]SCHH-2'!$AC356</f>
        <v>401981.86753442645</v>
      </c>
      <c r="AD27" s="13"/>
      <c r="AE27" s="13">
        <f>'[3]SCHH-2'!$AE356</f>
        <v>37129.831140262824</v>
      </c>
      <c r="AF27" s="5"/>
      <c r="AG27" s="13">
        <f>'[3]SCHH-2'!$AG356</f>
        <v>29888.396017456373</v>
      </c>
      <c r="AH27" s="5"/>
      <c r="AI27" s="13">
        <f>'[3]SCHH-2'!$AI356</f>
        <v>878789.2838345178</v>
      </c>
      <c r="AJ27" s="54"/>
      <c r="AK27" s="54"/>
      <c r="AL27" s="190"/>
      <c r="AM27" s="190"/>
      <c r="AN27" s="190"/>
      <c r="AO27" s="190"/>
    </row>
    <row r="28" spans="1:41" ht="25.5" customHeight="1">
      <c r="A28" s="7">
        <v>13</v>
      </c>
      <c r="B28" s="36" t="s">
        <v>11</v>
      </c>
      <c r="C28" s="13">
        <f>'[3]SCHH-2'!$C357</f>
        <v>96932233.76097202</v>
      </c>
      <c r="D28" s="13"/>
      <c r="E28" s="13">
        <f>'[3]SCHH-2'!$E357</f>
        <v>17091005.519849572</v>
      </c>
      <c r="F28" s="13"/>
      <c r="G28" s="13">
        <f>'[3]SCHH-2'!G357</f>
        <v>0</v>
      </c>
      <c r="H28" s="13"/>
      <c r="I28" s="13">
        <f>'[3]SCHH-2'!$I357</f>
        <v>152635.92165469367</v>
      </c>
      <c r="J28" s="13"/>
      <c r="K28" s="13">
        <f>'[3]SCHH-2'!$K357</f>
        <v>0</v>
      </c>
      <c r="L28" s="13"/>
      <c r="M28" s="13">
        <f>'[3]SCHH-2'!$M357</f>
        <v>1564544.9747722475</v>
      </c>
      <c r="N28" s="13"/>
      <c r="O28" s="13">
        <f>'[3]SCHH-2'!$O357</f>
        <v>13140654.385357149</v>
      </c>
      <c r="P28" s="13"/>
      <c r="Q28" s="13">
        <f>'[3]SCHH-2'!$Q357</f>
        <v>23237760.511992406</v>
      </c>
      <c r="R28" s="13"/>
      <c r="S28" s="13">
        <f>'[3]SCHH-2'!$S357</f>
        <v>13190373.081525367</v>
      </c>
      <c r="T28" s="13"/>
      <c r="U28" s="13">
        <f>'[3]SCHH-2'!$U357</f>
        <v>7272164.190543854</v>
      </c>
      <c r="V28" s="13"/>
      <c r="W28" s="13">
        <f>'[3]SCHH-2'!$W357</f>
        <v>7363008.071602117</v>
      </c>
      <c r="X28" s="13"/>
      <c r="Y28" s="13">
        <f>'[3]SCHH-2'!$Y357</f>
        <v>3322475.386612471</v>
      </c>
      <c r="Z28" s="5"/>
      <c r="AA28" s="13">
        <f>'[3]SCHH-2'!$AA357</f>
        <v>4000283.6687413193</v>
      </c>
      <c r="AB28" s="5"/>
      <c r="AC28" s="13">
        <f>'[3]SCHH-2'!$AC357</f>
        <v>852622.8422493028</v>
      </c>
      <c r="AD28" s="13"/>
      <c r="AE28" s="13">
        <f>'[3]SCHH-2'!$AE357</f>
        <v>69765.44712717904</v>
      </c>
      <c r="AF28" s="5"/>
      <c r="AG28" s="13">
        <f>'[3]SCHH-2'!$AG357</f>
        <v>224745.5490947981</v>
      </c>
      <c r="AH28" s="5"/>
      <c r="AI28" s="13">
        <f>'[3]SCHH-2'!$AI357</f>
        <v>5450194.209849551</v>
      </c>
      <c r="AJ28" s="54"/>
      <c r="AK28" s="54"/>
      <c r="AL28" s="190"/>
      <c r="AM28" s="190"/>
      <c r="AN28" s="190"/>
      <c r="AO28" s="190"/>
    </row>
    <row r="29" spans="1:41" ht="25.5" customHeight="1">
      <c r="A29" s="7">
        <v>14</v>
      </c>
      <c r="B29" s="36" t="s">
        <v>12</v>
      </c>
      <c r="C29" s="13">
        <f>'[3]SCHH-2'!$C358</f>
        <v>0</v>
      </c>
      <c r="D29" s="13"/>
      <c r="E29" s="13">
        <f>'[3]SCHH-2'!$E358</f>
        <v>0</v>
      </c>
      <c r="F29" s="13"/>
      <c r="G29" s="13">
        <f>'[3]SCHH-2'!G358</f>
        <v>0</v>
      </c>
      <c r="H29" s="13"/>
      <c r="I29" s="13">
        <f>'[3]SCHH-2'!$I358</f>
        <v>0</v>
      </c>
      <c r="J29" s="13"/>
      <c r="K29" s="13">
        <f>'[3]SCHH-2'!$K358</f>
        <v>0</v>
      </c>
      <c r="L29" s="13"/>
      <c r="M29" s="13">
        <f>'[3]SCHH-2'!$M358</f>
        <v>0</v>
      </c>
      <c r="N29" s="13"/>
      <c r="O29" s="13">
        <f>'[3]SCHH-2'!$O358</f>
        <v>0</v>
      </c>
      <c r="P29" s="13"/>
      <c r="Q29" s="13">
        <f>'[3]SCHH-2'!$Q358</f>
        <v>0</v>
      </c>
      <c r="R29" s="13"/>
      <c r="S29" s="13">
        <f>'[3]SCHH-2'!$S358</f>
        <v>0</v>
      </c>
      <c r="T29" s="13"/>
      <c r="U29" s="13">
        <f>'[3]SCHH-2'!$U358</f>
        <v>0</v>
      </c>
      <c r="V29" s="13"/>
      <c r="W29" s="13">
        <f>'[3]SCHH-2'!$W358</f>
        <v>0</v>
      </c>
      <c r="X29" s="13"/>
      <c r="Y29" s="13">
        <f>'[3]SCHH-2'!$Y358</f>
        <v>0</v>
      </c>
      <c r="Z29" s="5"/>
      <c r="AA29" s="13">
        <f>'[3]SCHH-2'!$AA358</f>
        <v>0</v>
      </c>
      <c r="AB29" s="5"/>
      <c r="AC29" s="13">
        <f>'[3]SCHH-2'!$AC358</f>
        <v>0</v>
      </c>
      <c r="AD29" s="13"/>
      <c r="AE29" s="13">
        <f>'[3]SCHH-2'!$AE358</f>
        <v>0</v>
      </c>
      <c r="AF29" s="5"/>
      <c r="AG29" s="13">
        <f>'[3]SCHH-2'!$AG358</f>
        <v>0</v>
      </c>
      <c r="AH29" s="5"/>
      <c r="AI29" s="13">
        <f>'[3]SCHH-2'!$AI358</f>
        <v>0</v>
      </c>
      <c r="AJ29" s="54"/>
      <c r="AK29" s="54"/>
      <c r="AL29" s="190"/>
      <c r="AM29" s="190"/>
      <c r="AN29" s="190"/>
      <c r="AO29" s="190"/>
    </row>
    <row r="30" spans="1:41" ht="25.5" customHeight="1">
      <c r="A30" s="7">
        <v>15</v>
      </c>
      <c r="B30" s="36" t="s">
        <v>13</v>
      </c>
      <c r="C30" s="13">
        <f>'[3]SCHH-2'!$C359</f>
        <v>1052682.921344249</v>
      </c>
      <c r="D30" s="13"/>
      <c r="E30" s="13">
        <f>'[3]SCHH-2'!$E359</f>
        <v>418317.92653999984</v>
      </c>
      <c r="F30" s="13"/>
      <c r="G30" s="13">
        <f>'[3]SCHH-2'!G359</f>
        <v>712.8641628601806</v>
      </c>
      <c r="H30" s="13"/>
      <c r="I30" s="13">
        <f>'[3]SCHH-2'!$I359</f>
        <v>990.0795749596242</v>
      </c>
      <c r="J30" s="13"/>
      <c r="K30" s="13">
        <f>'[3]SCHH-2'!$K359</f>
        <v>1869.9338207526232</v>
      </c>
      <c r="L30" s="13"/>
      <c r="M30" s="13">
        <f>'[3]SCHH-2'!$M359</f>
        <v>34360.074755260015</v>
      </c>
      <c r="N30" s="13"/>
      <c r="O30" s="13">
        <f>'[3]SCHH-2'!$O359</f>
        <v>133621.02561776614</v>
      </c>
      <c r="P30" s="13"/>
      <c r="Q30" s="13">
        <f>'[3]SCHH-2'!$Q359</f>
        <v>183922.9722601046</v>
      </c>
      <c r="R30" s="13"/>
      <c r="S30" s="13">
        <f>'[3]SCHH-2'!$S359</f>
        <v>93476.25387238587</v>
      </c>
      <c r="T30" s="13"/>
      <c r="U30" s="13">
        <f>'[3]SCHH-2'!$U359</f>
        <v>47558.81326358211</v>
      </c>
      <c r="V30" s="13"/>
      <c r="W30" s="13">
        <f>'[3]SCHH-2'!$W359</f>
        <v>44882.109964645344</v>
      </c>
      <c r="X30" s="13"/>
      <c r="Y30" s="13">
        <f>'[3]SCHH-2'!$Y359</f>
        <v>20771.102728160775</v>
      </c>
      <c r="Z30" s="5"/>
      <c r="AA30" s="13">
        <f>'[3]SCHH-2'!$AA359</f>
        <v>25663.9083752899</v>
      </c>
      <c r="AB30" s="5"/>
      <c r="AC30" s="13">
        <f>'[3]SCHH-2'!$AC359</f>
        <v>7348.425641465569</v>
      </c>
      <c r="AD30" s="13"/>
      <c r="AE30" s="13">
        <f>'[3]SCHH-2'!$AE359</f>
        <v>626.1031842511375</v>
      </c>
      <c r="AF30" s="5"/>
      <c r="AG30" s="13">
        <f>'[3]SCHH-2'!$AG359</f>
        <v>1491.432797006621</v>
      </c>
      <c r="AH30" s="5"/>
      <c r="AI30" s="13">
        <f>'[3]SCHH-2'!$AI359</f>
        <v>37069.89478575885</v>
      </c>
      <c r="AJ30" s="54"/>
      <c r="AK30" s="54"/>
      <c r="AL30" s="190"/>
      <c r="AM30" s="191"/>
      <c r="AN30" s="191"/>
      <c r="AO30" s="190"/>
    </row>
    <row r="31" spans="1:41" ht="25.5" customHeight="1">
      <c r="A31" s="7">
        <v>16</v>
      </c>
      <c r="B31" s="36" t="s">
        <v>14</v>
      </c>
      <c r="C31" s="13">
        <f>'[3]SCHH-2'!$C360</f>
        <v>338794.7432492231</v>
      </c>
      <c r="D31" s="13"/>
      <c r="E31" s="13">
        <f>'[3]SCHH-2'!$E360</f>
        <v>306274.9444636884</v>
      </c>
      <c r="F31" s="13"/>
      <c r="G31" s="13">
        <f>'[3]SCHH-2'!G360</f>
        <v>716</v>
      </c>
      <c r="H31" s="13"/>
      <c r="I31" s="13">
        <f>'[3]SCHH-2'!$I360</f>
        <v>63</v>
      </c>
      <c r="J31" s="13"/>
      <c r="K31" s="13">
        <f>'[3]SCHH-2'!$K360</f>
        <v>792</v>
      </c>
      <c r="L31" s="13"/>
      <c r="M31" s="13">
        <f>'[3]SCHH-2'!$M360</f>
        <v>10426.083333333332</v>
      </c>
      <c r="N31" s="13"/>
      <c r="O31" s="13">
        <f>'[3]SCHH-2'!$O360</f>
        <v>13327.866892404887</v>
      </c>
      <c r="P31" s="13"/>
      <c r="Q31" s="13">
        <f>'[3]SCHH-2'!$Q360</f>
        <v>6063.641221374046</v>
      </c>
      <c r="R31" s="13"/>
      <c r="S31" s="13">
        <f>'[3]SCHH-2'!$S360</f>
        <v>827.7073384223919</v>
      </c>
      <c r="T31" s="13"/>
      <c r="U31" s="13">
        <f>'[3]SCHH-2'!$U360</f>
        <v>123</v>
      </c>
      <c r="V31" s="13"/>
      <c r="W31" s="13">
        <f>'[3]SCHH-2'!$W360</f>
        <v>103.5</v>
      </c>
      <c r="X31" s="13"/>
      <c r="Y31" s="13">
        <f>'[3]SCHH-2'!$Y360</f>
        <v>26</v>
      </c>
      <c r="Z31" s="5"/>
      <c r="AA31" s="13">
        <f>'[3]SCHH-2'!$AA360</f>
        <v>14</v>
      </c>
      <c r="AB31" s="5"/>
      <c r="AC31" s="13">
        <f>'[3]SCHH-2'!$AC360</f>
        <v>3</v>
      </c>
      <c r="AD31" s="13"/>
      <c r="AE31" s="13">
        <f>'[3]SCHH-2'!$AE360</f>
        <v>15</v>
      </c>
      <c r="AF31" s="5"/>
      <c r="AG31" s="13">
        <f>'[3]SCHH-2'!$AG360</f>
        <v>11</v>
      </c>
      <c r="AH31" s="5"/>
      <c r="AI31" s="13">
        <f>'[3]SCHH-2'!$AI360</f>
        <v>8</v>
      </c>
      <c r="AJ31" s="54"/>
      <c r="AK31" s="54"/>
      <c r="AL31" s="190"/>
      <c r="AM31" s="192"/>
      <c r="AN31" s="192"/>
      <c r="AO31" s="190"/>
    </row>
    <row r="32" spans="1:41" ht="25.5" customHeight="1">
      <c r="A32" s="7">
        <v>17</v>
      </c>
      <c r="B32" s="36" t="s">
        <v>175</v>
      </c>
      <c r="C32" s="13">
        <f>'[3]SCHH-2'!$C361</f>
        <v>85557628.87177394</v>
      </c>
      <c r="D32" s="13"/>
      <c r="E32" s="13">
        <f>'[3]SCHH-2'!$E361</f>
        <v>12401124.630906796</v>
      </c>
      <c r="F32" s="13"/>
      <c r="G32" s="13">
        <f>'[3]SCHH-2'!G361</f>
        <v>0</v>
      </c>
      <c r="H32" s="13"/>
      <c r="I32" s="13">
        <f>'[3]SCHH-2'!$I361</f>
        <v>82171.21933301409</v>
      </c>
      <c r="J32" s="13"/>
      <c r="K32" s="13">
        <f>'[3]SCHH-2'!$K361</f>
        <v>0</v>
      </c>
      <c r="L32" s="13"/>
      <c r="M32" s="13">
        <f>'[3]SCHH-2'!$M361</f>
        <v>944291.3396998334</v>
      </c>
      <c r="N32" s="13"/>
      <c r="O32" s="13">
        <f>'[3]SCHH-2'!$O361</f>
        <v>7920164.281236088</v>
      </c>
      <c r="P32" s="13"/>
      <c r="Q32" s="13">
        <f>'[3]SCHH-2'!$Q361</f>
        <v>13764298.335835133</v>
      </c>
      <c r="R32" s="13"/>
      <c r="S32" s="13">
        <f>'[3]SCHH-2'!$S361</f>
        <v>7371754.856220434</v>
      </c>
      <c r="T32" s="13"/>
      <c r="U32" s="13">
        <f>'[3]SCHH-2'!$U361</f>
        <v>3888600.4830600945</v>
      </c>
      <c r="V32" s="13"/>
      <c r="W32" s="13">
        <f>'[3]SCHH-2'!$W361</f>
        <v>6027183.301539903</v>
      </c>
      <c r="X32" s="13"/>
      <c r="Y32" s="13">
        <f>'[3]SCHH-2'!$Y361</f>
        <v>4256556.672922276</v>
      </c>
      <c r="Z32" s="5"/>
      <c r="AA32" s="13">
        <f>'[3]SCHH-2'!$AA361</f>
        <v>12241373.68572075</v>
      </c>
      <c r="AB32" s="5"/>
      <c r="AC32" s="13">
        <f>'[3]SCHH-2'!$AC361</f>
        <v>6402662.396711641</v>
      </c>
      <c r="AD32" s="13"/>
      <c r="AE32" s="13">
        <f>'[3]SCHH-2'!$AE361</f>
        <v>36175.13558788515</v>
      </c>
      <c r="AF32" s="5"/>
      <c r="AG32" s="13">
        <f>'[3]SCHH-2'!$AG361</f>
        <v>99744.66666666669</v>
      </c>
      <c r="AH32" s="5"/>
      <c r="AI32" s="13">
        <f>'[3]SCHH-2'!$AI361</f>
        <v>10121527.866333429</v>
      </c>
      <c r="AJ32" s="54"/>
      <c r="AK32" s="54"/>
      <c r="AL32" s="190"/>
      <c r="AM32" s="190"/>
      <c r="AN32" s="190"/>
      <c r="AO32" s="190"/>
    </row>
    <row r="33" spans="1:41" ht="25.5" customHeight="1">
      <c r="A33" s="7">
        <v>18</v>
      </c>
      <c r="B33" s="36" t="s">
        <v>15</v>
      </c>
      <c r="C33" s="13">
        <f>'[3]SCHH-2'!$C362</f>
        <v>1081229663.7475867</v>
      </c>
      <c r="D33" s="13"/>
      <c r="E33" s="13">
        <f>'[3]SCHH-2'!$E362</f>
        <v>61965936.06062825</v>
      </c>
      <c r="F33" s="13"/>
      <c r="G33" s="13">
        <f>'[3]SCHH-2'!G362</f>
        <v>0</v>
      </c>
      <c r="H33" s="13"/>
      <c r="I33" s="13">
        <f>'[3]SCHH-2'!$I362</f>
        <v>901551.5528224041</v>
      </c>
      <c r="J33" s="13"/>
      <c r="K33" s="13">
        <f>'[3]SCHH-2'!$K362</f>
        <v>0</v>
      </c>
      <c r="L33" s="13"/>
      <c r="M33" s="13">
        <f>'[3]SCHH-2'!$M362</f>
        <v>8296450.228259446</v>
      </c>
      <c r="N33" s="13"/>
      <c r="O33" s="13">
        <f>'[3]SCHH-2'!$O362</f>
        <v>65430832.67584133</v>
      </c>
      <c r="P33" s="13"/>
      <c r="Q33" s="13">
        <f>'[3]SCHH-2'!$Q362</f>
        <v>124454784.49334837</v>
      </c>
      <c r="R33" s="13"/>
      <c r="S33" s="13">
        <f>'[3]SCHH-2'!$S362</f>
        <v>74743911.70722145</v>
      </c>
      <c r="T33" s="13"/>
      <c r="U33" s="13">
        <f>'[3]SCHH-2'!$U362</f>
        <v>43269635.39999999</v>
      </c>
      <c r="V33" s="13"/>
      <c r="W33" s="13">
        <f>'[3]SCHH-2'!$W362</f>
        <v>64790915.29999999</v>
      </c>
      <c r="X33" s="13"/>
      <c r="Y33" s="13">
        <f>'[3]SCHH-2'!$Y362</f>
        <v>48728719</v>
      </c>
      <c r="Z33" s="5"/>
      <c r="AA33" s="13">
        <f>'[3]SCHH-2'!$AA362</f>
        <v>134464513</v>
      </c>
      <c r="AB33" s="5"/>
      <c r="AC33" s="13">
        <f>'[3]SCHH-2'!$AC362</f>
        <v>152002324.00399998</v>
      </c>
      <c r="AD33" s="13"/>
      <c r="AE33" s="13">
        <f>'[3]SCHH-2'!$AE362</f>
        <v>428668.34253232955</v>
      </c>
      <c r="AF33" s="5"/>
      <c r="AG33" s="13">
        <f>'[3]SCHH-2'!$AG362</f>
        <v>1582429.9833333336</v>
      </c>
      <c r="AH33" s="5"/>
      <c r="AI33" s="13">
        <f>'[3]SCHH-2'!$AI362</f>
        <v>300168991.9996</v>
      </c>
      <c r="AJ33" s="54"/>
      <c r="AK33" s="54"/>
      <c r="AL33" s="190"/>
      <c r="AM33" s="190"/>
      <c r="AN33" s="190"/>
      <c r="AO33" s="190"/>
    </row>
    <row r="34" spans="1:41" ht="17.2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13"/>
      <c r="M34" s="4"/>
      <c r="N34" s="13"/>
      <c r="O34" s="4"/>
      <c r="P34" s="4"/>
      <c r="Q34" s="4"/>
      <c r="R34" s="13"/>
      <c r="S34" s="4"/>
      <c r="T34" s="13"/>
      <c r="U34" s="4"/>
      <c r="V34" s="4"/>
      <c r="W34" s="4"/>
      <c r="X34" s="13"/>
      <c r="Y34" s="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4"/>
      <c r="AK34" s="54"/>
      <c r="AL34" s="190"/>
      <c r="AM34" s="190"/>
      <c r="AN34" s="190"/>
      <c r="AO34" s="190"/>
    </row>
    <row r="35" spans="1:41" ht="17.2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69"/>
      <c r="M35" s="4"/>
      <c r="N35" s="69"/>
      <c r="O35" s="4"/>
      <c r="P35" s="4"/>
      <c r="Q35" s="4"/>
      <c r="R35" s="69"/>
      <c r="S35" s="4"/>
      <c r="T35" s="69"/>
      <c r="U35" s="4"/>
      <c r="V35" s="4"/>
      <c r="W35" s="4"/>
      <c r="X35" s="69"/>
      <c r="Y35" s="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4"/>
      <c r="AK35" s="54"/>
      <c r="AL35" s="190"/>
      <c r="AM35" s="190"/>
      <c r="AN35" s="190"/>
      <c r="AO35" s="190"/>
    </row>
    <row r="36" spans="1:41" ht="17.25" hidden="1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13"/>
      <c r="M36" s="4"/>
      <c r="N36" s="13"/>
      <c r="O36" s="4"/>
      <c r="P36" s="4"/>
      <c r="Q36" s="4"/>
      <c r="R36" s="13"/>
      <c r="S36" s="5"/>
      <c r="T36" s="13"/>
      <c r="U36" s="5"/>
      <c r="V36" s="5"/>
      <c r="W36" s="5"/>
      <c r="X36" s="13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4"/>
      <c r="AK36" s="54"/>
      <c r="AL36" s="190"/>
      <c r="AM36" s="190"/>
      <c r="AN36" s="190"/>
      <c r="AO36" s="190"/>
    </row>
    <row r="37" spans="1:41" ht="17.25" hidden="1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70"/>
      <c r="M37" s="4"/>
      <c r="N37" s="70"/>
      <c r="O37" s="4"/>
      <c r="P37" s="4"/>
      <c r="Q37" s="4"/>
      <c r="R37" s="70"/>
      <c r="S37" s="5"/>
      <c r="T37" s="70"/>
      <c r="U37" s="5"/>
      <c r="V37" s="5"/>
      <c r="W37" s="5"/>
      <c r="X37" s="70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4"/>
      <c r="AK37" s="54"/>
      <c r="AL37" s="190"/>
      <c r="AM37" s="190"/>
      <c r="AN37" s="190"/>
      <c r="AO37" s="190"/>
    </row>
    <row r="38" spans="1:41" ht="17.25" hidden="1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4"/>
      <c r="AK38" s="54"/>
      <c r="AL38" s="190"/>
      <c r="AM38" s="190"/>
      <c r="AN38" s="190"/>
      <c r="AO38" s="190"/>
    </row>
    <row r="39" spans="1:41" ht="17.25" hidden="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4"/>
      <c r="AK39" s="54"/>
      <c r="AL39" s="190"/>
      <c r="AM39" s="190"/>
      <c r="AN39" s="190"/>
      <c r="AO39" s="190"/>
    </row>
    <row r="40" spans="1:41" ht="17.25" hidden="1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4"/>
      <c r="AK40" s="54"/>
      <c r="AL40" s="190"/>
      <c r="AM40" s="190"/>
      <c r="AN40" s="190"/>
      <c r="AO40" s="190"/>
    </row>
    <row r="41" spans="1:41" ht="17.25" hidden="1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4"/>
      <c r="AK41" s="54"/>
      <c r="AL41" s="190"/>
      <c r="AM41" s="190"/>
      <c r="AN41" s="190"/>
      <c r="AO41" s="190"/>
    </row>
    <row r="42" spans="1:41" ht="17.2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4"/>
      <c r="AK42" s="54"/>
      <c r="AL42" s="190"/>
      <c r="AM42" s="190"/>
      <c r="AN42" s="190"/>
      <c r="AO42" s="190"/>
    </row>
    <row r="43" spans="1:41" ht="17.2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4"/>
      <c r="AK43" s="54"/>
      <c r="AL43" s="190"/>
      <c r="AM43" s="190"/>
      <c r="AN43" s="190"/>
      <c r="AO43" s="190"/>
    </row>
    <row r="44" spans="1:41" ht="17.2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4"/>
      <c r="AK44" s="54"/>
      <c r="AL44" s="190"/>
      <c r="AM44" s="190"/>
      <c r="AN44" s="190"/>
      <c r="AO44" s="190"/>
    </row>
    <row r="45" spans="1:41" ht="17.2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4"/>
      <c r="AK45" s="54"/>
      <c r="AL45" s="190"/>
      <c r="AM45" s="190"/>
      <c r="AN45" s="190"/>
      <c r="AO45" s="190"/>
    </row>
    <row r="46" spans="1:41" ht="17.2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4"/>
      <c r="AK46" s="54"/>
      <c r="AL46" s="190"/>
      <c r="AM46" s="190"/>
      <c r="AN46" s="190"/>
      <c r="AO46" s="190"/>
    </row>
    <row r="47" spans="1:38" ht="17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4"/>
      <c r="AK47" s="54"/>
      <c r="AL47" s="54"/>
    </row>
    <row r="48" spans="1:38" ht="17.2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4"/>
      <c r="AK48" s="54"/>
      <c r="AL48" s="54"/>
    </row>
    <row r="49" spans="1:38" ht="17.2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4"/>
      <c r="AK49" s="54"/>
      <c r="AL49" s="54"/>
    </row>
    <row r="50" spans="1:38" ht="17.2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4"/>
      <c r="AK50" s="54"/>
      <c r="AL50" s="54"/>
    </row>
    <row r="51" spans="1:38" ht="17.2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4"/>
      <c r="AK51" s="54"/>
      <c r="AL51" s="54"/>
    </row>
    <row r="52" spans="1:38" ht="17.2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4"/>
      <c r="AK52" s="54"/>
      <c r="AL52" s="54"/>
    </row>
    <row r="53" spans="1:38" ht="17.25">
      <c r="A53" s="5"/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1"/>
      <c r="N53" s="72"/>
      <c r="O53" s="72"/>
      <c r="P53" s="72"/>
      <c r="Q53" s="72"/>
      <c r="R53" s="72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54"/>
      <c r="AK53" s="54"/>
      <c r="AL53" s="54"/>
    </row>
    <row r="54" spans="1:38" ht="17.25">
      <c r="A54" s="5"/>
      <c r="B54" s="62" t="s">
        <v>177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  <c r="P54" s="5"/>
      <c r="Q54" s="4"/>
      <c r="R54" s="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4"/>
      <c r="AK54" s="54"/>
      <c r="AL54" s="54"/>
    </row>
    <row r="55" spans="1:38" ht="17.25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4"/>
      <c r="AK55" s="54"/>
      <c r="AL55" s="54"/>
    </row>
    <row r="56" spans="1:38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4"/>
      <c r="AK56" s="54"/>
      <c r="AL56" s="54"/>
    </row>
    <row r="57" spans="1:38" ht="17.25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4"/>
      <c r="AK57" s="54"/>
      <c r="AL57" s="54"/>
    </row>
    <row r="58" spans="1:38" ht="25.5" customHeight="1" thickBot="1">
      <c r="A58" s="54"/>
      <c r="B58" s="55" t="s">
        <v>188</v>
      </c>
      <c r="C58" s="56"/>
      <c r="D58" s="56"/>
      <c r="E58" s="54"/>
      <c r="F58" s="54"/>
      <c r="G58" s="54"/>
      <c r="H58" s="54"/>
      <c r="I58" s="16" t="s">
        <v>128</v>
      </c>
      <c r="J58" s="56"/>
      <c r="K58" s="56"/>
      <c r="L58" s="56"/>
      <c r="M58" s="54"/>
      <c r="N58" s="56"/>
      <c r="O58" s="54"/>
      <c r="P58" s="54"/>
      <c r="Q58" s="26" t="s">
        <v>141</v>
      </c>
      <c r="R58" s="56"/>
      <c r="S58" s="16"/>
      <c r="T58" s="54"/>
      <c r="U58" s="54"/>
      <c r="V58" s="54"/>
      <c r="W58" s="34"/>
      <c r="X58" s="34"/>
      <c r="Y58" s="16" t="s">
        <v>128</v>
      </c>
      <c r="Z58" s="54"/>
      <c r="AA58" s="54"/>
      <c r="AB58" s="54"/>
      <c r="AC58" s="54"/>
      <c r="AD58" s="54"/>
      <c r="AE58" s="55"/>
      <c r="AF58" s="54"/>
      <c r="AG58" s="26" t="s">
        <v>151</v>
      </c>
      <c r="AH58" s="34"/>
      <c r="AI58" s="54"/>
      <c r="AJ58" s="54"/>
      <c r="AK58" s="54"/>
      <c r="AL58" s="54"/>
    </row>
    <row r="59" spans="1:38" ht="17.25">
      <c r="A59" s="57"/>
      <c r="B59" s="58" t="s">
        <v>0</v>
      </c>
      <c r="C59" s="59"/>
      <c r="D59" s="59"/>
      <c r="E59" s="57"/>
      <c r="F59" s="57"/>
      <c r="G59" s="57"/>
      <c r="H59" s="57"/>
      <c r="I59" s="17"/>
      <c r="J59" s="59"/>
      <c r="K59" s="59"/>
      <c r="L59" s="59"/>
      <c r="M59" s="60"/>
      <c r="N59" s="59"/>
      <c r="O59" s="57"/>
      <c r="P59" s="57"/>
      <c r="Q59" s="19" t="s">
        <v>1</v>
      </c>
      <c r="R59" s="59"/>
      <c r="S59" s="17"/>
      <c r="T59" s="57"/>
      <c r="U59" s="57"/>
      <c r="V59" s="57"/>
      <c r="W59" s="60"/>
      <c r="X59" s="60"/>
      <c r="Y59" s="17"/>
      <c r="Z59" s="57"/>
      <c r="AA59" s="57"/>
      <c r="AB59" s="57"/>
      <c r="AC59" s="57"/>
      <c r="AD59" s="57"/>
      <c r="AE59" s="59"/>
      <c r="AF59" s="57"/>
      <c r="AG59" s="19" t="s">
        <v>1</v>
      </c>
      <c r="AH59" s="60"/>
      <c r="AI59" s="57"/>
      <c r="AJ59" s="54"/>
      <c r="AK59" s="54"/>
      <c r="AL59" s="54"/>
    </row>
    <row r="60" spans="1:38" ht="17.25">
      <c r="A60" s="5"/>
      <c r="B60" s="61" t="s">
        <v>67</v>
      </c>
      <c r="C60" s="4"/>
      <c r="D60" s="4"/>
      <c r="E60" s="5"/>
      <c r="F60" s="5"/>
      <c r="G60" s="5"/>
      <c r="H60" s="5"/>
      <c r="I60" s="18" t="s">
        <v>129</v>
      </c>
      <c r="J60" s="4"/>
      <c r="K60" s="4"/>
      <c r="L60" s="62"/>
      <c r="N60" s="4"/>
      <c r="O60" s="5"/>
      <c r="P60" s="5"/>
      <c r="Q60" s="27" t="s">
        <v>109</v>
      </c>
      <c r="R60" s="4"/>
      <c r="S60" s="7"/>
      <c r="T60" s="5"/>
      <c r="U60" s="5"/>
      <c r="V60" s="5"/>
      <c r="Y60" s="18" t="s">
        <v>129</v>
      </c>
      <c r="Z60" s="5"/>
      <c r="AA60" s="5"/>
      <c r="AB60" s="5"/>
      <c r="AC60" s="5"/>
      <c r="AD60" s="5"/>
      <c r="AE60" s="62"/>
      <c r="AF60" s="5"/>
      <c r="AG60" s="27" t="s">
        <v>109</v>
      </c>
      <c r="AI60" s="5"/>
      <c r="AJ60" s="54"/>
      <c r="AK60" s="54"/>
      <c r="AL60" s="54"/>
    </row>
    <row r="61" spans="1:38" ht="17.25">
      <c r="A61" s="5"/>
      <c r="B61" s="61" t="s">
        <v>118</v>
      </c>
      <c r="C61" s="4"/>
      <c r="D61" s="4"/>
      <c r="E61" s="5"/>
      <c r="F61" s="5"/>
      <c r="G61" s="5"/>
      <c r="H61" s="5"/>
      <c r="I61" s="18" t="s">
        <v>130</v>
      </c>
      <c r="J61" s="4"/>
      <c r="K61" s="4"/>
      <c r="L61" s="4"/>
      <c r="N61" s="4"/>
      <c r="O61" s="5"/>
      <c r="P61" s="5"/>
      <c r="Q61" s="27" t="s">
        <v>110</v>
      </c>
      <c r="R61" s="4"/>
      <c r="S61" s="18"/>
      <c r="T61" s="5"/>
      <c r="U61" s="5"/>
      <c r="V61" s="5"/>
      <c r="Y61" s="18" t="s">
        <v>130</v>
      </c>
      <c r="Z61" s="5"/>
      <c r="AA61" s="5"/>
      <c r="AB61" s="5"/>
      <c r="AC61" s="5"/>
      <c r="AD61" s="5"/>
      <c r="AE61" s="61"/>
      <c r="AF61" s="5"/>
      <c r="AG61" s="27" t="s">
        <v>110</v>
      </c>
      <c r="AI61" s="5"/>
      <c r="AJ61" s="54"/>
      <c r="AK61" s="54"/>
      <c r="AL61" s="54"/>
    </row>
    <row r="62" spans="1:38" ht="18" thickBot="1">
      <c r="A62" s="54"/>
      <c r="B62" s="54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4"/>
      <c r="P62" s="54"/>
      <c r="Q62" s="56"/>
      <c r="R62" s="56"/>
      <c r="S62" s="54"/>
      <c r="T62" s="54"/>
      <c r="U62" s="54"/>
      <c r="V62" s="54"/>
      <c r="W62" s="34"/>
      <c r="X62" s="34"/>
      <c r="Y62" s="56"/>
      <c r="Z62" s="54"/>
      <c r="AA62" s="54"/>
      <c r="AB62" s="54"/>
      <c r="AC62" s="54"/>
      <c r="AD62" s="54"/>
      <c r="AE62" s="64"/>
      <c r="AF62" s="54"/>
      <c r="AG62" s="34"/>
      <c r="AH62" s="34"/>
      <c r="AI62" s="54"/>
      <c r="AJ62" s="54"/>
      <c r="AK62" s="54"/>
      <c r="AL62" s="54"/>
    </row>
    <row r="63" spans="1:38" ht="25.5" customHeight="1">
      <c r="A63" s="57"/>
      <c r="B63" s="59"/>
      <c r="C63" s="59"/>
      <c r="D63" s="59"/>
      <c r="E63" s="59"/>
      <c r="F63" s="59"/>
      <c r="G63" s="59"/>
      <c r="H63" s="59"/>
      <c r="I63" s="65" t="s">
        <v>136</v>
      </c>
      <c r="J63" s="59"/>
      <c r="K63" s="59"/>
      <c r="L63" s="59"/>
      <c r="M63" s="59"/>
      <c r="N63" s="59"/>
      <c r="O63" s="59"/>
      <c r="P63" s="59"/>
      <c r="Q63" s="59"/>
      <c r="R63" s="59"/>
      <c r="S63" s="57"/>
      <c r="T63" s="57"/>
      <c r="U63" s="57"/>
      <c r="V63" s="57"/>
      <c r="W63" s="60"/>
      <c r="X63" s="57"/>
      <c r="Y63" s="65" t="s">
        <v>136</v>
      </c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4"/>
      <c r="AK63" s="54"/>
      <c r="AL63" s="54"/>
    </row>
    <row r="64" spans="1:38" ht="17.25">
      <c r="A64" s="5"/>
      <c r="B64" s="5"/>
      <c r="C64" s="4"/>
      <c r="D64" s="4"/>
      <c r="E64" s="5"/>
      <c r="F64" s="5"/>
      <c r="G64" s="5"/>
      <c r="H64" s="5"/>
      <c r="I64" s="4"/>
      <c r="J64" s="4"/>
      <c r="K64" s="4"/>
      <c r="L64" s="62"/>
      <c r="N64" s="4"/>
      <c r="O64" s="4"/>
      <c r="P64" s="4"/>
      <c r="Q64" s="4"/>
      <c r="R64" s="4"/>
      <c r="S64" s="18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4"/>
      <c r="AK64" s="54"/>
      <c r="AL64" s="54"/>
    </row>
    <row r="65" spans="1:38" ht="17.25">
      <c r="A65" s="5"/>
      <c r="B65" s="4"/>
      <c r="C65" s="4"/>
      <c r="D65" s="4"/>
      <c r="E65" s="5"/>
      <c r="F65" s="5"/>
      <c r="G65" s="5"/>
      <c r="H65" s="5"/>
      <c r="I65" s="4"/>
      <c r="J65" s="4"/>
      <c r="K65" s="4"/>
      <c r="L65" s="4"/>
      <c r="M65" s="5"/>
      <c r="N65" s="5"/>
      <c r="O65" s="4"/>
      <c r="P65" s="4"/>
      <c r="Q65" s="4"/>
      <c r="R65" s="4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4"/>
      <c r="AK65" s="54"/>
      <c r="AL65" s="54"/>
    </row>
    <row r="66" spans="1:38" ht="17.25">
      <c r="A66" s="5"/>
      <c r="B66" s="62"/>
      <c r="C66" s="19"/>
      <c r="D66" s="19"/>
      <c r="E66" s="20"/>
      <c r="F66" s="20"/>
      <c r="G66" s="20"/>
      <c r="H66" s="20"/>
      <c r="I66" s="20" t="s">
        <v>69</v>
      </c>
      <c r="J66" s="20"/>
      <c r="K66" s="20"/>
      <c r="L66" s="20"/>
      <c r="M66" s="21" t="s">
        <v>131</v>
      </c>
      <c r="N66" s="20"/>
      <c r="O66" s="21" t="s">
        <v>119</v>
      </c>
      <c r="P66" s="21"/>
      <c r="Q66" s="21" t="s">
        <v>120</v>
      </c>
      <c r="R66" s="20"/>
      <c r="S66" s="21" t="s">
        <v>70</v>
      </c>
      <c r="T66" s="20"/>
      <c r="U66" s="21" t="s">
        <v>71</v>
      </c>
      <c r="V66" s="21"/>
      <c r="W66" s="20" t="s">
        <v>132</v>
      </c>
      <c r="X66" s="20"/>
      <c r="Y66" s="20" t="s">
        <v>81</v>
      </c>
      <c r="Z66" s="20"/>
      <c r="AA66" s="20" t="s">
        <v>82</v>
      </c>
      <c r="AB66" s="20"/>
      <c r="AC66" s="20" t="s">
        <v>174</v>
      </c>
      <c r="AD66" s="20"/>
      <c r="AE66" s="20"/>
      <c r="AF66" s="20"/>
      <c r="AG66" s="20"/>
      <c r="AH66" s="20"/>
      <c r="AI66" s="20"/>
      <c r="AJ66" s="54"/>
      <c r="AK66" s="54"/>
      <c r="AL66" s="54"/>
    </row>
    <row r="67" spans="1:38" ht="17.25">
      <c r="A67" s="5"/>
      <c r="B67" s="4"/>
      <c r="C67" s="19"/>
      <c r="D67" s="19"/>
      <c r="E67" s="20" t="s">
        <v>68</v>
      </c>
      <c r="F67" s="20"/>
      <c r="G67" s="20" t="s">
        <v>68</v>
      </c>
      <c r="H67" s="20"/>
      <c r="I67" s="20" t="s">
        <v>72</v>
      </c>
      <c r="J67" s="20"/>
      <c r="K67" s="20" t="s">
        <v>69</v>
      </c>
      <c r="L67" s="20"/>
      <c r="M67" s="20" t="s">
        <v>73</v>
      </c>
      <c r="N67" s="20"/>
      <c r="O67" s="20" t="s">
        <v>74</v>
      </c>
      <c r="P67" s="20"/>
      <c r="Q67" s="20" t="s">
        <v>74</v>
      </c>
      <c r="R67" s="20"/>
      <c r="S67" s="20" t="s">
        <v>74</v>
      </c>
      <c r="T67" s="20"/>
      <c r="U67" s="20" t="s">
        <v>74</v>
      </c>
      <c r="V67" s="20"/>
      <c r="W67" s="20" t="s">
        <v>74</v>
      </c>
      <c r="X67" s="20"/>
      <c r="Y67" s="20" t="s">
        <v>133</v>
      </c>
      <c r="Z67" s="20"/>
      <c r="AA67" s="21" t="s">
        <v>83</v>
      </c>
      <c r="AB67" s="20"/>
      <c r="AC67" s="21" t="s">
        <v>83</v>
      </c>
      <c r="AD67" s="20"/>
      <c r="AE67" s="20" t="s">
        <v>134</v>
      </c>
      <c r="AF67" s="20"/>
      <c r="AG67" s="20" t="s">
        <v>84</v>
      </c>
      <c r="AH67" s="20"/>
      <c r="AI67" s="20" t="s">
        <v>85</v>
      </c>
      <c r="AJ67" s="54"/>
      <c r="AK67" s="54"/>
      <c r="AL67" s="54"/>
    </row>
    <row r="68" spans="1:38" ht="17.25">
      <c r="A68" s="67" t="s">
        <v>66</v>
      </c>
      <c r="B68" s="4"/>
      <c r="C68" s="35" t="s">
        <v>16</v>
      </c>
      <c r="D68" s="35"/>
      <c r="E68" s="22" t="s">
        <v>76</v>
      </c>
      <c r="F68" s="23"/>
      <c r="G68" s="24" t="s">
        <v>111</v>
      </c>
      <c r="H68" s="23"/>
      <c r="I68" s="22" t="s">
        <v>75</v>
      </c>
      <c r="J68" s="22"/>
      <c r="K68" s="22" t="s">
        <v>111</v>
      </c>
      <c r="L68" s="22"/>
      <c r="M68" s="22" t="s">
        <v>76</v>
      </c>
      <c r="N68" s="22"/>
      <c r="O68" s="22" t="s">
        <v>77</v>
      </c>
      <c r="P68" s="22"/>
      <c r="Q68" s="22" t="s">
        <v>78</v>
      </c>
      <c r="R68" s="25"/>
      <c r="S68" s="22" t="s">
        <v>79</v>
      </c>
      <c r="T68" s="22"/>
      <c r="U68" s="22" t="s">
        <v>80</v>
      </c>
      <c r="V68" s="25"/>
      <c r="W68" s="22" t="s">
        <v>86</v>
      </c>
      <c r="X68" s="22"/>
      <c r="Y68" s="22" t="s">
        <v>76</v>
      </c>
      <c r="Z68" s="22"/>
      <c r="AA68" s="22" t="s">
        <v>76</v>
      </c>
      <c r="AB68" s="22"/>
      <c r="AC68" s="22" t="s">
        <v>87</v>
      </c>
      <c r="AD68" s="25"/>
      <c r="AE68" s="22" t="s">
        <v>135</v>
      </c>
      <c r="AF68" s="22"/>
      <c r="AG68" s="22" t="s">
        <v>76</v>
      </c>
      <c r="AH68" s="25"/>
      <c r="AI68" s="22" t="s">
        <v>88</v>
      </c>
      <c r="AJ68" s="54"/>
      <c r="AK68" s="54"/>
      <c r="AL68" s="54"/>
    </row>
    <row r="69" spans="1:38" ht="25.5" customHeight="1">
      <c r="A69" s="7">
        <v>1</v>
      </c>
      <c r="B69" s="36" t="s">
        <v>17</v>
      </c>
      <c r="C69" s="13">
        <f aca="true" t="shared" si="0" ref="C69:E72">C27</f>
        <v>82793467.4252741</v>
      </c>
      <c r="D69" s="13"/>
      <c r="E69" s="13">
        <f t="shared" si="0"/>
        <v>54328869.48883012</v>
      </c>
      <c r="F69" s="13"/>
      <c r="G69" s="13">
        <f>G27</f>
        <v>121708.07459950651</v>
      </c>
      <c r="H69" s="13"/>
      <c r="I69" s="13">
        <f>I27</f>
        <v>16401.442048871188</v>
      </c>
      <c r="J69" s="13"/>
      <c r="K69" s="13">
        <f>K27</f>
        <v>319255.83695941616</v>
      </c>
      <c r="L69" s="13"/>
      <c r="M69" s="13">
        <f>M27</f>
        <v>4301787.9950028565</v>
      </c>
      <c r="N69" s="13"/>
      <c r="O69" s="13">
        <f>O27</f>
        <v>9672608.787670935</v>
      </c>
      <c r="P69" s="13"/>
      <c r="Q69" s="13">
        <f>Q27</f>
        <v>8163608.773541869</v>
      </c>
      <c r="R69" s="13"/>
      <c r="S69" s="13">
        <f>S27</f>
        <v>2768929.5069737667</v>
      </c>
      <c r="T69" s="13"/>
      <c r="U69" s="13">
        <f>U27</f>
        <v>847603.7738380956</v>
      </c>
      <c r="V69" s="13"/>
      <c r="W69" s="13">
        <f>W27</f>
        <v>299763.42450367694</v>
      </c>
      <c r="X69" s="13"/>
      <c r="Y69" s="13">
        <f>Y27</f>
        <v>223797.59505913281</v>
      </c>
      <c r="Z69" s="5"/>
      <c r="AA69" s="13">
        <f>AA27</f>
        <v>381343.3477192059</v>
      </c>
      <c r="AB69" s="5"/>
      <c r="AC69" s="13">
        <f>AC27</f>
        <v>401981.86753442645</v>
      </c>
      <c r="AD69" s="13"/>
      <c r="AE69" s="13">
        <f>AE27</f>
        <v>37129.831140262824</v>
      </c>
      <c r="AF69" s="5"/>
      <c r="AG69" s="13">
        <f>AG27</f>
        <v>29888.396017456373</v>
      </c>
      <c r="AH69" s="5"/>
      <c r="AI69" s="13">
        <f>AI27</f>
        <v>878789.2838345178</v>
      </c>
      <c r="AJ69" s="54"/>
      <c r="AK69" s="54"/>
      <c r="AL69" s="54"/>
    </row>
    <row r="70" spans="1:38" ht="25.5" customHeight="1">
      <c r="A70" s="7">
        <v>2</v>
      </c>
      <c r="B70" s="36" t="s">
        <v>18</v>
      </c>
      <c r="C70" s="13">
        <f t="shared" si="0"/>
        <v>96932233.76097202</v>
      </c>
      <c r="D70" s="13"/>
      <c r="E70" s="13">
        <f t="shared" si="0"/>
        <v>17091005.519849572</v>
      </c>
      <c r="F70" s="13"/>
      <c r="G70" s="13">
        <f>G28</f>
        <v>0</v>
      </c>
      <c r="H70" s="13"/>
      <c r="I70" s="13">
        <f>I28</f>
        <v>152635.92165469367</v>
      </c>
      <c r="J70" s="13"/>
      <c r="K70" s="13">
        <f>K28</f>
        <v>0</v>
      </c>
      <c r="L70" s="13"/>
      <c r="M70" s="13">
        <f>M28</f>
        <v>1564544.9747722475</v>
      </c>
      <c r="N70" s="13"/>
      <c r="O70" s="13">
        <f>O28</f>
        <v>13140654.385357149</v>
      </c>
      <c r="P70" s="13"/>
      <c r="Q70" s="13">
        <f>Q28</f>
        <v>23237760.511992406</v>
      </c>
      <c r="R70" s="13"/>
      <c r="S70" s="13">
        <f>S28</f>
        <v>13190373.081525367</v>
      </c>
      <c r="T70" s="13"/>
      <c r="U70" s="13">
        <f>U28</f>
        <v>7272164.190543854</v>
      </c>
      <c r="V70" s="13"/>
      <c r="W70" s="13">
        <f>W28</f>
        <v>7363008.071602117</v>
      </c>
      <c r="X70" s="13"/>
      <c r="Y70" s="13">
        <f>Y28</f>
        <v>3322475.386612471</v>
      </c>
      <c r="Z70" s="5"/>
      <c r="AA70" s="13">
        <f>AA28</f>
        <v>4000283.6687413193</v>
      </c>
      <c r="AB70" s="5"/>
      <c r="AC70" s="13">
        <f>AC28</f>
        <v>852622.8422493028</v>
      </c>
      <c r="AD70" s="13"/>
      <c r="AE70" s="13">
        <f>AE28</f>
        <v>69765.44712717904</v>
      </c>
      <c r="AF70" s="5"/>
      <c r="AG70" s="13">
        <f>AG28</f>
        <v>224745.5490947981</v>
      </c>
      <c r="AH70" s="5"/>
      <c r="AI70" s="13">
        <f>AI28</f>
        <v>5450194.209849551</v>
      </c>
      <c r="AJ70" s="54"/>
      <c r="AK70" s="54"/>
      <c r="AL70" s="54"/>
    </row>
    <row r="71" spans="1:38" ht="25.5" customHeight="1">
      <c r="A71" s="7">
        <v>3</v>
      </c>
      <c r="B71" s="36" t="s">
        <v>19</v>
      </c>
      <c r="C71" s="13">
        <f t="shared" si="0"/>
        <v>0</v>
      </c>
      <c r="D71" s="13"/>
      <c r="E71" s="13">
        <f t="shared" si="0"/>
        <v>0</v>
      </c>
      <c r="F71" s="13"/>
      <c r="G71" s="13">
        <f>G29</f>
        <v>0</v>
      </c>
      <c r="H71" s="13"/>
      <c r="I71" s="13">
        <f>I29</f>
        <v>0</v>
      </c>
      <c r="J71" s="13"/>
      <c r="K71" s="13">
        <f>K29</f>
        <v>0</v>
      </c>
      <c r="L71" s="13"/>
      <c r="M71" s="13">
        <f>M29</f>
        <v>0</v>
      </c>
      <c r="N71" s="13"/>
      <c r="O71" s="13">
        <f>O29</f>
        <v>0</v>
      </c>
      <c r="P71" s="13"/>
      <c r="Q71" s="13">
        <f>Q29</f>
        <v>0</v>
      </c>
      <c r="R71" s="13"/>
      <c r="S71" s="13">
        <f>S29</f>
        <v>0</v>
      </c>
      <c r="T71" s="13"/>
      <c r="U71" s="13">
        <f>U29</f>
        <v>0</v>
      </c>
      <c r="V71" s="13"/>
      <c r="W71" s="13">
        <f>W29</f>
        <v>0</v>
      </c>
      <c r="X71" s="13"/>
      <c r="Y71" s="13">
        <f>Y29</f>
        <v>0</v>
      </c>
      <c r="Z71" s="5"/>
      <c r="AA71" s="13">
        <f>AA29</f>
        <v>0</v>
      </c>
      <c r="AB71" s="5"/>
      <c r="AC71" s="13">
        <f>AC29</f>
        <v>0</v>
      </c>
      <c r="AD71" s="13"/>
      <c r="AE71" s="13">
        <f>AE29</f>
        <v>0</v>
      </c>
      <c r="AF71" s="5"/>
      <c r="AG71" s="13">
        <f>AG29</f>
        <v>0</v>
      </c>
      <c r="AH71" s="5"/>
      <c r="AI71" s="13">
        <f>AI29</f>
        <v>0</v>
      </c>
      <c r="AJ71" s="54"/>
      <c r="AK71" s="54"/>
      <c r="AL71" s="54"/>
    </row>
    <row r="72" spans="1:38" ht="25.5" customHeight="1">
      <c r="A72" s="7">
        <v>4</v>
      </c>
      <c r="B72" s="36" t="s">
        <v>20</v>
      </c>
      <c r="C72" s="13">
        <f>C30</f>
        <v>1052682.921344249</v>
      </c>
      <c r="D72" s="13"/>
      <c r="E72" s="13">
        <f t="shared" si="0"/>
        <v>418317.92653999984</v>
      </c>
      <c r="F72" s="13"/>
      <c r="G72" s="13">
        <f>G30</f>
        <v>712.8641628601806</v>
      </c>
      <c r="H72" s="13"/>
      <c r="I72" s="13">
        <f>I30</f>
        <v>990.0795749596242</v>
      </c>
      <c r="J72" s="13"/>
      <c r="K72" s="13">
        <f>K30</f>
        <v>1869.9338207526232</v>
      </c>
      <c r="L72" s="4"/>
      <c r="M72" s="13">
        <f>M30</f>
        <v>34360.074755260015</v>
      </c>
      <c r="N72" s="4"/>
      <c r="O72" s="13">
        <f>O30</f>
        <v>133621.02561776614</v>
      </c>
      <c r="P72" s="13"/>
      <c r="Q72" s="13">
        <f>Q30</f>
        <v>183922.9722601046</v>
      </c>
      <c r="R72" s="4"/>
      <c r="S72" s="13">
        <f>S30</f>
        <v>93476.25387238587</v>
      </c>
      <c r="T72" s="4"/>
      <c r="U72" s="13">
        <f>U30</f>
        <v>47558.81326358211</v>
      </c>
      <c r="V72" s="13"/>
      <c r="W72" s="13">
        <f>W30</f>
        <v>44882.109964645344</v>
      </c>
      <c r="X72" s="4"/>
      <c r="Y72" s="13">
        <f>Y30</f>
        <v>20771.102728160775</v>
      </c>
      <c r="Z72" s="5"/>
      <c r="AA72" s="13">
        <f>AA30</f>
        <v>25663.9083752899</v>
      </c>
      <c r="AB72" s="5"/>
      <c r="AC72" s="13">
        <f>AC30</f>
        <v>7348.425641465569</v>
      </c>
      <c r="AD72" s="13"/>
      <c r="AE72" s="13">
        <f>AE30</f>
        <v>626.1031842511375</v>
      </c>
      <c r="AF72" s="5"/>
      <c r="AG72" s="13">
        <f>AG30</f>
        <v>1491.432797006621</v>
      </c>
      <c r="AH72" s="5"/>
      <c r="AI72" s="13">
        <f>AI30</f>
        <v>37069.89478575885</v>
      </c>
      <c r="AJ72" s="54"/>
      <c r="AK72" s="54"/>
      <c r="AL72" s="54"/>
    </row>
    <row r="73" spans="1:38" ht="25.5" customHeight="1">
      <c r="A73" s="7">
        <v>5</v>
      </c>
      <c r="B73" s="36" t="s">
        <v>21</v>
      </c>
      <c r="C73" s="13">
        <f>SUM(C69:C72)</f>
        <v>180778384.10759038</v>
      </c>
      <c r="D73" s="13"/>
      <c r="E73" s="13">
        <f>SUM(E69:E72)</f>
        <v>71838192.93521969</v>
      </c>
      <c r="F73" s="13"/>
      <c r="G73" s="13">
        <f>SUM(G69:G72)</f>
        <v>122420.93876236668</v>
      </c>
      <c r="H73" s="13"/>
      <c r="I73" s="13">
        <f>SUM(I69:I72)</f>
        <v>170027.44327852447</v>
      </c>
      <c r="J73" s="13"/>
      <c r="K73" s="13">
        <f>SUM(K69:K72)</f>
        <v>321125.77078016876</v>
      </c>
      <c r="L73" s="4"/>
      <c r="M73" s="13">
        <f>SUM(M69:M72)</f>
        <v>5900693.044530364</v>
      </c>
      <c r="N73" s="4"/>
      <c r="O73" s="13">
        <f>SUM(O69:O72)</f>
        <v>22946884.19864585</v>
      </c>
      <c r="P73" s="13"/>
      <c r="Q73" s="13">
        <f>SUM(Q69:Q72)</f>
        <v>31585292.25779438</v>
      </c>
      <c r="R73" s="4"/>
      <c r="S73" s="13">
        <f>SUM(S69:S72)</f>
        <v>16052778.842371518</v>
      </c>
      <c r="T73" s="4"/>
      <c r="U73" s="13">
        <f>SUM(U69:U72)</f>
        <v>8167326.777645531</v>
      </c>
      <c r="V73" s="13"/>
      <c r="W73" s="13">
        <f>SUM(W69:W72)</f>
        <v>7707653.606070439</v>
      </c>
      <c r="X73" s="4"/>
      <c r="Y73" s="13">
        <f>SUM(Y69:Y72)</f>
        <v>3567044.0843997644</v>
      </c>
      <c r="Z73" s="5"/>
      <c r="AA73" s="13">
        <f>SUM(AA69:AA72)</f>
        <v>4407290.924835815</v>
      </c>
      <c r="AB73" s="5"/>
      <c r="AC73" s="13">
        <f>SUM(AC69:AC72)</f>
        <v>1261953.1354251946</v>
      </c>
      <c r="AD73" s="13"/>
      <c r="AE73" s="13">
        <f>SUM(AE69:AE72)</f>
        <v>107521.38145169301</v>
      </c>
      <c r="AF73" s="5"/>
      <c r="AG73" s="13">
        <f>SUM(AG69:AG72)</f>
        <v>256125.3779092611</v>
      </c>
      <c r="AH73" s="5"/>
      <c r="AI73" s="13">
        <f>SUM(AI69:AI72)</f>
        <v>6366053.388469828</v>
      </c>
      <c r="AJ73" s="54"/>
      <c r="AK73" s="54"/>
      <c r="AL73" s="54"/>
    </row>
    <row r="74" spans="1:38" ht="17.25">
      <c r="A74" s="7"/>
      <c r="B74" s="4"/>
      <c r="C74" s="4"/>
      <c r="D74" s="4"/>
      <c r="E74" s="4"/>
      <c r="F74" s="4"/>
      <c r="G74" s="4"/>
      <c r="H74" s="4"/>
      <c r="I74" s="4"/>
      <c r="J74" s="4"/>
      <c r="K74" s="4"/>
      <c r="L74" s="13"/>
      <c r="M74" s="4"/>
      <c r="N74" s="13"/>
      <c r="O74" s="4"/>
      <c r="P74" s="4"/>
      <c r="Q74" s="4"/>
      <c r="R74" s="13"/>
      <c r="S74" s="4"/>
      <c r="T74" s="13"/>
      <c r="U74" s="4"/>
      <c r="V74" s="4"/>
      <c r="W74" s="4"/>
      <c r="X74" s="13"/>
      <c r="Y74" s="4"/>
      <c r="Z74" s="5"/>
      <c r="AA74" s="4"/>
      <c r="AB74" s="5"/>
      <c r="AC74" s="4"/>
      <c r="AD74" s="4"/>
      <c r="AE74" s="4"/>
      <c r="AF74" s="5"/>
      <c r="AG74" s="4"/>
      <c r="AH74" s="5"/>
      <c r="AI74" s="4"/>
      <c r="AJ74" s="54"/>
      <c r="AK74" s="54"/>
      <c r="AL74" s="54"/>
    </row>
    <row r="75" spans="1:38" ht="25.5" customHeight="1">
      <c r="A75" s="7">
        <v>6</v>
      </c>
      <c r="B75" s="36" t="s">
        <v>22</v>
      </c>
      <c r="C75" s="13">
        <f>SUM(E75:AI75)</f>
        <v>162561427.13335088</v>
      </c>
      <c r="D75" s="13"/>
      <c r="E75" s="13">
        <f>+'[3]SCHH-2'!E$100</f>
        <v>59391044.01892853</v>
      </c>
      <c r="F75" s="13"/>
      <c r="G75" s="13">
        <f>+'[3]SCHH-2'!G$100</f>
        <v>153109.44</v>
      </c>
      <c r="H75" s="13"/>
      <c r="I75" s="13">
        <f>+'[3]SCHH-2'!I$100</f>
        <v>115660.04871158625</v>
      </c>
      <c r="J75" s="13"/>
      <c r="K75" s="13">
        <f>+'[3]SCHH-2'!K$100</f>
        <v>262975.68</v>
      </c>
      <c r="L75" s="13"/>
      <c r="M75" s="13">
        <f>+'[3]SCHH-2'!M$100</f>
        <v>5046880.432856772</v>
      </c>
      <c r="N75" s="13"/>
      <c r="O75" s="13">
        <f>+'[3]SCHH-2'!O$100</f>
        <v>20534619.17771726</v>
      </c>
      <c r="P75" s="13"/>
      <c r="Q75" s="13">
        <f>+'[3]SCHH-2'!Q$100</f>
        <v>30498071.95314589</v>
      </c>
      <c r="R75" s="13"/>
      <c r="S75" s="13">
        <f>+'[3]SCHH-2'!S$100</f>
        <v>15303329.128718164</v>
      </c>
      <c r="T75" s="13"/>
      <c r="U75" s="13">
        <f>+'[3]SCHH-2'!U$100</f>
        <v>7839570.599112001</v>
      </c>
      <c r="V75" s="13"/>
      <c r="W75" s="13">
        <f>+'[3]SCHH-2'!W$100</f>
        <v>6691955.805273</v>
      </c>
      <c r="X75" s="13"/>
      <c r="Y75" s="13">
        <f>+'[3]SCHH-2'!Y$100</f>
        <v>3568424.5221300004</v>
      </c>
      <c r="Z75" s="5"/>
      <c r="AA75" s="13">
        <f>+'[3]SCHH-2'!AA$100</f>
        <v>4773640.14786</v>
      </c>
      <c r="AB75" s="5"/>
      <c r="AC75" s="13">
        <f>+'[3]SCHH-2'!AC$100</f>
        <v>1531163.2865200804</v>
      </c>
      <c r="AD75" s="13"/>
      <c r="AE75" s="13">
        <f>+'[3]SCHH-2'!AE$100</f>
        <v>66369.29483905534</v>
      </c>
      <c r="AF75" s="5"/>
      <c r="AG75" s="13">
        <f>+'[3]SCHH-2'!AG$100</f>
        <v>228758.61232966665</v>
      </c>
      <c r="AH75" s="5"/>
      <c r="AI75" s="13">
        <f>+'[3]SCHH-2'!AI$100</f>
        <v>6555854.985208858</v>
      </c>
      <c r="AJ75" s="54"/>
      <c r="AK75" s="54"/>
      <c r="AL75" s="54"/>
    </row>
    <row r="76" spans="1:38" ht="25.5" customHeight="1">
      <c r="A76" s="7">
        <v>7</v>
      </c>
      <c r="B76" s="36" t="s">
        <v>23</v>
      </c>
      <c r="AJ76" s="54"/>
      <c r="AK76" s="54"/>
      <c r="AL76" s="54"/>
    </row>
    <row r="77" spans="1:38" ht="25.5" customHeight="1">
      <c r="A77" s="7">
        <v>8</v>
      </c>
      <c r="B77" s="36" t="s">
        <v>24</v>
      </c>
      <c r="C77" s="13">
        <f>C73-C75</f>
        <v>18216956.9742395</v>
      </c>
      <c r="D77" s="13"/>
      <c r="E77" s="13">
        <f>E73-E75</f>
        <v>12447148.916291162</v>
      </c>
      <c r="F77" s="13"/>
      <c r="G77" s="13">
        <f>G73-G75</f>
        <v>-30688.501237633318</v>
      </c>
      <c r="H77" s="13"/>
      <c r="I77" s="13">
        <f>I73-I75</f>
        <v>54367.39456693822</v>
      </c>
      <c r="J77" s="13"/>
      <c r="K77" s="13">
        <f>K73-K75</f>
        <v>58150.09078016877</v>
      </c>
      <c r="L77" s="13"/>
      <c r="M77" s="13">
        <f>M73-M75</f>
        <v>853812.6116735917</v>
      </c>
      <c r="N77" s="13"/>
      <c r="O77" s="13">
        <f>O73-O75</f>
        <v>2412265.0209285878</v>
      </c>
      <c r="P77" s="13"/>
      <c r="Q77" s="13">
        <f>Q73-Q75</f>
        <v>1087220.3046484888</v>
      </c>
      <c r="R77" s="13"/>
      <c r="S77" s="13">
        <f>S73-S75</f>
        <v>749449.713653354</v>
      </c>
      <c r="T77" s="13"/>
      <c r="U77" s="13">
        <f>U73-U75</f>
        <v>327756.17853352986</v>
      </c>
      <c r="V77" s="13"/>
      <c r="W77" s="13">
        <f>W73-W75</f>
        <v>1015697.8007974392</v>
      </c>
      <c r="X77" s="13"/>
      <c r="Y77" s="13">
        <f>Y73-Y75</f>
        <v>-1380.437730235979</v>
      </c>
      <c r="Z77" s="5"/>
      <c r="AA77" s="13">
        <f>AA73-AA75</f>
        <v>-366349.2230241848</v>
      </c>
      <c r="AB77" s="5"/>
      <c r="AC77" s="13">
        <f>AC73-AC75</f>
        <v>-269210.1510948858</v>
      </c>
      <c r="AD77" s="13"/>
      <c r="AE77" s="13">
        <f>AE73-AE75</f>
        <v>41152.08661263768</v>
      </c>
      <c r="AF77" s="5"/>
      <c r="AG77" s="13">
        <f>AG73-AG75</f>
        <v>27366.765579594445</v>
      </c>
      <c r="AH77" s="5"/>
      <c r="AI77" s="13">
        <f>AI73-AI75</f>
        <v>-189801.5967390295</v>
      </c>
      <c r="AJ77" s="54"/>
      <c r="AK77" s="54"/>
      <c r="AL77" s="54"/>
    </row>
    <row r="78" spans="1:38" ht="25.5" customHeight="1">
      <c r="A78" s="7">
        <v>9</v>
      </c>
      <c r="B78" s="36" t="s">
        <v>108</v>
      </c>
      <c r="C78" s="13">
        <f>-C26-C121</f>
        <v>935814.6707922947</v>
      </c>
      <c r="D78" s="13"/>
      <c r="E78" s="13">
        <f>-E26-E121</f>
        <v>916148.0963573344</v>
      </c>
      <c r="F78" s="13"/>
      <c r="G78" s="13">
        <f>-G26-G121</f>
        <v>2141.7424077587966</v>
      </c>
      <c r="H78" s="13"/>
      <c r="I78" s="13">
        <f>-I26-I121</f>
        <v>34.71485985554796</v>
      </c>
      <c r="J78" s="13"/>
      <c r="K78" s="13">
        <f>-K26-K121</f>
        <v>436.4153810411808</v>
      </c>
      <c r="L78" s="13"/>
      <c r="M78" s="13">
        <f>-M26-M121</f>
        <v>5745.07971045922</v>
      </c>
      <c r="N78" s="13"/>
      <c r="O78" s="13">
        <f>-O26-O121</f>
        <v>7344.048116559396</v>
      </c>
      <c r="P78" s="13"/>
      <c r="Q78" s="13">
        <f>-Q26-Q121</f>
        <v>3341.2453208623047</v>
      </c>
      <c r="R78" s="13"/>
      <c r="S78" s="13">
        <f>-S26-S121</f>
        <v>456.0911786467004</v>
      </c>
      <c r="T78" s="13"/>
      <c r="U78" s="13">
        <f>-U26-U121</f>
        <v>67.77663114654752</v>
      </c>
      <c r="V78" s="13"/>
      <c r="W78" s="13">
        <f>-W26-W121</f>
        <v>57.0315554770641</v>
      </c>
      <c r="X78" s="13"/>
      <c r="Y78" s="13">
        <f>-Y26-Y121</f>
        <v>14.326767559439759</v>
      </c>
      <c r="Z78" s="5"/>
      <c r="AA78" s="13">
        <f>-AA26-AA121</f>
        <v>7.714413301233435</v>
      </c>
      <c r="AB78" s="5"/>
      <c r="AC78" s="13">
        <f>-AC26-AC121</f>
        <v>1.653088564547943</v>
      </c>
      <c r="AD78" s="13"/>
      <c r="AE78" s="13">
        <f>-AE26-AE121</f>
        <v>8.265442822749549</v>
      </c>
      <c r="AF78" s="5"/>
      <c r="AG78" s="13">
        <f>-AG26-AG121</f>
        <v>6.061324736683105</v>
      </c>
      <c r="AH78" s="5"/>
      <c r="AI78" s="13">
        <f>-AI26-AI121</f>
        <v>4.408236172137549</v>
      </c>
      <c r="AJ78" s="54"/>
      <c r="AK78" s="54"/>
      <c r="AL78" s="54"/>
    </row>
    <row r="79" spans="1:38" ht="25.5" customHeight="1">
      <c r="A79" s="7">
        <v>10</v>
      </c>
      <c r="B79" s="74" t="s">
        <v>25</v>
      </c>
      <c r="C79" s="75">
        <f>C77+C78</f>
        <v>19152771.645031795</v>
      </c>
      <c r="D79" s="75"/>
      <c r="E79" s="75">
        <f>E77+E78</f>
        <v>13363297.012648497</v>
      </c>
      <c r="F79" s="75"/>
      <c r="G79" s="75">
        <f>G77+G78</f>
        <v>-28546.75882987452</v>
      </c>
      <c r="H79" s="75"/>
      <c r="I79" s="75">
        <f>I77+I78</f>
        <v>54402.10942679377</v>
      </c>
      <c r="J79" s="75"/>
      <c r="K79" s="75">
        <f>K77+K78</f>
        <v>58586.50616120995</v>
      </c>
      <c r="L79" s="76"/>
      <c r="M79" s="75">
        <f>M77+M78</f>
        <v>859557.6913840509</v>
      </c>
      <c r="N79" s="76"/>
      <c r="O79" s="75">
        <f>O77+O78</f>
        <v>2419609.069045147</v>
      </c>
      <c r="P79" s="75"/>
      <c r="Q79" s="75">
        <f>Q77+Q78</f>
        <v>1090561.5499693512</v>
      </c>
      <c r="R79" s="76"/>
      <c r="S79" s="75">
        <f>S77+S78</f>
        <v>749905.8048320006</v>
      </c>
      <c r="T79" s="76"/>
      <c r="U79" s="75">
        <f>U77+U78</f>
        <v>327823.9551646764</v>
      </c>
      <c r="V79" s="75"/>
      <c r="W79" s="75">
        <f>W77+W78</f>
        <v>1015754.8323529162</v>
      </c>
      <c r="X79" s="76"/>
      <c r="Y79" s="75">
        <f>Y77+Y78</f>
        <v>-1366.1109626765392</v>
      </c>
      <c r="Z79" s="45"/>
      <c r="AA79" s="75">
        <f>AA77+AA78</f>
        <v>-366341.5086108836</v>
      </c>
      <c r="AB79" s="45"/>
      <c r="AC79" s="75">
        <f>AC77+AC78</f>
        <v>-269208.49800632126</v>
      </c>
      <c r="AD79" s="75"/>
      <c r="AE79" s="75">
        <f>AE77+AE78</f>
        <v>41160.352055460426</v>
      </c>
      <c r="AF79" s="45"/>
      <c r="AG79" s="75">
        <f>AG77+AG78</f>
        <v>27372.826904331127</v>
      </c>
      <c r="AH79" s="45"/>
      <c r="AI79" s="75">
        <f>AI77+AI78</f>
        <v>-189797.18850285737</v>
      </c>
      <c r="AJ79" s="54"/>
      <c r="AK79" s="54"/>
      <c r="AL79" s="54"/>
    </row>
    <row r="80" spans="1:38" ht="18" thickBot="1">
      <c r="A80" s="37"/>
      <c r="B80" s="38"/>
      <c r="C80" s="39"/>
      <c r="D80" s="77"/>
      <c r="E80" s="77"/>
      <c r="F80" s="77"/>
      <c r="G80" s="77"/>
      <c r="H80" s="77"/>
      <c r="I80" s="77"/>
      <c r="J80" s="77"/>
      <c r="K80" s="77"/>
      <c r="L80" s="78"/>
      <c r="M80" s="79"/>
      <c r="N80" s="78"/>
      <c r="O80" s="80"/>
      <c r="P80" s="80"/>
      <c r="Q80" s="80"/>
      <c r="R80" s="78"/>
      <c r="S80" s="81"/>
      <c r="T80" s="78"/>
      <c r="U80" s="81"/>
      <c r="V80" s="81"/>
      <c r="W80" s="81"/>
      <c r="X80" s="78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54"/>
      <c r="AK80" s="54"/>
      <c r="AL80" s="54"/>
    </row>
    <row r="81" spans="1:38" ht="25.5" customHeight="1" thickTop="1">
      <c r="A81" s="7">
        <v>11</v>
      </c>
      <c r="B81" s="74" t="s">
        <v>26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5"/>
      <c r="T81" s="4"/>
      <c r="U81" s="5"/>
      <c r="V81" s="5"/>
      <c r="W81" s="5"/>
      <c r="X81" s="4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4"/>
      <c r="AK81" s="54"/>
      <c r="AL81" s="54"/>
    </row>
    <row r="82" spans="1:38" ht="25.5" customHeight="1">
      <c r="A82" s="7">
        <v>12</v>
      </c>
      <c r="B82" s="36" t="s">
        <v>27</v>
      </c>
      <c r="C82" s="82">
        <f>(C69/C31)/12</f>
        <v>20.364706821019023</v>
      </c>
      <c r="D82" s="82"/>
      <c r="E82" s="82">
        <f>(E69/E31)/12</f>
        <v>14.782161820855727</v>
      </c>
      <c r="F82" s="82"/>
      <c r="G82" s="82">
        <f>(G69/G31)/12</f>
        <v>14.165278701059883</v>
      </c>
      <c r="H82" s="82"/>
      <c r="I82" s="82">
        <f>(I69/I31)/12</f>
        <v>21.695029165173526</v>
      </c>
      <c r="J82" s="82"/>
      <c r="K82" s="82">
        <f>(K69/K31)/12</f>
        <v>33.59173368680725</v>
      </c>
      <c r="L82" s="13"/>
      <c r="M82" s="82">
        <f>(M69/M31)/12</f>
        <v>34.383221527761755</v>
      </c>
      <c r="N82" s="13"/>
      <c r="O82" s="82">
        <f>(O69/O31)/12</f>
        <v>60.478600125069754</v>
      </c>
      <c r="P82" s="82"/>
      <c r="Q82" s="82">
        <f>(Q69/Q31)/12</f>
        <v>112.19343399316922</v>
      </c>
      <c r="R82" s="13"/>
      <c r="S82" s="82">
        <f>(S69/S31)/12</f>
        <v>278.77501487536034</v>
      </c>
      <c r="T82" s="13"/>
      <c r="U82" s="82">
        <f>(U69/U31)/12</f>
        <v>574.2572993483033</v>
      </c>
      <c r="V82" s="82"/>
      <c r="W82" s="82">
        <f>(W69/W31)/12</f>
        <v>241.3554142541682</v>
      </c>
      <c r="X82" s="13"/>
      <c r="Y82" s="82">
        <f>(Y69/Y31)/12</f>
        <v>717.2999841638872</v>
      </c>
      <c r="Z82" s="5"/>
      <c r="AA82" s="82">
        <f>(AA69/AA31)/12</f>
        <v>2269.9008792809877</v>
      </c>
      <c r="AB82" s="5"/>
      <c r="AC82" s="82">
        <f>(AC69/AC31)/12</f>
        <v>11166.1629870674</v>
      </c>
      <c r="AD82" s="82"/>
      <c r="AE82" s="82">
        <f>(AE69/AE31)/12</f>
        <v>206.27683966812683</v>
      </c>
      <c r="AF82" s="5"/>
      <c r="AG82" s="82">
        <f>(AG69/AG31)/12</f>
        <v>226.4272425564877</v>
      </c>
      <c r="AH82" s="5"/>
      <c r="AI82" s="82">
        <f>(AI69/AI31)/12</f>
        <v>9154.055039942894</v>
      </c>
      <c r="AJ82" s="54"/>
      <c r="AK82" s="54"/>
      <c r="AL82" s="54"/>
    </row>
    <row r="83" spans="1:38" ht="25.5" customHeight="1">
      <c r="A83" s="7">
        <v>13</v>
      </c>
      <c r="B83" s="36" t="s">
        <v>28</v>
      </c>
      <c r="C83" s="82">
        <f>(C70/C32)</f>
        <v>1.1329467055035538</v>
      </c>
      <c r="D83" s="82"/>
      <c r="E83" s="82">
        <f>(E70/E32)</f>
        <v>1.3781819011200311</v>
      </c>
      <c r="F83" s="82"/>
      <c r="G83" s="82">
        <f>IF(G32=0,0,(G70/G32))</f>
        <v>0</v>
      </c>
      <c r="H83" s="82"/>
      <c r="I83" s="82">
        <f>(I70/I32)</f>
        <v>1.857535069987319</v>
      </c>
      <c r="J83" s="82"/>
      <c r="K83" s="82">
        <f>IF(K32=0,0,(K70/K32))</f>
        <v>0</v>
      </c>
      <c r="L83" s="13"/>
      <c r="M83" s="82">
        <f>(M70/M32)</f>
        <v>1.6568456248572365</v>
      </c>
      <c r="N83" s="13"/>
      <c r="O83" s="82">
        <f>(O70/O32)</f>
        <v>1.6591391186782691</v>
      </c>
      <c r="P83" s="82"/>
      <c r="Q83" s="82">
        <f>(Q70/Q32)</f>
        <v>1.688263356766488</v>
      </c>
      <c r="R83" s="13"/>
      <c r="S83" s="82">
        <f>(S70/S32)</f>
        <v>1.7893124959784936</v>
      </c>
      <c r="T83" s="13"/>
      <c r="U83" s="82">
        <f>(U70/U32)</f>
        <v>1.8701237687501129</v>
      </c>
      <c r="V83" s="82"/>
      <c r="W83" s="82">
        <f>(W70/W32)</f>
        <v>1.2216333406884972</v>
      </c>
      <c r="X83" s="13"/>
      <c r="Y83" s="82">
        <f>(Y70/Y32)</f>
        <v>0.7805547163856918</v>
      </c>
      <c r="Z83" s="5"/>
      <c r="AA83" s="82">
        <f>(AA70/AA32)</f>
        <v>0.3267838864691753</v>
      </c>
      <c r="AB83" s="5"/>
      <c r="AC83" s="82">
        <f>(AC70/AC32)</f>
        <v>0.13316692173043568</v>
      </c>
      <c r="AD83" s="82"/>
      <c r="AE83" s="82">
        <f>(AE70/AE32)</f>
        <v>1.9285469423518375</v>
      </c>
      <c r="AF83" s="5"/>
      <c r="AG83" s="82">
        <f>(AG70/AG32)</f>
        <v>2.2532086837872507</v>
      </c>
      <c r="AH83" s="5"/>
      <c r="AI83" s="82">
        <f>(AI70/AI32)</f>
        <v>0.5384754438090491</v>
      </c>
      <c r="AJ83" s="54"/>
      <c r="AK83" s="54"/>
      <c r="AL83" s="54"/>
    </row>
    <row r="84" spans="1:38" ht="25.5" customHeight="1">
      <c r="A84" s="7">
        <v>14</v>
      </c>
      <c r="B84" s="36" t="s">
        <v>29</v>
      </c>
      <c r="C84" s="83">
        <f>+(C71/C33)</f>
        <v>0</v>
      </c>
      <c r="D84" s="83"/>
      <c r="E84" s="83">
        <f>(E71/E33)</f>
        <v>0</v>
      </c>
      <c r="F84" s="83"/>
      <c r="G84" s="83">
        <f>IF(G33=0,0,(G71/G33))</f>
        <v>0</v>
      </c>
      <c r="H84" s="83"/>
      <c r="I84" s="83">
        <f>(I71/I33)</f>
        <v>0</v>
      </c>
      <c r="J84" s="83"/>
      <c r="K84" s="83">
        <f>IF(K33=0,0,(K71/K33))</f>
        <v>0</v>
      </c>
      <c r="L84" s="4"/>
      <c r="M84" s="83">
        <f>(M71/M33)</f>
        <v>0</v>
      </c>
      <c r="N84" s="4"/>
      <c r="O84" s="83">
        <f>(O71/O33)</f>
        <v>0</v>
      </c>
      <c r="P84" s="83"/>
      <c r="Q84" s="83">
        <f>(Q71/Q33)</f>
        <v>0</v>
      </c>
      <c r="R84" s="4"/>
      <c r="S84" s="83">
        <f>(S71/S33)</f>
        <v>0</v>
      </c>
      <c r="T84" s="4"/>
      <c r="U84" s="83">
        <f>(U71/U33)</f>
        <v>0</v>
      </c>
      <c r="V84" s="83"/>
      <c r="W84" s="83">
        <f>(W71/W33)</f>
        <v>0</v>
      </c>
      <c r="X84" s="4"/>
      <c r="Y84" s="83">
        <f>(Y71/Y33)</f>
        <v>0</v>
      </c>
      <c r="Z84" s="5"/>
      <c r="AA84" s="83">
        <f>(AA71/AA33)</f>
        <v>0</v>
      </c>
      <c r="AB84" s="5"/>
      <c r="AC84" s="83">
        <f>(AC71/AC33)</f>
        <v>0</v>
      </c>
      <c r="AD84" s="83"/>
      <c r="AE84" s="83">
        <f>(AE71/AE33)</f>
        <v>0</v>
      </c>
      <c r="AF84" s="5"/>
      <c r="AG84" s="83">
        <f>(AG71/AG33)</f>
        <v>0</v>
      </c>
      <c r="AH84" s="5"/>
      <c r="AI84" s="83">
        <f>(AI71/AI33)</f>
        <v>0</v>
      </c>
      <c r="AJ84" s="54"/>
      <c r="AK84" s="54"/>
      <c r="AL84" s="54"/>
    </row>
    <row r="85" spans="1:38" ht="17.25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  <c r="L85" s="69"/>
      <c r="M85" s="4"/>
      <c r="N85" s="69"/>
      <c r="O85" s="4"/>
      <c r="P85" s="4"/>
      <c r="Q85" s="4"/>
      <c r="R85" s="69"/>
      <c r="S85" s="5"/>
      <c r="T85" s="69"/>
      <c r="U85" s="5"/>
      <c r="V85" s="5"/>
      <c r="W85" s="5"/>
      <c r="X85" s="69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4"/>
      <c r="AK85" s="54"/>
      <c r="AL85" s="54"/>
    </row>
    <row r="86" spans="1:38" ht="17.25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69"/>
      <c r="M86" s="4"/>
      <c r="N86" s="69"/>
      <c r="O86" s="4"/>
      <c r="P86" s="4"/>
      <c r="Q86" s="4"/>
      <c r="R86" s="69"/>
      <c r="S86" s="5"/>
      <c r="T86" s="69"/>
      <c r="U86" s="5"/>
      <c r="V86" s="5"/>
      <c r="W86" s="5"/>
      <c r="X86" s="69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4"/>
      <c r="AK86" s="54"/>
      <c r="AL86" s="54"/>
    </row>
    <row r="87" spans="1:38" ht="15">
      <c r="A87" s="5"/>
      <c r="AJ87" s="54"/>
      <c r="AK87" s="54"/>
      <c r="AL87" s="54"/>
    </row>
    <row r="88" spans="1:38" ht="17.25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54"/>
      <c r="AK88" s="54"/>
      <c r="AL88" s="54"/>
    </row>
    <row r="89" spans="1:38" ht="17.25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54"/>
      <c r="AK89" s="54"/>
      <c r="AL89" s="54"/>
    </row>
    <row r="90" spans="1:38" ht="17.25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54"/>
      <c r="AK90" s="54"/>
      <c r="AL90" s="54"/>
    </row>
    <row r="91" spans="1:38" ht="17.25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54"/>
      <c r="AK91" s="54"/>
      <c r="AL91" s="54"/>
    </row>
    <row r="92" spans="1:38" ht="17.25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54"/>
      <c r="AK92" s="54"/>
      <c r="AL92" s="54"/>
    </row>
    <row r="93" spans="1:38" ht="17.25">
      <c r="A93" s="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54"/>
      <c r="AK93" s="54"/>
      <c r="AL93" s="54"/>
    </row>
    <row r="94" spans="1:38" ht="17.25">
      <c r="A94" s="5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54"/>
      <c r="AK94" s="54"/>
      <c r="AL94" s="54"/>
    </row>
    <row r="95" spans="1:38" ht="17.25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54"/>
      <c r="AK95" s="54"/>
      <c r="AL95" s="54"/>
    </row>
    <row r="96" spans="1:38" ht="17.25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54"/>
      <c r="AK96" s="54"/>
      <c r="AL96" s="54"/>
    </row>
    <row r="97" spans="1:38" ht="17.25">
      <c r="A97" s="5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54"/>
      <c r="AK97" s="54"/>
      <c r="AL97" s="54"/>
    </row>
    <row r="98" spans="1:38" ht="17.25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54"/>
      <c r="AK98" s="54"/>
      <c r="AL98" s="54"/>
    </row>
    <row r="99" spans="1:38" ht="17.25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54"/>
      <c r="AK99" s="54"/>
      <c r="AL99" s="54"/>
    </row>
    <row r="100" spans="1:38" ht="17.25">
      <c r="A100" s="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4"/>
      <c r="AK100" s="54"/>
      <c r="AL100" s="54"/>
    </row>
    <row r="101" spans="1:38" ht="17.25">
      <c r="A101" s="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4"/>
      <c r="AK101" s="54"/>
      <c r="AL101" s="54"/>
    </row>
    <row r="102" spans="1:38" ht="17.25">
      <c r="A102" s="5"/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1"/>
      <c r="N102" s="72"/>
      <c r="O102" s="72"/>
      <c r="P102" s="72"/>
      <c r="Q102" s="72"/>
      <c r="R102" s="72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54"/>
      <c r="AK102" s="54"/>
      <c r="AL102" s="54"/>
    </row>
    <row r="103" spans="1:38" ht="17.25">
      <c r="A103" s="5"/>
      <c r="B103" s="62" t="s">
        <v>178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5"/>
      <c r="P103" s="5"/>
      <c r="Q103" s="4"/>
      <c r="R103" s="4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4"/>
      <c r="AK103" s="54"/>
      <c r="AL103" s="54"/>
    </row>
    <row r="104" spans="1:38" ht="17.25">
      <c r="A104" s="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4"/>
      <c r="AK104" s="54"/>
      <c r="AL104" s="54"/>
    </row>
    <row r="105" spans="1:38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4"/>
      <c r="AK105" s="54"/>
      <c r="AL105" s="54"/>
    </row>
    <row r="106" spans="1:38" ht="17.25">
      <c r="A106" s="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4"/>
      <c r="AK106" s="54"/>
      <c r="AL106" s="54"/>
    </row>
    <row r="107" spans="1:38" ht="25.5" customHeight="1" thickBot="1">
      <c r="A107" s="54"/>
      <c r="B107" s="55" t="s">
        <v>188</v>
      </c>
      <c r="C107" s="56"/>
      <c r="D107" s="56"/>
      <c r="E107" s="54"/>
      <c r="F107" s="54"/>
      <c r="G107" s="54"/>
      <c r="H107" s="54"/>
      <c r="I107" s="16" t="s">
        <v>128</v>
      </c>
      <c r="J107" s="56"/>
      <c r="K107" s="56"/>
      <c r="L107" s="56"/>
      <c r="M107" s="54"/>
      <c r="N107" s="56"/>
      <c r="O107" s="54"/>
      <c r="P107" s="54"/>
      <c r="Q107" s="26" t="s">
        <v>142</v>
      </c>
      <c r="R107" s="56"/>
      <c r="S107" s="16"/>
      <c r="T107" s="54"/>
      <c r="U107" s="54"/>
      <c r="V107" s="54"/>
      <c r="W107" s="34"/>
      <c r="X107" s="34"/>
      <c r="Y107" s="16" t="s">
        <v>128</v>
      </c>
      <c r="Z107" s="54"/>
      <c r="AA107" s="54"/>
      <c r="AB107" s="54"/>
      <c r="AC107" s="54"/>
      <c r="AD107" s="54"/>
      <c r="AE107" s="55"/>
      <c r="AF107" s="54"/>
      <c r="AG107" s="26" t="s">
        <v>150</v>
      </c>
      <c r="AH107" s="34"/>
      <c r="AI107" s="54"/>
      <c r="AJ107" s="54"/>
      <c r="AK107" s="54"/>
      <c r="AL107" s="54"/>
    </row>
    <row r="108" spans="1:38" ht="17.25">
      <c r="A108" s="57"/>
      <c r="B108" s="58" t="s">
        <v>0</v>
      </c>
      <c r="C108" s="59"/>
      <c r="D108" s="59"/>
      <c r="E108" s="57"/>
      <c r="F108" s="57"/>
      <c r="G108" s="57"/>
      <c r="H108" s="57"/>
      <c r="I108" s="17"/>
      <c r="J108" s="59"/>
      <c r="K108" s="59"/>
      <c r="L108" s="59"/>
      <c r="M108" s="60"/>
      <c r="N108" s="59"/>
      <c r="O108" s="57"/>
      <c r="P108" s="57"/>
      <c r="Q108" s="19" t="s">
        <v>1</v>
      </c>
      <c r="R108" s="59"/>
      <c r="S108" s="17"/>
      <c r="T108" s="57"/>
      <c r="U108" s="57"/>
      <c r="V108" s="57"/>
      <c r="W108" s="60"/>
      <c r="X108" s="60"/>
      <c r="Y108" s="17"/>
      <c r="Z108" s="57"/>
      <c r="AA108" s="57"/>
      <c r="AB108" s="57"/>
      <c r="AC108" s="57"/>
      <c r="AD108" s="57"/>
      <c r="AE108" s="59"/>
      <c r="AF108" s="57"/>
      <c r="AG108" s="19" t="s">
        <v>1</v>
      </c>
      <c r="AH108" s="60"/>
      <c r="AI108" s="57"/>
      <c r="AJ108" s="54"/>
      <c r="AK108" s="54"/>
      <c r="AL108" s="54"/>
    </row>
    <row r="109" spans="1:38" ht="17.25">
      <c r="A109" s="5"/>
      <c r="B109" s="61" t="s">
        <v>67</v>
      </c>
      <c r="C109" s="4"/>
      <c r="D109" s="4"/>
      <c r="E109" s="5"/>
      <c r="F109" s="5"/>
      <c r="G109" s="5"/>
      <c r="H109" s="5"/>
      <c r="I109" s="18" t="s">
        <v>129</v>
      </c>
      <c r="J109" s="4"/>
      <c r="K109" s="4"/>
      <c r="L109" s="62"/>
      <c r="N109" s="4"/>
      <c r="O109" s="5"/>
      <c r="P109" s="5"/>
      <c r="Q109" s="27" t="s">
        <v>109</v>
      </c>
      <c r="R109" s="4"/>
      <c r="S109" s="7"/>
      <c r="T109" s="5"/>
      <c r="U109" s="5"/>
      <c r="V109" s="5"/>
      <c r="Y109" s="18" t="s">
        <v>129</v>
      </c>
      <c r="Z109" s="5"/>
      <c r="AA109" s="5"/>
      <c r="AB109" s="5"/>
      <c r="AC109" s="5"/>
      <c r="AD109" s="5"/>
      <c r="AE109" s="62"/>
      <c r="AF109" s="5"/>
      <c r="AG109" s="27" t="s">
        <v>109</v>
      </c>
      <c r="AI109" s="5"/>
      <c r="AJ109" s="54"/>
      <c r="AK109" s="54"/>
      <c r="AL109" s="54"/>
    </row>
    <row r="110" spans="1:38" ht="17.25">
      <c r="A110" s="5"/>
      <c r="B110" s="61" t="s">
        <v>118</v>
      </c>
      <c r="C110" s="4"/>
      <c r="D110" s="4"/>
      <c r="E110" s="5"/>
      <c r="F110" s="5"/>
      <c r="G110" s="5"/>
      <c r="H110" s="5"/>
      <c r="I110" s="18" t="s">
        <v>130</v>
      </c>
      <c r="J110" s="4"/>
      <c r="K110" s="4"/>
      <c r="L110" s="4"/>
      <c r="N110" s="4"/>
      <c r="O110" s="5"/>
      <c r="P110" s="5"/>
      <c r="Q110" s="27" t="s">
        <v>110</v>
      </c>
      <c r="R110" s="4"/>
      <c r="S110" s="18"/>
      <c r="T110" s="5"/>
      <c r="U110" s="5"/>
      <c r="V110" s="5"/>
      <c r="Y110" s="18" t="s">
        <v>130</v>
      </c>
      <c r="Z110" s="5"/>
      <c r="AA110" s="5"/>
      <c r="AB110" s="5"/>
      <c r="AC110" s="5"/>
      <c r="AD110" s="5"/>
      <c r="AE110" s="61"/>
      <c r="AF110" s="5"/>
      <c r="AG110" s="27" t="s">
        <v>110</v>
      </c>
      <c r="AI110" s="5"/>
      <c r="AJ110" s="54"/>
      <c r="AK110" s="54"/>
      <c r="AL110" s="54"/>
    </row>
    <row r="111" spans="1:38" ht="18" thickBot="1">
      <c r="A111" s="54"/>
      <c r="B111" s="54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4"/>
      <c r="P111" s="54"/>
      <c r="Q111" s="56"/>
      <c r="R111" s="56"/>
      <c r="S111" s="54"/>
      <c r="T111" s="54"/>
      <c r="U111" s="54"/>
      <c r="V111" s="54"/>
      <c r="W111" s="34"/>
      <c r="X111" s="34"/>
      <c r="Y111" s="56"/>
      <c r="Z111" s="54"/>
      <c r="AA111" s="54"/>
      <c r="AB111" s="54"/>
      <c r="AC111" s="54"/>
      <c r="AD111" s="54"/>
      <c r="AE111" s="64"/>
      <c r="AF111" s="54"/>
      <c r="AG111" s="34"/>
      <c r="AH111" s="34"/>
      <c r="AI111" s="54"/>
      <c r="AJ111" s="54"/>
      <c r="AK111" s="54"/>
      <c r="AL111" s="54"/>
    </row>
    <row r="112" spans="1:38" ht="25.5" customHeight="1">
      <c r="A112" s="57"/>
      <c r="B112" s="59"/>
      <c r="C112" s="59"/>
      <c r="D112" s="59"/>
      <c r="E112" s="59"/>
      <c r="F112" s="59"/>
      <c r="G112" s="59"/>
      <c r="H112" s="59"/>
      <c r="I112" s="65" t="s">
        <v>137</v>
      </c>
      <c r="J112" s="59"/>
      <c r="K112" s="59"/>
      <c r="L112" s="59"/>
      <c r="M112" s="59"/>
      <c r="N112" s="59"/>
      <c r="O112" s="59"/>
      <c r="P112" s="59"/>
      <c r="Q112" s="59"/>
      <c r="R112" s="59"/>
      <c r="S112" s="57"/>
      <c r="T112" s="57"/>
      <c r="U112" s="57"/>
      <c r="V112" s="57"/>
      <c r="W112" s="60"/>
      <c r="X112" s="57"/>
      <c r="Y112" s="65" t="s">
        <v>137</v>
      </c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4"/>
      <c r="AK112" s="54"/>
      <c r="AL112" s="54"/>
    </row>
    <row r="113" spans="1:38" ht="17.25">
      <c r="A113" s="54"/>
      <c r="B113" s="56"/>
      <c r="C113" s="56"/>
      <c r="D113" s="56"/>
      <c r="E113" s="54"/>
      <c r="F113" s="54"/>
      <c r="G113" s="54"/>
      <c r="H113" s="54"/>
      <c r="I113" s="66" t="s">
        <v>138</v>
      </c>
      <c r="J113" s="56"/>
      <c r="K113" s="56"/>
      <c r="L113" s="56"/>
      <c r="M113" s="34"/>
      <c r="N113" s="56"/>
      <c r="O113" s="56"/>
      <c r="P113" s="56"/>
      <c r="Q113" s="56"/>
      <c r="R113" s="54"/>
      <c r="S113" s="84"/>
      <c r="T113" s="54"/>
      <c r="U113" s="54"/>
      <c r="V113" s="54"/>
      <c r="W113" s="34"/>
      <c r="X113" s="54"/>
      <c r="Y113" s="66" t="s">
        <v>138</v>
      </c>
      <c r="Z113" s="54"/>
      <c r="AA113" s="54"/>
      <c r="AB113" s="54"/>
      <c r="AC113" s="54"/>
      <c r="AD113" s="34"/>
      <c r="AE113" s="64"/>
      <c r="AF113" s="54"/>
      <c r="AG113" s="54"/>
      <c r="AH113" s="54"/>
      <c r="AI113" s="54"/>
      <c r="AJ113" s="54"/>
      <c r="AK113" s="54"/>
      <c r="AL113" s="54"/>
    </row>
    <row r="114" spans="1:38" ht="17.25">
      <c r="A114" s="5"/>
      <c r="B114" s="5"/>
      <c r="C114" s="4"/>
      <c r="D114" s="4"/>
      <c r="E114" s="5"/>
      <c r="F114" s="5"/>
      <c r="G114" s="5"/>
      <c r="H114" s="5"/>
      <c r="I114" s="4"/>
      <c r="J114" s="4"/>
      <c r="K114" s="4"/>
      <c r="L114" s="4"/>
      <c r="N114" s="5"/>
      <c r="O114" s="4"/>
      <c r="P114" s="4"/>
      <c r="Q114" s="4"/>
      <c r="R114" s="5"/>
      <c r="S114" s="84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4"/>
      <c r="AK114" s="54"/>
      <c r="AL114" s="54"/>
    </row>
    <row r="115" spans="1:38" ht="17.25">
      <c r="A115" s="5"/>
      <c r="B115" s="4"/>
      <c r="C115" s="4"/>
      <c r="D115" s="4"/>
      <c r="E115" s="5"/>
      <c r="F115" s="5"/>
      <c r="G115" s="5"/>
      <c r="H115" s="5"/>
      <c r="I115" s="4"/>
      <c r="J115" s="4"/>
      <c r="K115" s="4"/>
      <c r="L115" s="4"/>
      <c r="M115" s="5"/>
      <c r="N115" s="5"/>
      <c r="O115" s="4"/>
      <c r="P115" s="4"/>
      <c r="Q115" s="4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4"/>
      <c r="AK115" s="54"/>
      <c r="AL115" s="54"/>
    </row>
    <row r="116" spans="1:38" ht="17.25">
      <c r="A116" s="5"/>
      <c r="B116" s="62"/>
      <c r="C116" s="19"/>
      <c r="D116" s="19"/>
      <c r="E116" s="20"/>
      <c r="F116" s="20"/>
      <c r="G116" s="20"/>
      <c r="H116" s="20"/>
      <c r="I116" s="20" t="s">
        <v>69</v>
      </c>
      <c r="J116" s="20"/>
      <c r="K116" s="20"/>
      <c r="L116" s="20"/>
      <c r="M116" s="21" t="s">
        <v>131</v>
      </c>
      <c r="N116" s="20"/>
      <c r="O116" s="21" t="s">
        <v>119</v>
      </c>
      <c r="P116" s="21"/>
      <c r="Q116" s="21" t="s">
        <v>120</v>
      </c>
      <c r="R116" s="20"/>
      <c r="S116" s="21" t="s">
        <v>70</v>
      </c>
      <c r="T116" s="20"/>
      <c r="U116" s="21" t="s">
        <v>71</v>
      </c>
      <c r="V116" s="21"/>
      <c r="W116" s="20" t="s">
        <v>132</v>
      </c>
      <c r="X116" s="20"/>
      <c r="Y116" s="20" t="s">
        <v>81</v>
      </c>
      <c r="Z116" s="20"/>
      <c r="AA116" s="20" t="s">
        <v>82</v>
      </c>
      <c r="AB116" s="20"/>
      <c r="AC116" s="20" t="s">
        <v>174</v>
      </c>
      <c r="AD116" s="20"/>
      <c r="AE116" s="20"/>
      <c r="AF116" s="20"/>
      <c r="AG116" s="20"/>
      <c r="AH116" s="20"/>
      <c r="AI116" s="20"/>
      <c r="AJ116" s="54"/>
      <c r="AK116" s="54"/>
      <c r="AL116" s="54"/>
    </row>
    <row r="117" spans="1:38" ht="17.25">
      <c r="A117" s="5"/>
      <c r="B117" s="4"/>
      <c r="C117" s="19"/>
      <c r="D117" s="19"/>
      <c r="E117" s="20" t="s">
        <v>68</v>
      </c>
      <c r="F117" s="20"/>
      <c r="G117" s="20" t="s">
        <v>68</v>
      </c>
      <c r="H117" s="20"/>
      <c r="I117" s="20" t="s">
        <v>72</v>
      </c>
      <c r="J117" s="20"/>
      <c r="K117" s="20" t="s">
        <v>69</v>
      </c>
      <c r="L117" s="20"/>
      <c r="M117" s="20" t="s">
        <v>73</v>
      </c>
      <c r="N117" s="20"/>
      <c r="O117" s="20" t="s">
        <v>74</v>
      </c>
      <c r="P117" s="20"/>
      <c r="Q117" s="20" t="s">
        <v>74</v>
      </c>
      <c r="R117" s="20"/>
      <c r="S117" s="20" t="s">
        <v>74</v>
      </c>
      <c r="T117" s="20"/>
      <c r="U117" s="20" t="s">
        <v>74</v>
      </c>
      <c r="V117" s="20"/>
      <c r="W117" s="20" t="s">
        <v>74</v>
      </c>
      <c r="X117" s="20"/>
      <c r="Y117" s="20" t="s">
        <v>133</v>
      </c>
      <c r="Z117" s="20"/>
      <c r="AA117" s="21" t="s">
        <v>83</v>
      </c>
      <c r="AB117" s="20"/>
      <c r="AC117" s="21" t="s">
        <v>83</v>
      </c>
      <c r="AD117" s="20"/>
      <c r="AE117" s="20" t="s">
        <v>134</v>
      </c>
      <c r="AF117" s="20"/>
      <c r="AG117" s="20" t="s">
        <v>84</v>
      </c>
      <c r="AH117" s="20"/>
      <c r="AI117" s="20" t="s">
        <v>85</v>
      </c>
      <c r="AJ117" s="54"/>
      <c r="AK117" s="54"/>
      <c r="AL117" s="54"/>
    </row>
    <row r="118" spans="1:38" ht="17.25">
      <c r="A118" s="67" t="s">
        <v>66</v>
      </c>
      <c r="B118" s="4"/>
      <c r="C118" s="35" t="s">
        <v>16</v>
      </c>
      <c r="D118" s="35"/>
      <c r="E118" s="22" t="s">
        <v>76</v>
      </c>
      <c r="F118" s="23"/>
      <c r="G118" s="24" t="s">
        <v>111</v>
      </c>
      <c r="H118" s="23"/>
      <c r="I118" s="22" t="s">
        <v>75</v>
      </c>
      <c r="J118" s="22"/>
      <c r="K118" s="22" t="s">
        <v>111</v>
      </c>
      <c r="L118" s="22"/>
      <c r="M118" s="22" t="s">
        <v>76</v>
      </c>
      <c r="N118" s="22"/>
      <c r="O118" s="22" t="s">
        <v>77</v>
      </c>
      <c r="P118" s="22"/>
      <c r="Q118" s="22" t="s">
        <v>78</v>
      </c>
      <c r="R118" s="25"/>
      <c r="S118" s="22" t="s">
        <v>79</v>
      </c>
      <c r="T118" s="22"/>
      <c r="U118" s="22" t="s">
        <v>80</v>
      </c>
      <c r="V118" s="25"/>
      <c r="W118" s="22" t="s">
        <v>86</v>
      </c>
      <c r="X118" s="22"/>
      <c r="Y118" s="22" t="s">
        <v>76</v>
      </c>
      <c r="Z118" s="22"/>
      <c r="AA118" s="22" t="s">
        <v>76</v>
      </c>
      <c r="AB118" s="22"/>
      <c r="AC118" s="22" t="s">
        <v>87</v>
      </c>
      <c r="AD118" s="25"/>
      <c r="AE118" s="22" t="s">
        <v>135</v>
      </c>
      <c r="AF118" s="22"/>
      <c r="AG118" s="22" t="s">
        <v>76</v>
      </c>
      <c r="AH118" s="25"/>
      <c r="AI118" s="22" t="s">
        <v>88</v>
      </c>
      <c r="AJ118" s="54"/>
      <c r="AK118" s="54"/>
      <c r="AL118" s="54"/>
    </row>
    <row r="119" spans="1:38" ht="17.25">
      <c r="A119" s="7">
        <v>1</v>
      </c>
      <c r="B119" s="74" t="s">
        <v>30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4"/>
      <c r="AK119" s="54"/>
      <c r="AL119" s="54"/>
    </row>
    <row r="120" spans="1:38" ht="17.25">
      <c r="A120" s="7">
        <v>2</v>
      </c>
      <c r="B120" s="36" t="s">
        <v>31</v>
      </c>
      <c r="C120" s="13">
        <f>C75</f>
        <v>162561427.13335088</v>
      </c>
      <c r="D120" s="13"/>
      <c r="E120" s="13">
        <f>E75</f>
        <v>59391044.01892853</v>
      </c>
      <c r="F120" s="13"/>
      <c r="G120" s="13">
        <f>G75</f>
        <v>153109.44</v>
      </c>
      <c r="H120" s="13"/>
      <c r="I120" s="13">
        <f>I75</f>
        <v>115660.04871158625</v>
      </c>
      <c r="J120" s="13"/>
      <c r="K120" s="13">
        <f>K75</f>
        <v>262975.68</v>
      </c>
      <c r="L120" s="13"/>
      <c r="M120" s="13">
        <f>M75</f>
        <v>5046880.432856772</v>
      </c>
      <c r="N120" s="13"/>
      <c r="O120" s="13">
        <f>O75</f>
        <v>20534619.17771726</v>
      </c>
      <c r="P120" s="13"/>
      <c r="Q120" s="13">
        <f>Q75</f>
        <v>30498071.95314589</v>
      </c>
      <c r="R120" s="13"/>
      <c r="S120" s="13">
        <f>S75</f>
        <v>15303329.128718164</v>
      </c>
      <c r="T120" s="13"/>
      <c r="U120" s="13">
        <f>U75</f>
        <v>7839570.599112001</v>
      </c>
      <c r="V120" s="13"/>
      <c r="W120" s="13">
        <f>W75</f>
        <v>6691955.805273</v>
      </c>
      <c r="X120" s="13"/>
      <c r="Y120" s="13">
        <f>Y75</f>
        <v>3568424.5221300004</v>
      </c>
      <c r="Z120" s="5"/>
      <c r="AA120" s="13">
        <f>AA75</f>
        <v>4773640.14786</v>
      </c>
      <c r="AB120" s="5"/>
      <c r="AC120" s="13">
        <f>AC75</f>
        <v>1531163.2865200804</v>
      </c>
      <c r="AD120" s="13"/>
      <c r="AE120" s="13">
        <f>AE75</f>
        <v>66369.29483905534</v>
      </c>
      <c r="AF120" s="5"/>
      <c r="AG120" s="13">
        <f>AG75</f>
        <v>228758.61232966665</v>
      </c>
      <c r="AH120" s="5"/>
      <c r="AI120" s="13">
        <f>AI75</f>
        <v>6555854.985208858</v>
      </c>
      <c r="AJ120" s="54"/>
      <c r="AK120" s="54"/>
      <c r="AL120" s="54"/>
    </row>
    <row r="121" spans="1:56" ht="17.25">
      <c r="A121" s="7">
        <v>3</v>
      </c>
      <c r="B121" s="36" t="s">
        <v>32</v>
      </c>
      <c r="C121" s="13">
        <f>SUM(E121:AI121)</f>
        <v>8844697.919999996</v>
      </c>
      <c r="D121" s="13"/>
      <c r="E121" s="13">
        <f>+'[3]SCHH-2'!E399</f>
        <v>7115713.424426223</v>
      </c>
      <c r="F121" s="13"/>
      <c r="G121" s="13">
        <f>+'[3]SCHH-2'!G399</f>
        <v>16634.892615230612</v>
      </c>
      <c r="H121" s="13"/>
      <c r="I121" s="13">
        <f>+'[3]SCHH-2'!I399</f>
        <v>1890.4667769981777</v>
      </c>
      <c r="J121" s="13"/>
      <c r="K121" s="13">
        <f>+'[3]SCHH-2'!K399</f>
        <v>23765.868053691367</v>
      </c>
      <c r="L121" s="13"/>
      <c r="M121" s="13">
        <f>+'[3]SCHH-2'!M399</f>
        <v>312859.74850604887</v>
      </c>
      <c r="N121" s="13"/>
      <c r="O121" s="13">
        <f>+'[3]SCHH-2'!O399</f>
        <v>399934.7550531013</v>
      </c>
      <c r="P121" s="13"/>
      <c r="Q121" s="13">
        <f>+'[3]SCHH-2'!Q399</f>
        <v>181954.16312133786</v>
      </c>
      <c r="R121" s="13"/>
      <c r="S121" s="13">
        <f>+'[3]SCHH-2'!S399</f>
        <v>24837.352767700304</v>
      </c>
      <c r="T121" s="13"/>
      <c r="U121" s="13">
        <f>+'[3]SCHH-2'!U399</f>
        <v>3690.9113265202504</v>
      </c>
      <c r="V121" s="13"/>
      <c r="W121" s="13">
        <f>+'[3]SCHH-2'!W399</f>
        <v>343416.44645957474</v>
      </c>
      <c r="X121" s="13"/>
      <c r="Y121" s="13">
        <f>+'[3]SCHH-2'!Y399</f>
        <v>113991.1978083336</v>
      </c>
      <c r="Z121" s="5"/>
      <c r="AA121" s="13">
        <f>+'[3]SCHH-2'!AA399</f>
        <v>86486.49120508468</v>
      </c>
      <c r="AB121" s="5"/>
      <c r="AC121" s="13">
        <f>+'[3]SCHH-2'!AC399</f>
        <v>56118.6359562121</v>
      </c>
      <c r="AD121" s="13"/>
      <c r="AE121" s="13">
        <f>+'[3]SCHH-2'!AE399</f>
        <v>450.11113738051847</v>
      </c>
      <c r="AF121" s="5"/>
      <c r="AG121" s="13">
        <f>+'[3]SCHH-2'!AG399</f>
        <v>330.08150074571347</v>
      </c>
      <c r="AH121" s="5"/>
      <c r="AI121" s="13">
        <f>+'[3]SCHH-2'!AI399</f>
        <v>162623.37328581224</v>
      </c>
      <c r="AJ121" s="54"/>
      <c r="AK121" s="54"/>
      <c r="AL121" s="54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</row>
    <row r="122" spans="1:38" ht="17.25">
      <c r="A122" s="7">
        <v>4</v>
      </c>
      <c r="B122" s="36" t="s">
        <v>33</v>
      </c>
      <c r="C122" s="13">
        <f>SUM(E122:AI122)</f>
        <v>171406125.0533509</v>
      </c>
      <c r="D122" s="13"/>
      <c r="E122" s="13">
        <f>SUM(E120:E121)</f>
        <v>66506757.44335475</v>
      </c>
      <c r="F122" s="13"/>
      <c r="G122" s="13">
        <f>SUM(G120:G121)</f>
        <v>169744.3326152306</v>
      </c>
      <c r="H122" s="13"/>
      <c r="I122" s="13">
        <f>SUM(I120:I121)</f>
        <v>117550.51548858442</v>
      </c>
      <c r="J122" s="13"/>
      <c r="K122" s="13">
        <f>SUM(K120:K121)</f>
        <v>286741.54805369134</v>
      </c>
      <c r="L122" s="13"/>
      <c r="M122" s="13">
        <f>SUM(M120:M121)</f>
        <v>5359740.181362821</v>
      </c>
      <c r="N122" s="13"/>
      <c r="O122" s="13">
        <f>SUM(O120:O121)</f>
        <v>20934553.932770364</v>
      </c>
      <c r="P122" s="13"/>
      <c r="Q122" s="13">
        <f>SUM(Q120:Q121)</f>
        <v>30680026.11626723</v>
      </c>
      <c r="R122" s="13"/>
      <c r="S122" s="13">
        <f>SUM(S120:S121)</f>
        <v>15328166.481485864</v>
      </c>
      <c r="T122" s="13"/>
      <c r="U122" s="13">
        <f>SUM(U120:U121)</f>
        <v>7843261.510438521</v>
      </c>
      <c r="V122" s="13"/>
      <c r="W122" s="13">
        <f>SUM(W120:W121)</f>
        <v>7035372.251732575</v>
      </c>
      <c r="X122" s="13"/>
      <c r="Y122" s="13">
        <f>SUM(Y120:Y121)</f>
        <v>3682415.719938334</v>
      </c>
      <c r="Z122" s="5"/>
      <c r="AA122" s="13">
        <f>SUM(AA120:AA121)</f>
        <v>4860126.639065085</v>
      </c>
      <c r="AB122" s="5"/>
      <c r="AC122" s="13">
        <f>SUM(AC120:AC121)</f>
        <v>1587281.9224762926</v>
      </c>
      <c r="AD122" s="13"/>
      <c r="AE122" s="13">
        <f>SUM(AE120:AE121)</f>
        <v>66819.40597643585</v>
      </c>
      <c r="AF122" s="5"/>
      <c r="AG122" s="13">
        <f>SUM(AG120:AG121)</f>
        <v>229088.69383041238</v>
      </c>
      <c r="AH122" s="5"/>
      <c r="AI122" s="13">
        <f>SUM(AI120:AI121)</f>
        <v>6718478.35849467</v>
      </c>
      <c r="AJ122" s="54"/>
      <c r="AK122" s="54"/>
      <c r="AL122" s="54"/>
    </row>
    <row r="123" spans="1:38" ht="17.25">
      <c r="A123" s="7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4"/>
      <c r="AB123" s="5"/>
      <c r="AC123" s="4"/>
      <c r="AD123" s="4"/>
      <c r="AE123" s="4"/>
      <c r="AF123" s="5"/>
      <c r="AG123" s="4"/>
      <c r="AH123" s="5"/>
      <c r="AI123" s="4"/>
      <c r="AJ123" s="54"/>
      <c r="AK123" s="54"/>
      <c r="AL123" s="54"/>
    </row>
    <row r="124" spans="1:38" ht="25.5" customHeight="1">
      <c r="A124" s="7">
        <v>5</v>
      </c>
      <c r="B124" s="74" t="s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4"/>
      <c r="AB124" s="5"/>
      <c r="AC124" s="4"/>
      <c r="AD124" s="4"/>
      <c r="AE124" s="4"/>
      <c r="AF124" s="5"/>
      <c r="AG124" s="4"/>
      <c r="AH124" s="5"/>
      <c r="AI124" s="4"/>
      <c r="AJ124" s="54"/>
      <c r="AK124" s="54"/>
      <c r="AL124" s="54"/>
    </row>
    <row r="125" spans="1:38" ht="25.5" customHeight="1">
      <c r="A125" s="7">
        <v>6</v>
      </c>
      <c r="B125" s="36" t="s">
        <v>35</v>
      </c>
      <c r="C125" s="13">
        <f>C182</f>
        <v>0</v>
      </c>
      <c r="D125" s="13"/>
      <c r="E125" s="13">
        <f>E182</f>
        <v>0</v>
      </c>
      <c r="F125" s="13"/>
      <c r="G125" s="13">
        <f>G182</f>
        <v>0</v>
      </c>
      <c r="H125" s="13"/>
      <c r="I125" s="13">
        <f>I182</f>
        <v>0</v>
      </c>
      <c r="J125" s="13"/>
      <c r="K125" s="13">
        <f>K182</f>
        <v>0</v>
      </c>
      <c r="L125" s="13"/>
      <c r="M125" s="13">
        <f>M182</f>
        <v>0</v>
      </c>
      <c r="N125" s="13"/>
      <c r="O125" s="13">
        <f>O182</f>
        <v>0</v>
      </c>
      <c r="P125" s="13"/>
      <c r="Q125" s="13">
        <f>Q182</f>
        <v>0</v>
      </c>
      <c r="R125" s="13"/>
      <c r="S125" s="13">
        <f>S182</f>
        <v>0</v>
      </c>
      <c r="T125" s="13"/>
      <c r="U125" s="13">
        <f>U182</f>
        <v>0</v>
      </c>
      <c r="V125" s="13"/>
      <c r="W125" s="13">
        <f>W182</f>
        <v>0</v>
      </c>
      <c r="X125" s="13"/>
      <c r="Y125" s="13">
        <f>Y182</f>
        <v>0</v>
      </c>
      <c r="Z125" s="5"/>
      <c r="AA125" s="13">
        <f>AA182</f>
        <v>0</v>
      </c>
      <c r="AB125" s="5"/>
      <c r="AC125" s="13">
        <f>AC182</f>
        <v>0</v>
      </c>
      <c r="AD125" s="13"/>
      <c r="AE125" s="13">
        <f>AE182</f>
        <v>0</v>
      </c>
      <c r="AF125" s="5"/>
      <c r="AG125" s="13">
        <f>AG182</f>
        <v>0</v>
      </c>
      <c r="AH125" s="5"/>
      <c r="AI125" s="13">
        <f>AI182</f>
        <v>0</v>
      </c>
      <c r="AJ125" s="54"/>
      <c r="AK125" s="54"/>
      <c r="AL125" s="54"/>
    </row>
    <row r="126" spans="1:38" ht="25.5" customHeight="1">
      <c r="A126" s="7">
        <v>7</v>
      </c>
      <c r="B126" s="36" t="s">
        <v>36</v>
      </c>
      <c r="C126" s="13">
        <f aca="true" t="shared" si="1" ref="C126:C131">SUM(E126:AI126)</f>
        <v>72124723.48714304</v>
      </c>
      <c r="D126" s="13"/>
      <c r="E126" s="13">
        <f aca="true" t="shared" si="2" ref="E126:E131">E18</f>
        <v>37882076.41283459</v>
      </c>
      <c r="F126" s="13"/>
      <c r="G126" s="13">
        <f aca="true" t="shared" si="3" ref="G126:G131">G18</f>
        <v>75456.72699943396</v>
      </c>
      <c r="H126" s="13"/>
      <c r="I126" s="13">
        <f aca="true" t="shared" si="4" ref="I126:I131">I18</f>
        <v>44354.38027136806</v>
      </c>
      <c r="J126" s="13"/>
      <c r="K126" s="13">
        <f aca="true" t="shared" si="5" ref="K126:K131">K18</f>
        <v>183251.07098574136</v>
      </c>
      <c r="L126" s="13"/>
      <c r="M126" s="13">
        <f aca="true" t="shared" si="6" ref="M126:M131">M18</f>
        <v>2816918.7647691043</v>
      </c>
      <c r="N126" s="13"/>
      <c r="O126" s="13">
        <f aca="true" t="shared" si="7" ref="O126:O131">O18</f>
        <v>8306640.686145502</v>
      </c>
      <c r="P126" s="13"/>
      <c r="Q126" s="13">
        <f aca="true" t="shared" si="8" ref="Q126:Q131">Q18</f>
        <v>9684787.75341634</v>
      </c>
      <c r="R126" s="13"/>
      <c r="S126" s="13">
        <f aca="true" t="shared" si="9" ref="S126:S131">S18</f>
        <v>4478221.054043801</v>
      </c>
      <c r="T126" s="13"/>
      <c r="U126" s="13">
        <f aca="true" t="shared" si="10" ref="U126:U131">U18</f>
        <v>2111680.9812417245</v>
      </c>
      <c r="V126" s="13"/>
      <c r="W126" s="13">
        <f aca="true" t="shared" si="11" ref="W126:W131">W18</f>
        <v>2094054.3743228004</v>
      </c>
      <c r="X126" s="13"/>
      <c r="Y126" s="13">
        <f aca="true" t="shared" si="12" ref="Y126:Y131">Y18</f>
        <v>972328.8976076217</v>
      </c>
      <c r="Z126" s="5"/>
      <c r="AA126" s="13">
        <f aca="true" t="shared" si="13" ref="AA126:AA131">AA18</f>
        <v>1512945.1004776761</v>
      </c>
      <c r="AB126" s="5"/>
      <c r="AC126" s="13">
        <f aca="true" t="shared" si="14" ref="AC126:AC131">AC18</f>
        <v>221276.02183517566</v>
      </c>
      <c r="AD126" s="13"/>
      <c r="AE126" s="13">
        <f aca="true" t="shared" si="15" ref="AE126:AE131">AE18</f>
        <v>33943.30152511272</v>
      </c>
      <c r="AF126" s="5"/>
      <c r="AG126" s="13">
        <f aca="true" t="shared" si="16" ref="AG126:AG131">AG18</f>
        <v>61449.87877428347</v>
      </c>
      <c r="AH126" s="5"/>
      <c r="AI126" s="13">
        <f aca="true" t="shared" si="17" ref="AI126:AI131">AI18</f>
        <v>1645338.0818927654</v>
      </c>
      <c r="AJ126" s="54"/>
      <c r="AK126" s="54"/>
      <c r="AL126" s="54"/>
    </row>
    <row r="127" spans="1:38" ht="25.5" customHeight="1">
      <c r="A127" s="7">
        <v>8</v>
      </c>
      <c r="B127" s="36" t="s">
        <v>37</v>
      </c>
      <c r="C127" s="13">
        <f t="shared" si="1"/>
        <v>41853490.40771723</v>
      </c>
      <c r="D127" s="13"/>
      <c r="E127" s="13">
        <f t="shared" si="2"/>
        <v>15137964.332277779</v>
      </c>
      <c r="F127" s="13"/>
      <c r="G127" s="13">
        <f t="shared" si="3"/>
        <v>24103.996994725727</v>
      </c>
      <c r="H127" s="13"/>
      <c r="I127" s="13">
        <f t="shared" si="4"/>
        <v>44523.414672809115</v>
      </c>
      <c r="J127" s="13"/>
      <c r="K127" s="13">
        <f t="shared" si="5"/>
        <v>58881.191689306</v>
      </c>
      <c r="L127" s="13"/>
      <c r="M127" s="13">
        <f t="shared" si="6"/>
        <v>1217025.3909571476</v>
      </c>
      <c r="N127" s="13"/>
      <c r="O127" s="13">
        <f t="shared" si="7"/>
        <v>5302187.704494551</v>
      </c>
      <c r="P127" s="13"/>
      <c r="Q127" s="13">
        <f t="shared" si="8"/>
        <v>7735218.626516029</v>
      </c>
      <c r="R127" s="13"/>
      <c r="S127" s="13">
        <f t="shared" si="9"/>
        <v>4051502.1403730344</v>
      </c>
      <c r="T127" s="13"/>
      <c r="U127" s="13">
        <f t="shared" si="10"/>
        <v>2112384.947860683</v>
      </c>
      <c r="V127" s="13"/>
      <c r="W127" s="13">
        <f t="shared" si="11"/>
        <v>2054798.4230639394</v>
      </c>
      <c r="X127" s="13"/>
      <c r="Y127" s="13">
        <f t="shared" si="12"/>
        <v>934854.9995346278</v>
      </c>
      <c r="Z127" s="5"/>
      <c r="AA127" s="13">
        <f t="shared" si="13"/>
        <v>1005853.3898748319</v>
      </c>
      <c r="AB127" s="5"/>
      <c r="AC127" s="13">
        <f t="shared" si="14"/>
        <v>392052.47283494973</v>
      </c>
      <c r="AD127" s="13"/>
      <c r="AE127" s="13">
        <f t="shared" si="15"/>
        <v>26015.43983849077</v>
      </c>
      <c r="AF127" s="5"/>
      <c r="AG127" s="13">
        <f t="shared" si="16"/>
        <v>68106.09065185116</v>
      </c>
      <c r="AH127" s="5"/>
      <c r="AI127" s="13">
        <f t="shared" si="17"/>
        <v>1688017.8460824664</v>
      </c>
      <c r="AJ127" s="54"/>
      <c r="AK127" s="54"/>
      <c r="AL127" s="54"/>
    </row>
    <row r="128" spans="1:38" ht="25.5" customHeight="1">
      <c r="A128" s="7">
        <v>9</v>
      </c>
      <c r="B128" s="36" t="s">
        <v>38</v>
      </c>
      <c r="C128" s="13">
        <f t="shared" si="1"/>
        <v>1837602.7199999997</v>
      </c>
      <c r="D128" s="13"/>
      <c r="E128" s="13">
        <f t="shared" si="2"/>
        <v>285002.8293894292</v>
      </c>
      <c r="F128" s="13"/>
      <c r="G128" s="13">
        <f t="shared" si="3"/>
        <v>0</v>
      </c>
      <c r="H128" s="13"/>
      <c r="I128" s="13">
        <f t="shared" si="4"/>
        <v>2545.2960908313953</v>
      </c>
      <c r="J128" s="13"/>
      <c r="K128" s="13">
        <f t="shared" si="5"/>
        <v>0</v>
      </c>
      <c r="L128" s="13"/>
      <c r="M128" s="13">
        <f t="shared" si="6"/>
        <v>26089.731467188023</v>
      </c>
      <c r="N128" s="13"/>
      <c r="O128" s="13">
        <f t="shared" si="7"/>
        <v>219128.3406646726</v>
      </c>
      <c r="P128" s="13"/>
      <c r="Q128" s="13">
        <f t="shared" si="8"/>
        <v>387503.67770345655</v>
      </c>
      <c r="R128" s="13"/>
      <c r="S128" s="13">
        <f t="shared" si="9"/>
        <v>219957.4299224718</v>
      </c>
      <c r="T128" s="13"/>
      <c r="U128" s="13">
        <f t="shared" si="10"/>
        <v>121267.72574512206</v>
      </c>
      <c r="V128" s="13"/>
      <c r="W128" s="13">
        <f t="shared" si="11"/>
        <v>185926.44033081672</v>
      </c>
      <c r="X128" s="13"/>
      <c r="Y128" s="13">
        <f t="shared" si="12"/>
        <v>82925.98870507549</v>
      </c>
      <c r="Z128" s="5"/>
      <c r="AA128" s="13">
        <f t="shared" si="13"/>
        <v>152804.96093055047</v>
      </c>
      <c r="AB128" s="5"/>
      <c r="AC128" s="13">
        <f t="shared" si="14"/>
        <v>0.0014459965304349386</v>
      </c>
      <c r="AD128" s="13"/>
      <c r="AE128" s="13">
        <f t="shared" si="15"/>
        <v>1163.3809258192578</v>
      </c>
      <c r="AF128" s="5"/>
      <c r="AG128" s="13">
        <f t="shared" si="16"/>
        <v>3747.767637796777</v>
      </c>
      <c r="AH128" s="5"/>
      <c r="AI128" s="13">
        <f t="shared" si="17"/>
        <v>149539.14904077316</v>
      </c>
      <c r="AJ128" s="54"/>
      <c r="AK128" s="54"/>
      <c r="AL128" s="54"/>
    </row>
    <row r="129" spans="1:38" ht="25.5" customHeight="1">
      <c r="A129" s="7">
        <v>10</v>
      </c>
      <c r="B129" s="36" t="s">
        <v>39</v>
      </c>
      <c r="C129" s="13">
        <f t="shared" si="1"/>
        <v>9778750.251775956</v>
      </c>
      <c r="D129" s="13"/>
      <c r="E129" s="13">
        <f t="shared" si="2"/>
        <v>3536870.4278566428</v>
      </c>
      <c r="F129" s="13"/>
      <c r="G129" s="13">
        <f t="shared" si="3"/>
        <v>5631.715882829209</v>
      </c>
      <c r="H129" s="13"/>
      <c r="I129" s="13">
        <f t="shared" si="4"/>
        <v>10402.557784317514</v>
      </c>
      <c r="J129" s="13"/>
      <c r="K129" s="13">
        <f t="shared" si="5"/>
        <v>13757.14336958865</v>
      </c>
      <c r="L129" s="13"/>
      <c r="M129" s="13">
        <f t="shared" si="6"/>
        <v>284348.7420596479</v>
      </c>
      <c r="N129" s="13"/>
      <c r="O129" s="13">
        <f t="shared" si="7"/>
        <v>1238815.8991090795</v>
      </c>
      <c r="P129" s="13"/>
      <c r="Q129" s="13">
        <f t="shared" si="8"/>
        <v>1807275.100707933</v>
      </c>
      <c r="R129" s="13"/>
      <c r="S129" s="13">
        <f t="shared" si="9"/>
        <v>946602.7131619703</v>
      </c>
      <c r="T129" s="13"/>
      <c r="U129" s="13">
        <f t="shared" si="10"/>
        <v>493542.70431246044</v>
      </c>
      <c r="V129" s="13"/>
      <c r="W129" s="13">
        <f t="shared" si="11"/>
        <v>480088.05003227113</v>
      </c>
      <c r="X129" s="13"/>
      <c r="Y129" s="13">
        <f t="shared" si="12"/>
        <v>218421.77254558535</v>
      </c>
      <c r="Z129" s="5"/>
      <c r="AA129" s="13">
        <f t="shared" si="13"/>
        <v>235010.00737741534</v>
      </c>
      <c r="AB129" s="5"/>
      <c r="AC129" s="13">
        <f t="shared" si="14"/>
        <v>91600.08353179668</v>
      </c>
      <c r="AD129" s="13"/>
      <c r="AE129" s="13">
        <f t="shared" si="15"/>
        <v>6078.309990217592</v>
      </c>
      <c r="AF129" s="5"/>
      <c r="AG129" s="13">
        <f t="shared" si="16"/>
        <v>15912.470970078644</v>
      </c>
      <c r="AH129" s="5"/>
      <c r="AI129" s="13">
        <f t="shared" si="17"/>
        <v>394392.5530841175</v>
      </c>
      <c r="AJ129" s="54"/>
      <c r="AK129" s="54"/>
      <c r="AL129" s="54"/>
    </row>
    <row r="130" spans="1:38" ht="25.5" customHeight="1">
      <c r="A130" s="7">
        <v>11</v>
      </c>
      <c r="B130" s="36" t="s">
        <v>40</v>
      </c>
      <c r="C130" s="13">
        <f t="shared" si="1"/>
        <v>1052682.921344249</v>
      </c>
      <c r="D130" s="13"/>
      <c r="E130" s="13">
        <f t="shared" si="2"/>
        <v>418317.92653999984</v>
      </c>
      <c r="F130" s="13"/>
      <c r="G130" s="13">
        <f t="shared" si="3"/>
        <v>712.8641628601806</v>
      </c>
      <c r="H130" s="13"/>
      <c r="I130" s="13">
        <f t="shared" si="4"/>
        <v>990.0795749596242</v>
      </c>
      <c r="J130" s="13"/>
      <c r="K130" s="13">
        <f t="shared" si="5"/>
        <v>1869.9338207526232</v>
      </c>
      <c r="L130" s="13"/>
      <c r="M130" s="13">
        <f t="shared" si="6"/>
        <v>34360.074755260015</v>
      </c>
      <c r="N130" s="13"/>
      <c r="O130" s="13">
        <f t="shared" si="7"/>
        <v>133621.02561776614</v>
      </c>
      <c r="P130" s="13"/>
      <c r="Q130" s="13">
        <f t="shared" si="8"/>
        <v>183922.9722601046</v>
      </c>
      <c r="R130" s="13"/>
      <c r="S130" s="13">
        <f t="shared" si="9"/>
        <v>93476.25387238587</v>
      </c>
      <c r="T130" s="13"/>
      <c r="U130" s="13">
        <f t="shared" si="10"/>
        <v>47558.81326358211</v>
      </c>
      <c r="V130" s="13"/>
      <c r="W130" s="13">
        <f t="shared" si="11"/>
        <v>44882.109964645344</v>
      </c>
      <c r="X130" s="13"/>
      <c r="Y130" s="13">
        <f t="shared" si="12"/>
        <v>20771.102728160775</v>
      </c>
      <c r="Z130" s="5"/>
      <c r="AA130" s="13">
        <f t="shared" si="13"/>
        <v>25663.9083752899</v>
      </c>
      <c r="AB130" s="5"/>
      <c r="AC130" s="13">
        <f t="shared" si="14"/>
        <v>7348.425641465569</v>
      </c>
      <c r="AD130" s="13"/>
      <c r="AE130" s="13">
        <f t="shared" si="15"/>
        <v>626.1031842511375</v>
      </c>
      <c r="AF130" s="5"/>
      <c r="AG130" s="13">
        <f t="shared" si="16"/>
        <v>1491.432797006621</v>
      </c>
      <c r="AH130" s="5"/>
      <c r="AI130" s="13">
        <f t="shared" si="17"/>
        <v>37069.89478575885</v>
      </c>
      <c r="AJ130" s="54"/>
      <c r="AK130" s="54"/>
      <c r="AL130" s="54"/>
    </row>
    <row r="131" spans="1:38" ht="25.5" customHeight="1">
      <c r="A131" s="7">
        <v>12</v>
      </c>
      <c r="B131" s="36" t="s">
        <v>153</v>
      </c>
      <c r="C131" s="13">
        <f t="shared" si="1"/>
        <v>-480321.33785999997</v>
      </c>
      <c r="D131" s="13"/>
      <c r="E131" s="13">
        <f t="shared" si="2"/>
        <v>-434216.8643672819</v>
      </c>
      <c r="F131" s="13"/>
      <c r="G131" s="13">
        <f t="shared" si="3"/>
        <v>-1015.0986246406248</v>
      </c>
      <c r="H131" s="13"/>
      <c r="I131" s="13">
        <f t="shared" si="4"/>
        <v>-89.31733708430079</v>
      </c>
      <c r="J131" s="13"/>
      <c r="K131" s="13">
        <f t="shared" si="5"/>
        <v>-1122.8465233454956</v>
      </c>
      <c r="L131" s="13"/>
      <c r="M131" s="13">
        <f t="shared" si="6"/>
        <v>-14781.428564322914</v>
      </c>
      <c r="N131" s="13"/>
      <c r="O131" s="13">
        <f t="shared" si="7"/>
        <v>-18895.390156247933</v>
      </c>
      <c r="P131" s="13"/>
      <c r="Q131" s="13">
        <f t="shared" si="8"/>
        <v>-8596.639475043285</v>
      </c>
      <c r="R131" s="13"/>
      <c r="S131" s="13">
        <f t="shared" si="9"/>
        <v>-1173.4700849686064</v>
      </c>
      <c r="T131" s="13"/>
      <c r="U131" s="13">
        <f t="shared" si="10"/>
        <v>-174.38146764077771</v>
      </c>
      <c r="V131" s="13"/>
      <c r="W131" s="13">
        <f t="shared" si="11"/>
        <v>-146.73562520992274</v>
      </c>
      <c r="X131" s="13"/>
      <c r="Y131" s="13">
        <f t="shared" si="12"/>
        <v>-36.86112324114001</v>
      </c>
      <c r="Z131" s="5"/>
      <c r="AA131" s="13">
        <f t="shared" si="13"/>
        <v>-19.848297129844617</v>
      </c>
      <c r="AB131" s="5"/>
      <c r="AC131" s="13">
        <f t="shared" si="14"/>
        <v>-4.253206527823847</v>
      </c>
      <c r="AD131" s="13"/>
      <c r="AE131" s="13">
        <f t="shared" si="15"/>
        <v>-21.266032639119235</v>
      </c>
      <c r="AF131" s="5"/>
      <c r="AG131" s="13">
        <f t="shared" si="16"/>
        <v>-15.595090602020772</v>
      </c>
      <c r="AH131" s="5"/>
      <c r="AI131" s="13">
        <f t="shared" si="17"/>
        <v>-11.341884074196926</v>
      </c>
      <c r="AJ131" s="54"/>
      <c r="AK131" s="54"/>
      <c r="AL131" s="54"/>
    </row>
    <row r="132" spans="1:38" ht="25.5" customHeight="1">
      <c r="A132" s="7">
        <v>13</v>
      </c>
      <c r="B132" s="36" t="s">
        <v>98</v>
      </c>
      <c r="C132" s="13">
        <f>SUM(C125:C131)</f>
        <v>126166928.45012046</v>
      </c>
      <c r="D132" s="13"/>
      <c r="E132" s="13">
        <f>SUM(E125:E131)</f>
        <v>56826015.06453117</v>
      </c>
      <c r="F132" s="13"/>
      <c r="G132" s="13">
        <f>SUM(G125:G131)</f>
        <v>104890.20541520846</v>
      </c>
      <c r="H132" s="13"/>
      <c r="I132" s="13">
        <f>SUM(I125:I131)</f>
        <v>102726.41105720142</v>
      </c>
      <c r="J132" s="13"/>
      <c r="K132" s="13">
        <f>SUM(K125:K131)</f>
        <v>256636.49334204313</v>
      </c>
      <c r="L132" s="13"/>
      <c r="M132" s="13">
        <f>SUM(M125:M131)</f>
        <v>4363961.275444024</v>
      </c>
      <c r="N132" s="13"/>
      <c r="O132" s="13">
        <f>SUM(O125:O131)</f>
        <v>15181498.26587532</v>
      </c>
      <c r="P132" s="13"/>
      <c r="Q132" s="13">
        <f>SUM(Q125:Q131)</f>
        <v>19790111.49112882</v>
      </c>
      <c r="R132" s="13"/>
      <c r="S132" s="13">
        <f>SUM(S125:S131)</f>
        <v>9788586.121288694</v>
      </c>
      <c r="T132" s="13"/>
      <c r="U132" s="13">
        <f>SUM(U125:U131)</f>
        <v>4886260.790955932</v>
      </c>
      <c r="V132" s="13"/>
      <c r="W132" s="13">
        <f>SUM(W125:W131)</f>
        <v>4859602.662089263</v>
      </c>
      <c r="X132" s="13"/>
      <c r="Y132" s="13">
        <f>SUM(Y125:Y131)</f>
        <v>2229265.89999783</v>
      </c>
      <c r="Z132" s="5"/>
      <c r="AA132" s="13">
        <f>SUM(AA125:AA131)</f>
        <v>2932257.518738634</v>
      </c>
      <c r="AB132" s="5"/>
      <c r="AC132" s="13">
        <f>SUM(AC125:AC131)</f>
        <v>712272.7520828565</v>
      </c>
      <c r="AD132" s="13"/>
      <c r="AE132" s="13">
        <f>SUM(AE125:AE131)</f>
        <v>67805.26943125237</v>
      </c>
      <c r="AF132" s="5"/>
      <c r="AG132" s="13">
        <f>SUM(AG125:AG131)</f>
        <v>150692.04574041464</v>
      </c>
      <c r="AH132" s="5"/>
      <c r="AI132" s="13">
        <f>SUM(AI125:AI131)</f>
        <v>3914346.183001807</v>
      </c>
      <c r="AJ132" s="54"/>
      <c r="AK132" s="54"/>
      <c r="AL132" s="54"/>
    </row>
    <row r="133" spans="1:38" ht="17.25">
      <c r="A133" s="7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5"/>
      <c r="AA133" s="4"/>
      <c r="AB133" s="5"/>
      <c r="AC133" s="4"/>
      <c r="AD133" s="4"/>
      <c r="AE133" s="4"/>
      <c r="AF133" s="5"/>
      <c r="AG133" s="4"/>
      <c r="AH133" s="5"/>
      <c r="AI133" s="4"/>
      <c r="AJ133" s="54"/>
      <c r="AK133" s="54"/>
      <c r="AL133" s="54"/>
    </row>
    <row r="134" spans="1:38" ht="17.25">
      <c r="A134" s="7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13"/>
      <c r="M134" s="4"/>
      <c r="N134" s="13"/>
      <c r="O134" s="4"/>
      <c r="P134" s="4"/>
      <c r="Q134" s="4"/>
      <c r="R134" s="13"/>
      <c r="S134" s="4"/>
      <c r="T134" s="13"/>
      <c r="U134" s="4"/>
      <c r="V134" s="4"/>
      <c r="W134" s="4"/>
      <c r="X134" s="13"/>
      <c r="Y134" s="4"/>
      <c r="Z134" s="5"/>
      <c r="AA134" s="4"/>
      <c r="AB134" s="5"/>
      <c r="AC134" s="4"/>
      <c r="AD134" s="4"/>
      <c r="AE134" s="4"/>
      <c r="AF134" s="5"/>
      <c r="AG134" s="4"/>
      <c r="AH134" s="5"/>
      <c r="AI134" s="4"/>
      <c r="AJ134" s="54"/>
      <c r="AK134" s="54"/>
      <c r="AL134" s="54"/>
    </row>
    <row r="135" spans="1:38" ht="17.25">
      <c r="A135" s="7">
        <v>14</v>
      </c>
      <c r="B135" s="36" t="s">
        <v>41</v>
      </c>
      <c r="C135" s="190">
        <f>SUM('[2]SCHG2-1'!$R$30:$R$35)+'[4]Sheet1'!$I$40</f>
        <v>9220084.569092106</v>
      </c>
      <c r="D135" s="13"/>
      <c r="E135" s="13">
        <f>$C135*(E141/$C141)</f>
        <v>3299603.9379274063</v>
      </c>
      <c r="F135" s="13"/>
      <c r="G135" s="13">
        <f>$C135*(G141/$C141)</f>
        <v>5198.738537751954</v>
      </c>
      <c r="H135" s="13"/>
      <c r="I135" s="13">
        <f>$C135*(I141/$C141)</f>
        <v>9912.285080487054</v>
      </c>
      <c r="J135" s="13"/>
      <c r="K135" s="13">
        <f>$C135*(K141/$C141)</f>
        <v>12699.467248147088</v>
      </c>
      <c r="L135" s="13"/>
      <c r="M135" s="13">
        <f>$C135*(M141/$C141)</f>
        <v>265659.845422189</v>
      </c>
      <c r="N135" s="13"/>
      <c r="O135" s="13">
        <f>$C135*(O141/$C141)</f>
        <v>1170218.3062596307</v>
      </c>
      <c r="P135" s="13"/>
      <c r="Q135" s="13">
        <f>$C135*(Q141/$C141)</f>
        <v>1715446.918575404</v>
      </c>
      <c r="R135" s="13"/>
      <c r="S135" s="13">
        <f>$C135*(S141/$C141)</f>
        <v>900571.8557029621</v>
      </c>
      <c r="T135" s="13"/>
      <c r="U135" s="13">
        <f>$C135*(U141/$C141)</f>
        <v>470343.77297056175</v>
      </c>
      <c r="V135" s="13"/>
      <c r="W135" s="13">
        <f>$C135*(W141/$C141)</f>
        <v>456984.40155884146</v>
      </c>
      <c r="X135" s="13"/>
      <c r="Y135" s="13">
        <f>$C135*(Y141/$C141)</f>
        <v>207876.3693198183</v>
      </c>
      <c r="Z135" s="5"/>
      <c r="AA135" s="13">
        <f>$C135*(AA141/$C141)</f>
        <v>223590.25556542928</v>
      </c>
      <c r="AB135" s="5"/>
      <c r="AC135" s="13">
        <f>$C135*(AC141/$C141)</f>
        <v>86742.7038398194</v>
      </c>
      <c r="AD135" s="13"/>
      <c r="AE135" s="13">
        <f>$C135*(AE141/$C141)</f>
        <v>5752.459390429648</v>
      </c>
      <c r="AF135" s="5"/>
      <c r="AG135" s="13">
        <f>$C135*(AG141/$C141)</f>
        <v>15144.800365727338</v>
      </c>
      <c r="AH135" s="5"/>
      <c r="AI135" s="13">
        <f>$C135*(AI141/$C141)</f>
        <v>374338.4513275021</v>
      </c>
      <c r="AJ135" s="54"/>
      <c r="AK135" s="54"/>
      <c r="AL135" s="54"/>
    </row>
    <row r="136" spans="1:38" ht="17.25">
      <c r="A136" s="7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4"/>
      <c r="AB136" s="5"/>
      <c r="AC136" s="4"/>
      <c r="AD136" s="5"/>
      <c r="AE136" s="4"/>
      <c r="AF136" s="5"/>
      <c r="AG136" s="4"/>
      <c r="AH136" s="5"/>
      <c r="AI136" s="4"/>
      <c r="AJ136" s="54"/>
      <c r="AK136" s="54"/>
      <c r="AL136" s="54"/>
    </row>
    <row r="137" spans="1:38" ht="17.25">
      <c r="A137" s="7">
        <v>15</v>
      </c>
      <c r="B137" s="85" t="s">
        <v>42</v>
      </c>
      <c r="C137" s="86">
        <f>C122-C132-C135</f>
        <v>36019112.03413832</v>
      </c>
      <c r="D137" s="86"/>
      <c r="E137" s="86">
        <f>E122-E132-E135</f>
        <v>6381138.440896172</v>
      </c>
      <c r="F137" s="86"/>
      <c r="G137" s="86">
        <f>G122-G132-G135</f>
        <v>59655.3886622702</v>
      </c>
      <c r="H137" s="86"/>
      <c r="I137" s="86">
        <f>I122-I132-I135</f>
        <v>4911.819350895952</v>
      </c>
      <c r="J137" s="86"/>
      <c r="K137" s="86">
        <f>K122-K132-K135</f>
        <v>17405.587463501117</v>
      </c>
      <c r="L137" s="86"/>
      <c r="M137" s="86">
        <f>M122-M132-M135</f>
        <v>730119.0604966076</v>
      </c>
      <c r="N137" s="86"/>
      <c r="O137" s="86">
        <f>O122-O132-O135</f>
        <v>4582837.360635413</v>
      </c>
      <c r="P137" s="86"/>
      <c r="Q137" s="86">
        <f>Q122-Q132-Q135</f>
        <v>9174467.706563005</v>
      </c>
      <c r="R137" s="86"/>
      <c r="S137" s="86">
        <f>S122-S132-S135</f>
        <v>4639008.504494208</v>
      </c>
      <c r="T137" s="86"/>
      <c r="U137" s="86">
        <f>U122-U132-U135</f>
        <v>2486656.9465120276</v>
      </c>
      <c r="V137" s="86"/>
      <c r="W137" s="86">
        <f>W122-W132-W135</f>
        <v>1718785.18808447</v>
      </c>
      <c r="X137" s="86"/>
      <c r="Y137" s="86">
        <f>Y122-Y132-Y135</f>
        <v>1245273.450620686</v>
      </c>
      <c r="Z137" s="87"/>
      <c r="AA137" s="86">
        <f>AA122-AA132-AA135</f>
        <v>1704278.8647610217</v>
      </c>
      <c r="AB137" s="87"/>
      <c r="AC137" s="86">
        <f>AC122-AC132-AC135</f>
        <v>788266.4665536167</v>
      </c>
      <c r="AD137" s="87"/>
      <c r="AE137" s="86">
        <f>AE122-AE132-AE135</f>
        <v>-6738.322845246162</v>
      </c>
      <c r="AF137" s="87"/>
      <c r="AG137" s="86">
        <f>AG122-AG132-AG135</f>
        <v>63251.847724270396</v>
      </c>
      <c r="AH137" s="87"/>
      <c r="AI137" s="86">
        <f>AI122-AI132-AI135</f>
        <v>2429793.724165361</v>
      </c>
      <c r="AJ137" s="54"/>
      <c r="AK137" s="54"/>
      <c r="AL137" s="54"/>
    </row>
    <row r="138" spans="1:38" ht="18" thickBot="1">
      <c r="A138" s="7"/>
      <c r="B138" s="88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90"/>
      <c r="AA138" s="89"/>
      <c r="AB138" s="90"/>
      <c r="AC138" s="89"/>
      <c r="AD138" s="90"/>
      <c r="AE138" s="89"/>
      <c r="AF138" s="90"/>
      <c r="AG138" s="89"/>
      <c r="AH138" s="90"/>
      <c r="AI138" s="89"/>
      <c r="AJ138" s="54"/>
      <c r="AK138" s="54"/>
      <c r="AL138" s="54"/>
    </row>
    <row r="139" spans="1:38" ht="18" thickTop="1">
      <c r="A139" s="7"/>
      <c r="B139" s="74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45"/>
      <c r="AA139" s="91"/>
      <c r="AB139" s="45"/>
      <c r="AC139" s="91"/>
      <c r="AD139" s="45"/>
      <c r="AE139" s="91"/>
      <c r="AF139" s="45"/>
      <c r="AG139" s="91"/>
      <c r="AH139" s="45"/>
      <c r="AI139" s="91"/>
      <c r="AJ139" s="54"/>
      <c r="AK139" s="54"/>
      <c r="AL139" s="54"/>
    </row>
    <row r="140" spans="1:38" ht="17.25">
      <c r="A140" s="7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76"/>
      <c r="M140" s="43"/>
      <c r="N140" s="76"/>
      <c r="O140" s="43"/>
      <c r="P140" s="43"/>
      <c r="Q140" s="43"/>
      <c r="R140" s="76"/>
      <c r="S140" s="43"/>
      <c r="T140" s="76"/>
      <c r="U140" s="43"/>
      <c r="V140" s="43"/>
      <c r="W140" s="43"/>
      <c r="X140" s="76"/>
      <c r="Y140" s="43"/>
      <c r="Z140" s="45"/>
      <c r="AA140" s="43"/>
      <c r="AB140" s="45"/>
      <c r="AC140" s="43"/>
      <c r="AD140" s="45"/>
      <c r="AE140" s="43"/>
      <c r="AF140" s="45"/>
      <c r="AG140" s="43"/>
      <c r="AH140" s="45"/>
      <c r="AI140" s="43"/>
      <c r="AJ140" s="54"/>
      <c r="AK140" s="54"/>
      <c r="AL140" s="54"/>
    </row>
    <row r="141" spans="1:38" ht="17.25">
      <c r="A141" s="7">
        <v>16</v>
      </c>
      <c r="B141" s="74" t="s">
        <v>43</v>
      </c>
      <c r="C141" s="76">
        <f>C197</f>
        <v>560844755.1474364</v>
      </c>
      <c r="D141" s="76"/>
      <c r="E141" s="76">
        <f>E197</f>
        <v>200710259.08525226</v>
      </c>
      <c r="F141" s="76"/>
      <c r="G141" s="76">
        <f>G197</f>
        <v>316231.941305083</v>
      </c>
      <c r="H141" s="76"/>
      <c r="I141" s="76">
        <f>I197</f>
        <v>602950.3370883684</v>
      </c>
      <c r="J141" s="76"/>
      <c r="K141" s="76">
        <f>K197</f>
        <v>772490.7017844502</v>
      </c>
      <c r="L141" s="92"/>
      <c r="M141" s="76">
        <f>M197</f>
        <v>16159714.137305867</v>
      </c>
      <c r="N141" s="92"/>
      <c r="O141" s="76">
        <f>O197</f>
        <v>71182730.9744358</v>
      </c>
      <c r="P141" s="76"/>
      <c r="Q141" s="76">
        <f>Q197</f>
        <v>104348219.34736156</v>
      </c>
      <c r="R141" s="92"/>
      <c r="S141" s="76">
        <f>S197</f>
        <v>54780517.26310089</v>
      </c>
      <c r="T141" s="92"/>
      <c r="U141" s="76">
        <f>U197</f>
        <v>28610349.09279268</v>
      </c>
      <c r="V141" s="76"/>
      <c r="W141" s="76">
        <f>W197</f>
        <v>27797717.350406423</v>
      </c>
      <c r="X141" s="92"/>
      <c r="Y141" s="76">
        <f>Y197</f>
        <v>12644826.690954281</v>
      </c>
      <c r="Z141" s="45"/>
      <c r="AA141" s="76">
        <f>AA197</f>
        <v>13600680.253662128</v>
      </c>
      <c r="AB141" s="45"/>
      <c r="AC141" s="76">
        <f>AC197</f>
        <v>5276436.472063785</v>
      </c>
      <c r="AD141" s="45"/>
      <c r="AE141" s="76">
        <f>AE197</f>
        <v>349914.0006954157</v>
      </c>
      <c r="AF141" s="45"/>
      <c r="AG141" s="76">
        <f>AG197</f>
        <v>921236.8703587216</v>
      </c>
      <c r="AH141" s="45"/>
      <c r="AI141" s="76">
        <f>AI197</f>
        <v>22770480.628868744</v>
      </c>
      <c r="AJ141" s="54"/>
      <c r="AK141" s="54"/>
      <c r="AL141" s="54"/>
    </row>
    <row r="142" spans="1:38" ht="17.25">
      <c r="A142" s="7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5"/>
      <c r="AA142" s="43"/>
      <c r="AB142" s="45"/>
      <c r="AC142" s="43"/>
      <c r="AD142" s="45"/>
      <c r="AE142" s="43"/>
      <c r="AF142" s="45"/>
      <c r="AG142" s="43"/>
      <c r="AH142" s="45"/>
      <c r="AI142" s="43"/>
      <c r="AJ142" s="54"/>
      <c r="AK142" s="54"/>
      <c r="AL142" s="54"/>
    </row>
    <row r="143" spans="1:38" ht="17.25">
      <c r="A143" s="7">
        <v>17</v>
      </c>
      <c r="B143" s="74" t="s">
        <v>44</v>
      </c>
      <c r="C143" s="93">
        <f>C137/C141</f>
        <v>0.06422296313472615</v>
      </c>
      <c r="D143" s="93"/>
      <c r="E143" s="93">
        <f>E137/E141</f>
        <v>0.0317927866267452</v>
      </c>
      <c r="F143" s="93"/>
      <c r="G143" s="93">
        <f>G137/G141</f>
        <v>0.18864441212381514</v>
      </c>
      <c r="H143" s="93"/>
      <c r="I143" s="93">
        <f>I137/I141</f>
        <v>0.008146308325516495</v>
      </c>
      <c r="J143" s="93"/>
      <c r="K143" s="93">
        <f>K137/K141</f>
        <v>0.02253177601140607</v>
      </c>
      <c r="L143" s="93"/>
      <c r="M143" s="93">
        <f>M137/M141</f>
        <v>0.04518143416974654</v>
      </c>
      <c r="N143" s="93"/>
      <c r="O143" s="93">
        <f>O137/O141</f>
        <v>0.06438130847046693</v>
      </c>
      <c r="P143" s="93"/>
      <c r="Q143" s="93">
        <f>Q137/Q141</f>
        <v>0.08792165083356529</v>
      </c>
      <c r="R143" s="93"/>
      <c r="S143" s="93">
        <f>S137/S141</f>
        <v>0.08468354692990376</v>
      </c>
      <c r="T143" s="93"/>
      <c r="U143" s="93">
        <f>U137/U141</f>
        <v>0.08691459647860253</v>
      </c>
      <c r="V143" s="93"/>
      <c r="W143" s="93">
        <f>W137/W141</f>
        <v>0.06183188232393982</v>
      </c>
      <c r="X143" s="93"/>
      <c r="Y143" s="93">
        <f>Y137/Y141</f>
        <v>0.09848086344366555</v>
      </c>
      <c r="Z143" s="45"/>
      <c r="AA143" s="93">
        <f>AA137/AA141</f>
        <v>0.12530835465396126</v>
      </c>
      <c r="AB143" s="45"/>
      <c r="AC143" s="93">
        <f>AC137/AC141</f>
        <v>0.14939371879622007</v>
      </c>
      <c r="AD143" s="45"/>
      <c r="AE143" s="93">
        <f>AE137/AE141</f>
        <v>-0.01925708268847341</v>
      </c>
      <c r="AF143" s="45"/>
      <c r="AG143" s="93">
        <f>AG137/AG141</f>
        <v>0.06865970062579094</v>
      </c>
      <c r="AH143" s="45"/>
      <c r="AI143" s="93">
        <f>AI137/AI141</f>
        <v>0.10670805609104418</v>
      </c>
      <c r="AJ143" s="54"/>
      <c r="AK143" s="54"/>
      <c r="AL143" s="54"/>
    </row>
    <row r="144" spans="1:38" ht="17.25">
      <c r="A144" s="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4"/>
      <c r="AK144" s="54"/>
      <c r="AL144" s="54"/>
    </row>
    <row r="145" spans="1:38" ht="17.25">
      <c r="A145" s="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4"/>
      <c r="AK145" s="54"/>
      <c r="AL145" s="54"/>
    </row>
    <row r="146" spans="1:38" ht="17.25">
      <c r="A146" s="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4"/>
      <c r="AK146" s="54"/>
      <c r="AL146" s="54"/>
    </row>
    <row r="147" spans="1:38" ht="17.25">
      <c r="A147" s="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4"/>
      <c r="AK147" s="54"/>
      <c r="AL147" s="54"/>
    </row>
    <row r="148" spans="1:38" ht="17.25">
      <c r="A148" s="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4"/>
      <c r="AK148" s="54"/>
      <c r="AL148" s="54"/>
    </row>
    <row r="149" spans="1:38" ht="17.25">
      <c r="A149" s="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4"/>
      <c r="AK149" s="54"/>
      <c r="AL149" s="54"/>
    </row>
    <row r="150" spans="1:38" ht="17.25">
      <c r="A150" s="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4"/>
      <c r="AK150" s="54"/>
      <c r="AL150" s="54"/>
    </row>
    <row r="151" spans="1:38" ht="17.25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4"/>
      <c r="AK151" s="54"/>
      <c r="AL151" s="54"/>
    </row>
    <row r="152" spans="1:38" ht="17.25">
      <c r="A152" s="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4"/>
      <c r="AK152" s="54"/>
      <c r="AL152" s="54"/>
    </row>
    <row r="153" spans="1:38" ht="17.25">
      <c r="A153" s="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4"/>
      <c r="AK153" s="54"/>
      <c r="AL153" s="54"/>
    </row>
    <row r="154" spans="1:38" ht="17.25">
      <c r="A154" s="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4"/>
      <c r="AK154" s="54"/>
      <c r="AL154" s="54"/>
    </row>
    <row r="155" spans="1:38" ht="17.25">
      <c r="A155" s="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4"/>
      <c r="AK155" s="54"/>
      <c r="AL155" s="54"/>
    </row>
    <row r="156" spans="1:38" ht="17.25">
      <c r="A156" s="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4"/>
      <c r="AK156" s="54"/>
      <c r="AL156" s="54"/>
    </row>
    <row r="157" spans="1:38" ht="17.25">
      <c r="A157" s="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4"/>
      <c r="AK157" s="54"/>
      <c r="AL157" s="54"/>
    </row>
    <row r="158" spans="1:38" ht="17.25">
      <c r="A158" s="5"/>
      <c r="B158" s="71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1"/>
      <c r="N158" s="72"/>
      <c r="O158" s="72"/>
      <c r="P158" s="72"/>
      <c r="Q158" s="72"/>
      <c r="R158" s="73"/>
      <c r="S158" s="73"/>
      <c r="T158" s="73"/>
      <c r="U158" s="73"/>
      <c r="V158" s="73"/>
      <c r="W158" s="73"/>
      <c r="X158" s="73"/>
      <c r="Y158" s="73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4"/>
      <c r="AK158" s="54"/>
      <c r="AL158" s="54"/>
    </row>
    <row r="159" spans="1:38" ht="17.25">
      <c r="A159" s="5"/>
      <c r="B159" s="62" t="s">
        <v>179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5"/>
      <c r="P159" s="5"/>
      <c r="Q159" s="4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4"/>
      <c r="AK159" s="54"/>
      <c r="AL159" s="54"/>
    </row>
    <row r="160" spans="1:38" ht="17.25">
      <c r="A160" s="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4"/>
      <c r="AK160" s="54"/>
      <c r="AL160" s="54"/>
    </row>
    <row r="161" spans="1:38" ht="17.25">
      <c r="A161" s="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4"/>
      <c r="AK161" s="54"/>
      <c r="AL161" s="54"/>
    </row>
    <row r="162" spans="1:38" ht="17.25">
      <c r="A162" s="5"/>
      <c r="C162" s="4"/>
      <c r="D162" s="4"/>
      <c r="E162" s="5"/>
      <c r="F162" s="5"/>
      <c r="G162" s="5"/>
      <c r="H162" s="5"/>
      <c r="I162" s="4"/>
      <c r="J162" s="4"/>
      <c r="K162" s="4"/>
      <c r="L162" s="4"/>
      <c r="M162" s="4"/>
      <c r="N162" s="5"/>
      <c r="O162" s="5"/>
      <c r="P162" s="5"/>
      <c r="Q162" s="4"/>
      <c r="R162" s="4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4"/>
      <c r="AK162" s="54"/>
      <c r="AL162" s="54"/>
    </row>
    <row r="163" spans="1:38" ht="25.5" customHeight="1" thickBot="1">
      <c r="A163" s="54"/>
      <c r="B163" s="55" t="s">
        <v>188</v>
      </c>
      <c r="C163" s="56"/>
      <c r="D163" s="56"/>
      <c r="E163" s="54"/>
      <c r="F163" s="54"/>
      <c r="G163" s="54"/>
      <c r="H163" s="54"/>
      <c r="I163" s="16" t="s">
        <v>128</v>
      </c>
      <c r="J163" s="56"/>
      <c r="K163" s="56"/>
      <c r="L163" s="56"/>
      <c r="M163" s="54"/>
      <c r="N163" s="56"/>
      <c r="O163" s="54"/>
      <c r="P163" s="54"/>
      <c r="Q163" s="26" t="s">
        <v>143</v>
      </c>
      <c r="R163" s="56"/>
      <c r="S163" s="16"/>
      <c r="T163" s="54"/>
      <c r="U163" s="54"/>
      <c r="V163" s="54"/>
      <c r="W163" s="34"/>
      <c r="X163" s="34"/>
      <c r="Y163" s="16" t="s">
        <v>128</v>
      </c>
      <c r="Z163" s="54"/>
      <c r="AA163" s="54"/>
      <c r="AB163" s="54"/>
      <c r="AC163" s="54"/>
      <c r="AD163" s="54"/>
      <c r="AE163" s="55"/>
      <c r="AF163" s="54"/>
      <c r="AG163" s="26" t="s">
        <v>149</v>
      </c>
      <c r="AH163" s="34"/>
      <c r="AI163" s="54"/>
      <c r="AJ163" s="54"/>
      <c r="AK163" s="54"/>
      <c r="AL163" s="54"/>
    </row>
    <row r="164" spans="1:38" ht="17.25">
      <c r="A164" s="57"/>
      <c r="B164" s="58" t="s">
        <v>0</v>
      </c>
      <c r="C164" s="59"/>
      <c r="D164" s="59"/>
      <c r="E164" s="57"/>
      <c r="F164" s="57"/>
      <c r="G164" s="57"/>
      <c r="H164" s="57"/>
      <c r="I164" s="17"/>
      <c r="J164" s="59"/>
      <c r="K164" s="59"/>
      <c r="L164" s="59"/>
      <c r="M164" s="60"/>
      <c r="N164" s="59"/>
      <c r="O164" s="57"/>
      <c r="P164" s="57"/>
      <c r="Q164" s="19" t="s">
        <v>1</v>
      </c>
      <c r="R164" s="59"/>
      <c r="S164" s="17"/>
      <c r="T164" s="57"/>
      <c r="U164" s="57"/>
      <c r="V164" s="57"/>
      <c r="W164" s="60"/>
      <c r="X164" s="60"/>
      <c r="Y164" s="17"/>
      <c r="Z164" s="57"/>
      <c r="AA164" s="57"/>
      <c r="AB164" s="57"/>
      <c r="AC164" s="57"/>
      <c r="AD164" s="57"/>
      <c r="AE164" s="59"/>
      <c r="AF164" s="57"/>
      <c r="AG164" s="19" t="s">
        <v>1</v>
      </c>
      <c r="AH164" s="60"/>
      <c r="AI164" s="57"/>
      <c r="AJ164" s="54"/>
      <c r="AK164" s="54"/>
      <c r="AL164" s="54"/>
    </row>
    <row r="165" spans="1:38" ht="17.25">
      <c r="A165" s="5"/>
      <c r="B165" s="61" t="s">
        <v>67</v>
      </c>
      <c r="C165" s="4"/>
      <c r="D165" s="4"/>
      <c r="E165" s="5"/>
      <c r="F165" s="5"/>
      <c r="G165" s="5"/>
      <c r="H165" s="5"/>
      <c r="I165" s="18" t="s">
        <v>129</v>
      </c>
      <c r="J165" s="4"/>
      <c r="K165" s="4"/>
      <c r="L165" s="62"/>
      <c r="N165" s="4"/>
      <c r="O165" s="5"/>
      <c r="P165" s="5"/>
      <c r="Q165" s="27" t="s">
        <v>109</v>
      </c>
      <c r="R165" s="4"/>
      <c r="S165" s="7"/>
      <c r="T165" s="5"/>
      <c r="U165" s="5"/>
      <c r="V165" s="5"/>
      <c r="Y165" s="18" t="s">
        <v>129</v>
      </c>
      <c r="Z165" s="5"/>
      <c r="AA165" s="5"/>
      <c r="AB165" s="5"/>
      <c r="AC165" s="5"/>
      <c r="AD165" s="5"/>
      <c r="AE165" s="62"/>
      <c r="AF165" s="5"/>
      <c r="AG165" s="27" t="s">
        <v>109</v>
      </c>
      <c r="AI165" s="5"/>
      <c r="AJ165" s="54"/>
      <c r="AK165" s="54"/>
      <c r="AL165" s="54"/>
    </row>
    <row r="166" spans="1:38" ht="17.25">
      <c r="A166" s="5"/>
      <c r="B166" s="61" t="s">
        <v>118</v>
      </c>
      <c r="C166" s="4"/>
      <c r="D166" s="4"/>
      <c r="E166" s="5"/>
      <c r="F166" s="5"/>
      <c r="G166" s="5"/>
      <c r="H166" s="5"/>
      <c r="I166" s="18" t="s">
        <v>130</v>
      </c>
      <c r="J166" s="4"/>
      <c r="K166" s="4"/>
      <c r="L166" s="4"/>
      <c r="N166" s="4"/>
      <c r="O166" s="5"/>
      <c r="P166" s="5"/>
      <c r="Q166" s="27" t="s">
        <v>110</v>
      </c>
      <c r="R166" s="4"/>
      <c r="S166" s="18"/>
      <c r="T166" s="5"/>
      <c r="U166" s="5"/>
      <c r="V166" s="5"/>
      <c r="Y166" s="18" t="s">
        <v>130</v>
      </c>
      <c r="Z166" s="5"/>
      <c r="AA166" s="5"/>
      <c r="AB166" s="5"/>
      <c r="AC166" s="5"/>
      <c r="AD166" s="5"/>
      <c r="AE166" s="61"/>
      <c r="AF166" s="5"/>
      <c r="AG166" s="27" t="s">
        <v>110</v>
      </c>
      <c r="AI166" s="5"/>
      <c r="AJ166" s="54"/>
      <c r="AK166" s="54"/>
      <c r="AL166" s="54"/>
    </row>
    <row r="167" spans="1:38" ht="18" thickBot="1">
      <c r="A167" s="54"/>
      <c r="B167" s="54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4"/>
      <c r="P167" s="54"/>
      <c r="Q167" s="56"/>
      <c r="R167" s="56"/>
      <c r="S167" s="54"/>
      <c r="T167" s="54"/>
      <c r="U167" s="54"/>
      <c r="V167" s="54"/>
      <c r="W167" s="34"/>
      <c r="X167" s="34"/>
      <c r="Y167" s="56"/>
      <c r="Z167" s="54"/>
      <c r="AA167" s="54"/>
      <c r="AB167" s="54"/>
      <c r="AC167" s="54"/>
      <c r="AD167" s="54"/>
      <c r="AE167" s="64"/>
      <c r="AF167" s="54"/>
      <c r="AG167" s="34"/>
      <c r="AH167" s="34"/>
      <c r="AI167" s="54"/>
      <c r="AJ167" s="54"/>
      <c r="AK167" s="54"/>
      <c r="AL167" s="54"/>
    </row>
    <row r="168" spans="1:38" ht="25.5" customHeight="1">
      <c r="A168" s="57"/>
      <c r="B168" s="59"/>
      <c r="C168" s="59"/>
      <c r="D168" s="59"/>
      <c r="E168" s="59"/>
      <c r="F168" s="59"/>
      <c r="G168" s="59"/>
      <c r="H168" s="59"/>
      <c r="I168" s="65" t="s">
        <v>137</v>
      </c>
      <c r="J168" s="59"/>
      <c r="K168" s="59"/>
      <c r="L168" s="59"/>
      <c r="M168" s="59"/>
      <c r="N168" s="59"/>
      <c r="O168" s="59"/>
      <c r="P168" s="59"/>
      <c r="Q168" s="59"/>
      <c r="R168" s="59"/>
      <c r="S168" s="57"/>
      <c r="T168" s="57"/>
      <c r="U168" s="57"/>
      <c r="V168" s="57"/>
      <c r="W168" s="60"/>
      <c r="X168" s="57"/>
      <c r="Y168" s="65" t="s">
        <v>137</v>
      </c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4"/>
      <c r="AK168" s="54"/>
      <c r="AL168" s="54"/>
    </row>
    <row r="169" spans="1:38" ht="17.25">
      <c r="A169" s="5"/>
      <c r="B169" s="5"/>
      <c r="C169" s="4"/>
      <c r="D169" s="4"/>
      <c r="E169" s="5"/>
      <c r="F169" s="5"/>
      <c r="G169" s="5"/>
      <c r="H169" s="5"/>
      <c r="I169" s="66" t="s">
        <v>101</v>
      </c>
      <c r="J169" s="4"/>
      <c r="K169" s="4"/>
      <c r="L169" s="4"/>
      <c r="N169" s="5"/>
      <c r="O169" s="4"/>
      <c r="P169" s="4"/>
      <c r="Q169" s="4"/>
      <c r="R169" s="4"/>
      <c r="S169" s="84"/>
      <c r="T169" s="5"/>
      <c r="U169" s="5"/>
      <c r="V169" s="5"/>
      <c r="W169" s="5"/>
      <c r="X169" s="5"/>
      <c r="Y169" s="66" t="s">
        <v>101</v>
      </c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4"/>
      <c r="AK169" s="54"/>
      <c r="AL169" s="54"/>
    </row>
    <row r="170" spans="1:38" ht="17.25">
      <c r="A170" s="5"/>
      <c r="B170" s="5"/>
      <c r="C170" s="4"/>
      <c r="D170" s="4"/>
      <c r="E170" s="5"/>
      <c r="F170" s="5"/>
      <c r="G170" s="5"/>
      <c r="H170" s="5"/>
      <c r="I170" s="4"/>
      <c r="J170" s="4"/>
      <c r="K170" s="4"/>
      <c r="L170" s="4"/>
      <c r="N170" s="5"/>
      <c r="O170" s="4"/>
      <c r="P170" s="4"/>
      <c r="Q170" s="4"/>
      <c r="R170" s="4"/>
      <c r="S170" s="84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4"/>
      <c r="AK170" s="54"/>
      <c r="AL170" s="54"/>
    </row>
    <row r="171" spans="1:38" ht="17.25">
      <c r="A171" s="5"/>
      <c r="B171" s="5"/>
      <c r="C171" s="4"/>
      <c r="D171" s="4"/>
      <c r="E171" s="5"/>
      <c r="F171" s="5"/>
      <c r="G171" s="5"/>
      <c r="H171" s="5"/>
      <c r="I171" s="4"/>
      <c r="J171" s="4"/>
      <c r="K171" s="4"/>
      <c r="L171" s="4"/>
      <c r="N171" s="5"/>
      <c r="O171" s="4"/>
      <c r="P171" s="4"/>
      <c r="Q171" s="4"/>
      <c r="R171" s="4"/>
      <c r="S171" s="84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4"/>
      <c r="AK171" s="54"/>
      <c r="AL171" s="54"/>
    </row>
    <row r="172" spans="1:38" ht="17.25">
      <c r="A172" s="5"/>
      <c r="B172" s="4"/>
      <c r="C172" s="4"/>
      <c r="D172" s="4"/>
      <c r="E172" s="5"/>
      <c r="F172" s="5"/>
      <c r="G172" s="5"/>
      <c r="H172" s="5"/>
      <c r="I172" s="4"/>
      <c r="J172" s="4"/>
      <c r="K172" s="4"/>
      <c r="L172" s="4"/>
      <c r="M172" s="5"/>
      <c r="N172" s="62"/>
      <c r="O172" s="4"/>
      <c r="P172" s="4"/>
      <c r="Q172" s="4"/>
      <c r="R172" s="4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4"/>
      <c r="AK172" s="54"/>
      <c r="AL172" s="54"/>
    </row>
    <row r="173" spans="1:38" ht="17.25">
      <c r="A173" s="5"/>
      <c r="B173" s="62"/>
      <c r="C173" s="19"/>
      <c r="D173" s="19"/>
      <c r="E173" s="20"/>
      <c r="F173" s="20"/>
      <c r="G173" s="20"/>
      <c r="H173" s="20"/>
      <c r="I173" s="20" t="s">
        <v>69</v>
      </c>
      <c r="J173" s="20"/>
      <c r="K173" s="20"/>
      <c r="L173" s="20"/>
      <c r="M173" s="21" t="s">
        <v>131</v>
      </c>
      <c r="N173" s="20"/>
      <c r="O173" s="21" t="s">
        <v>119</v>
      </c>
      <c r="P173" s="21"/>
      <c r="Q173" s="21" t="s">
        <v>120</v>
      </c>
      <c r="R173" s="20"/>
      <c r="S173" s="21" t="s">
        <v>70</v>
      </c>
      <c r="T173" s="20"/>
      <c r="U173" s="21" t="s">
        <v>71</v>
      </c>
      <c r="V173" s="21"/>
      <c r="W173" s="20" t="s">
        <v>132</v>
      </c>
      <c r="X173" s="20"/>
      <c r="Y173" s="20" t="s">
        <v>81</v>
      </c>
      <c r="Z173" s="20"/>
      <c r="AA173" s="20" t="s">
        <v>82</v>
      </c>
      <c r="AB173" s="20"/>
      <c r="AC173" s="20" t="s">
        <v>174</v>
      </c>
      <c r="AD173" s="20"/>
      <c r="AE173" s="20"/>
      <c r="AF173" s="20"/>
      <c r="AG173" s="20"/>
      <c r="AH173" s="20"/>
      <c r="AI173" s="20"/>
      <c r="AJ173" s="54"/>
      <c r="AK173" s="54"/>
      <c r="AL173" s="54"/>
    </row>
    <row r="174" spans="1:38" ht="17.25">
      <c r="A174" s="5"/>
      <c r="B174" s="4"/>
      <c r="C174" s="19"/>
      <c r="D174" s="19"/>
      <c r="E174" s="20" t="s">
        <v>68</v>
      </c>
      <c r="F174" s="20"/>
      <c r="G174" s="20" t="s">
        <v>68</v>
      </c>
      <c r="H174" s="20"/>
      <c r="I174" s="20" t="s">
        <v>72</v>
      </c>
      <c r="J174" s="20"/>
      <c r="K174" s="20" t="s">
        <v>69</v>
      </c>
      <c r="L174" s="20"/>
      <c r="M174" s="20" t="s">
        <v>73</v>
      </c>
      <c r="N174" s="20"/>
      <c r="O174" s="20" t="s">
        <v>74</v>
      </c>
      <c r="P174" s="20"/>
      <c r="Q174" s="20" t="s">
        <v>74</v>
      </c>
      <c r="R174" s="20"/>
      <c r="S174" s="20" t="s">
        <v>74</v>
      </c>
      <c r="T174" s="20"/>
      <c r="U174" s="20" t="s">
        <v>74</v>
      </c>
      <c r="V174" s="20"/>
      <c r="W174" s="20" t="s">
        <v>74</v>
      </c>
      <c r="X174" s="20"/>
      <c r="Y174" s="20" t="s">
        <v>133</v>
      </c>
      <c r="Z174" s="20"/>
      <c r="AA174" s="21" t="s">
        <v>83</v>
      </c>
      <c r="AB174" s="20"/>
      <c r="AC174" s="21" t="s">
        <v>83</v>
      </c>
      <c r="AD174" s="20"/>
      <c r="AE174" s="20" t="s">
        <v>134</v>
      </c>
      <c r="AF174" s="20"/>
      <c r="AG174" s="20" t="s">
        <v>84</v>
      </c>
      <c r="AH174" s="20"/>
      <c r="AI174" s="20" t="s">
        <v>85</v>
      </c>
      <c r="AJ174" s="54"/>
      <c r="AK174" s="54"/>
      <c r="AL174" s="54"/>
    </row>
    <row r="175" spans="1:38" ht="17.25">
      <c r="A175" s="67" t="s">
        <v>66</v>
      </c>
      <c r="B175" s="4"/>
      <c r="C175" s="35" t="s">
        <v>16</v>
      </c>
      <c r="D175" s="35"/>
      <c r="E175" s="22" t="s">
        <v>76</v>
      </c>
      <c r="F175" s="23"/>
      <c r="G175" s="24" t="s">
        <v>111</v>
      </c>
      <c r="H175" s="23"/>
      <c r="I175" s="22" t="s">
        <v>75</v>
      </c>
      <c r="J175" s="22"/>
      <c r="K175" s="22" t="s">
        <v>111</v>
      </c>
      <c r="L175" s="22"/>
      <c r="M175" s="22" t="s">
        <v>76</v>
      </c>
      <c r="N175" s="22"/>
      <c r="O175" s="22" t="s">
        <v>77</v>
      </c>
      <c r="P175" s="22"/>
      <c r="Q175" s="22" t="s">
        <v>78</v>
      </c>
      <c r="R175" s="25"/>
      <c r="S175" s="22" t="s">
        <v>79</v>
      </c>
      <c r="T175" s="22"/>
      <c r="U175" s="22" t="s">
        <v>80</v>
      </c>
      <c r="V175" s="25"/>
      <c r="W175" s="22" t="s">
        <v>86</v>
      </c>
      <c r="X175" s="22"/>
      <c r="Y175" s="22" t="s">
        <v>76</v>
      </c>
      <c r="Z175" s="22"/>
      <c r="AA175" s="22" t="s">
        <v>76</v>
      </c>
      <c r="AB175" s="22"/>
      <c r="AC175" s="22" t="s">
        <v>87</v>
      </c>
      <c r="AD175" s="25"/>
      <c r="AE175" s="22" t="s">
        <v>135</v>
      </c>
      <c r="AF175" s="22"/>
      <c r="AG175" s="22" t="s">
        <v>76</v>
      </c>
      <c r="AH175" s="25"/>
      <c r="AI175" s="22" t="s">
        <v>88</v>
      </c>
      <c r="AJ175" s="54"/>
      <c r="AK175" s="54"/>
      <c r="AL175" s="54"/>
    </row>
    <row r="176" spans="1:38" ht="17.25">
      <c r="A176" s="7">
        <v>1</v>
      </c>
      <c r="B176" s="74" t="s">
        <v>45</v>
      </c>
      <c r="C176" s="4"/>
      <c r="D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4"/>
      <c r="AK176" s="54"/>
      <c r="AL176" s="54"/>
    </row>
    <row r="177" spans="1:38" ht="17.25">
      <c r="A177" s="7">
        <v>2</v>
      </c>
      <c r="B177" s="36" t="s">
        <v>46</v>
      </c>
      <c r="C177" s="13">
        <f>+C240</f>
        <v>180777977.09774977</v>
      </c>
      <c r="D177" s="13"/>
      <c r="E177" s="13">
        <f>E240</f>
        <v>71788773.87398206</v>
      </c>
      <c r="F177" s="13"/>
      <c r="G177" s="13">
        <f>G240</f>
        <v>171840</v>
      </c>
      <c r="H177" s="13"/>
      <c r="I177" s="13">
        <f>I240</f>
        <v>170027.44327852447</v>
      </c>
      <c r="J177" s="13"/>
      <c r="K177" s="13">
        <f>K240</f>
        <v>332640</v>
      </c>
      <c r="L177" s="13"/>
      <c r="M177" s="13">
        <f>M240</f>
        <v>5900693.044530364</v>
      </c>
      <c r="N177" s="13"/>
      <c r="O177" s="13">
        <f>O240</f>
        <v>22946884.19864585</v>
      </c>
      <c r="P177" s="13"/>
      <c r="Q177" s="13">
        <f>Q240-AM308</f>
        <v>31842979.25779438</v>
      </c>
      <c r="R177" s="13"/>
      <c r="S177" s="13">
        <f>S240-AM309</f>
        <v>16191878.842371518</v>
      </c>
      <c r="T177" s="13"/>
      <c r="U177" s="13">
        <f>U240</f>
        <v>6952475.026109998</v>
      </c>
      <c r="V177" s="13"/>
      <c r="W177" s="13">
        <f>W240</f>
        <v>7707653.606070439</v>
      </c>
      <c r="X177" s="13"/>
      <c r="Y177" s="13">
        <f>Y240</f>
        <v>3568414.0843997644</v>
      </c>
      <c r="Z177" s="13"/>
      <c r="AA177" s="13">
        <f>AA240</f>
        <v>4773637.424835815</v>
      </c>
      <c r="AB177" s="13"/>
      <c r="AC177" s="13">
        <f>AC240</f>
        <v>1531163.1354251946</v>
      </c>
      <c r="AD177" s="13"/>
      <c r="AE177" s="13">
        <f>AE240</f>
        <v>86941.2054239628</v>
      </c>
      <c r="AF177" s="13"/>
      <c r="AG177" s="13">
        <f>AG240</f>
        <v>256125.3779092611</v>
      </c>
      <c r="AH177" s="13"/>
      <c r="AI177" s="13">
        <f>AI240</f>
        <v>6555850.576972686</v>
      </c>
      <c r="AJ177" s="54"/>
      <c r="AK177" s="54"/>
      <c r="AL177" s="54"/>
    </row>
    <row r="178" spans="1:38" ht="17.25">
      <c r="A178" s="7">
        <v>3</v>
      </c>
      <c r="B178" s="36" t="s">
        <v>32</v>
      </c>
      <c r="C178" s="13">
        <f>-1*C26</f>
        <v>9780512.59079229</v>
      </c>
      <c r="D178" s="13"/>
      <c r="E178" s="13">
        <f>-1*E26</f>
        <v>8031861.520783558</v>
      </c>
      <c r="F178" s="13"/>
      <c r="G178" s="13">
        <f>-1*G26</f>
        <v>18776.63502298941</v>
      </c>
      <c r="H178" s="13"/>
      <c r="I178" s="13">
        <f>-1*I26</f>
        <v>1925.1816368537256</v>
      </c>
      <c r="J178" s="13"/>
      <c r="K178" s="13">
        <f>-1*K26</f>
        <v>24202.283434732548</v>
      </c>
      <c r="L178" s="13"/>
      <c r="M178" s="13">
        <f>-1*M26</f>
        <v>318604.8282165081</v>
      </c>
      <c r="N178" s="13"/>
      <c r="O178" s="13">
        <f>-1*O26</f>
        <v>407278.8031696607</v>
      </c>
      <c r="P178" s="13"/>
      <c r="Q178" s="13">
        <f>-1*Q26</f>
        <v>185295.40844220016</v>
      </c>
      <c r="R178" s="13"/>
      <c r="S178" s="13">
        <f>-1*S26</f>
        <v>25293.443946347004</v>
      </c>
      <c r="T178" s="13"/>
      <c r="U178" s="13">
        <f>-1*U26</f>
        <v>3758.687957666798</v>
      </c>
      <c r="V178" s="13"/>
      <c r="W178" s="13">
        <f>-1*W26</f>
        <v>343473.4780150518</v>
      </c>
      <c r="X178" s="13"/>
      <c r="Y178" s="13">
        <f>-1*Y26</f>
        <v>114005.52457589304</v>
      </c>
      <c r="Z178" s="5"/>
      <c r="AA178" s="13">
        <f>-1*AA26</f>
        <v>86494.20561838591</v>
      </c>
      <c r="AB178" s="5"/>
      <c r="AC178" s="13">
        <f>-1*AC26</f>
        <v>56120.28904477665</v>
      </c>
      <c r="AD178" s="13"/>
      <c r="AE178" s="13">
        <f>-1*AE26</f>
        <v>458.376580203268</v>
      </c>
      <c r="AF178" s="5"/>
      <c r="AG178" s="13">
        <f>-1*AG26</f>
        <v>336.1428254823966</v>
      </c>
      <c r="AH178" s="5"/>
      <c r="AI178" s="13">
        <f>-1*AI26</f>
        <v>162627.78152198438</v>
      </c>
      <c r="AJ178" s="54"/>
      <c r="AK178" s="54"/>
      <c r="AL178" s="54"/>
    </row>
    <row r="179" spans="1:38" ht="17.25">
      <c r="A179" s="7">
        <v>4</v>
      </c>
      <c r="B179" s="36" t="s">
        <v>33</v>
      </c>
      <c r="C179" s="13">
        <f>C177+C178</f>
        <v>190558489.68854207</v>
      </c>
      <c r="D179" s="13"/>
      <c r="E179" s="13">
        <f>E177+E178</f>
        <v>79820635.39476562</v>
      </c>
      <c r="F179" s="13"/>
      <c r="G179" s="13">
        <f>G177+G178</f>
        <v>190616.63502298942</v>
      </c>
      <c r="H179" s="13"/>
      <c r="I179" s="13">
        <f>I177+I178</f>
        <v>171952.6249153782</v>
      </c>
      <c r="J179" s="13"/>
      <c r="K179" s="13">
        <f>K177+K178</f>
        <v>356842.2834347325</v>
      </c>
      <c r="L179" s="13"/>
      <c r="M179" s="13">
        <f>M177+M178</f>
        <v>6219297.872746872</v>
      </c>
      <c r="N179" s="13"/>
      <c r="O179" s="13">
        <f>O177+O178</f>
        <v>23354163.00181551</v>
      </c>
      <c r="P179" s="13"/>
      <c r="Q179" s="13">
        <f>Q177+Q178</f>
        <v>32028274.66623658</v>
      </c>
      <c r="R179" s="13"/>
      <c r="S179" s="13">
        <f>S177+S178</f>
        <v>16217172.286317864</v>
      </c>
      <c r="T179" s="13"/>
      <c r="U179" s="13">
        <f>U177+U178</f>
        <v>6956233.714067665</v>
      </c>
      <c r="V179" s="13"/>
      <c r="W179" s="13">
        <f>W177+W178</f>
        <v>8051127.0840854915</v>
      </c>
      <c r="X179" s="13"/>
      <c r="Y179" s="13">
        <f>Y177+Y178</f>
        <v>3682419.6089756573</v>
      </c>
      <c r="Z179" s="5"/>
      <c r="AA179" s="13">
        <f>AA177+AA178</f>
        <v>4860131.630454201</v>
      </c>
      <c r="AB179" s="5"/>
      <c r="AC179" s="13">
        <f>AC177+AC178</f>
        <v>1587283.4244699713</v>
      </c>
      <c r="AD179" s="13"/>
      <c r="AE179" s="13">
        <f>AE177+AE178</f>
        <v>87399.58200416608</v>
      </c>
      <c r="AF179" s="5"/>
      <c r="AG179" s="13">
        <f>AG177+AG178</f>
        <v>256461.52073474348</v>
      </c>
      <c r="AH179" s="5"/>
      <c r="AI179" s="13">
        <f>AI177+AI178</f>
        <v>6718478.35849467</v>
      </c>
      <c r="AJ179" s="54"/>
      <c r="AK179" s="54"/>
      <c r="AL179" s="54"/>
    </row>
    <row r="180" spans="1:38" ht="17.25">
      <c r="A180" s="7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5"/>
      <c r="AA180" s="4"/>
      <c r="AB180" s="5"/>
      <c r="AC180" s="4"/>
      <c r="AD180" s="4"/>
      <c r="AE180" s="4"/>
      <c r="AF180" s="5"/>
      <c r="AG180" s="4"/>
      <c r="AH180" s="5"/>
      <c r="AI180" s="4"/>
      <c r="AJ180" s="54"/>
      <c r="AK180" s="54"/>
      <c r="AL180" s="54"/>
    </row>
    <row r="181" spans="1:38" ht="25.5" customHeight="1">
      <c r="A181" s="7">
        <v>5</v>
      </c>
      <c r="B181" s="74" t="s">
        <v>34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5"/>
      <c r="AA181" s="4"/>
      <c r="AB181" s="5"/>
      <c r="AC181" s="4"/>
      <c r="AD181" s="4"/>
      <c r="AE181" s="4"/>
      <c r="AF181" s="5"/>
      <c r="AG181" s="4"/>
      <c r="AH181" s="5"/>
      <c r="AI181" s="4"/>
      <c r="AJ181" s="54"/>
      <c r="AK181" s="54"/>
      <c r="AL181" s="54"/>
    </row>
    <row r="182" spans="1:60" ht="25.5" customHeight="1">
      <c r="A182" s="7">
        <v>6</v>
      </c>
      <c r="B182" s="36" t="s">
        <v>35</v>
      </c>
      <c r="C182" s="13">
        <f aca="true" t="shared" si="18" ref="C182:C188">SUM(E182:AI182)</f>
        <v>0</v>
      </c>
      <c r="D182" s="13"/>
      <c r="E182" s="13">
        <f aca="true" t="shared" si="19" ref="E182:E187">E17</f>
        <v>0</v>
      </c>
      <c r="F182" s="13"/>
      <c r="G182" s="13">
        <f aca="true" t="shared" si="20" ref="G182:G187">G17</f>
        <v>0</v>
      </c>
      <c r="H182" s="13"/>
      <c r="I182" s="13">
        <f aca="true" t="shared" si="21" ref="I182:K187">I17</f>
        <v>0</v>
      </c>
      <c r="J182" s="13"/>
      <c r="K182" s="13">
        <f t="shared" si="21"/>
        <v>0</v>
      </c>
      <c r="L182" s="13"/>
      <c r="M182" s="13">
        <f aca="true" t="shared" si="22" ref="M182:M187">M17</f>
        <v>0</v>
      </c>
      <c r="N182" s="13"/>
      <c r="O182" s="13">
        <f aca="true" t="shared" si="23" ref="O182:O187">O17</f>
        <v>0</v>
      </c>
      <c r="P182" s="13"/>
      <c r="Q182" s="13">
        <f aca="true" t="shared" si="24" ref="Q182:Q187">Q17</f>
        <v>0</v>
      </c>
      <c r="R182" s="13"/>
      <c r="S182" s="13">
        <f aca="true" t="shared" si="25" ref="S182:S187">S17</f>
        <v>0</v>
      </c>
      <c r="T182" s="13"/>
      <c r="U182" s="13">
        <f aca="true" t="shared" si="26" ref="U182:U187">U17</f>
        <v>0</v>
      </c>
      <c r="V182" s="13"/>
      <c r="W182" s="13">
        <f aca="true" t="shared" si="27" ref="W182:W187">W17</f>
        <v>0</v>
      </c>
      <c r="X182" s="13"/>
      <c r="Y182" s="13">
        <f aca="true" t="shared" si="28" ref="Y182:Y187">Y17</f>
        <v>0</v>
      </c>
      <c r="Z182" s="5"/>
      <c r="AA182" s="13">
        <f aca="true" t="shared" si="29" ref="AA182:AA187">AA17</f>
        <v>0</v>
      </c>
      <c r="AB182" s="5"/>
      <c r="AC182" s="13">
        <f aca="true" t="shared" si="30" ref="AC182:AC187">AC17</f>
        <v>0</v>
      </c>
      <c r="AD182" s="13"/>
      <c r="AE182" s="13">
        <f aca="true" t="shared" si="31" ref="AE182:AE187">AE17</f>
        <v>0</v>
      </c>
      <c r="AF182" s="5"/>
      <c r="AG182" s="13">
        <f aca="true" t="shared" si="32" ref="AG182:AG187">AG17</f>
        <v>0</v>
      </c>
      <c r="AH182" s="5"/>
      <c r="AI182" s="13">
        <f aca="true" t="shared" si="33" ref="AI182:AI187">AI17</f>
        <v>0</v>
      </c>
      <c r="AJ182" s="54"/>
      <c r="AK182" s="54"/>
      <c r="AL182" s="54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1:38" ht="25.5" customHeight="1">
      <c r="A183" s="7">
        <v>7</v>
      </c>
      <c r="B183" s="36" t="s">
        <v>36</v>
      </c>
      <c r="C183" s="13">
        <f t="shared" si="18"/>
        <v>72124723.48714304</v>
      </c>
      <c r="D183" s="13"/>
      <c r="E183" s="13">
        <f t="shared" si="19"/>
        <v>37882076.41283459</v>
      </c>
      <c r="F183" s="13"/>
      <c r="G183" s="13">
        <f t="shared" si="20"/>
        <v>75456.72699943396</v>
      </c>
      <c r="H183" s="13"/>
      <c r="I183" s="13">
        <f t="shared" si="21"/>
        <v>44354.38027136806</v>
      </c>
      <c r="J183" s="13"/>
      <c r="K183" s="13">
        <f t="shared" si="21"/>
        <v>183251.07098574136</v>
      </c>
      <c r="L183" s="13"/>
      <c r="M183" s="13">
        <f t="shared" si="22"/>
        <v>2816918.7647691043</v>
      </c>
      <c r="N183" s="13"/>
      <c r="O183" s="13">
        <f t="shared" si="23"/>
        <v>8306640.686145502</v>
      </c>
      <c r="P183" s="13"/>
      <c r="Q183" s="13">
        <f t="shared" si="24"/>
        <v>9684787.75341634</v>
      </c>
      <c r="R183" s="13"/>
      <c r="S183" s="13">
        <f t="shared" si="25"/>
        <v>4478221.054043801</v>
      </c>
      <c r="T183" s="13"/>
      <c r="U183" s="13">
        <f t="shared" si="26"/>
        <v>2111680.9812417245</v>
      </c>
      <c r="V183" s="13"/>
      <c r="W183" s="13">
        <f t="shared" si="27"/>
        <v>2094054.3743228004</v>
      </c>
      <c r="X183" s="13"/>
      <c r="Y183" s="13">
        <f t="shared" si="28"/>
        <v>972328.8976076217</v>
      </c>
      <c r="Z183" s="5"/>
      <c r="AA183" s="13">
        <f t="shared" si="29"/>
        <v>1512945.1004776761</v>
      </c>
      <c r="AB183" s="5"/>
      <c r="AC183" s="13">
        <f t="shared" si="30"/>
        <v>221276.02183517566</v>
      </c>
      <c r="AD183" s="13"/>
      <c r="AE183" s="13">
        <f t="shared" si="31"/>
        <v>33943.30152511272</v>
      </c>
      <c r="AF183" s="5"/>
      <c r="AG183" s="13">
        <f t="shared" si="32"/>
        <v>61449.87877428347</v>
      </c>
      <c r="AH183" s="5"/>
      <c r="AI183" s="13">
        <f t="shared" si="33"/>
        <v>1645338.0818927654</v>
      </c>
      <c r="AJ183" s="54"/>
      <c r="AK183" s="54"/>
      <c r="AL183" s="54"/>
    </row>
    <row r="184" spans="1:38" ht="25.5" customHeight="1">
      <c r="A184" s="7">
        <v>8</v>
      </c>
      <c r="B184" s="36" t="s">
        <v>37</v>
      </c>
      <c r="C184" s="13">
        <f t="shared" si="18"/>
        <v>41853490.40771723</v>
      </c>
      <c r="D184" s="13"/>
      <c r="E184" s="13">
        <f t="shared" si="19"/>
        <v>15137964.332277779</v>
      </c>
      <c r="F184" s="13"/>
      <c r="G184" s="13">
        <f t="shared" si="20"/>
        <v>24103.996994725727</v>
      </c>
      <c r="H184" s="13"/>
      <c r="I184" s="13">
        <f t="shared" si="21"/>
        <v>44523.414672809115</v>
      </c>
      <c r="J184" s="13"/>
      <c r="K184" s="13">
        <f t="shared" si="21"/>
        <v>58881.191689306</v>
      </c>
      <c r="L184" s="13"/>
      <c r="M184" s="13">
        <f t="shared" si="22"/>
        <v>1217025.3909571476</v>
      </c>
      <c r="N184" s="13"/>
      <c r="O184" s="13">
        <f t="shared" si="23"/>
        <v>5302187.704494551</v>
      </c>
      <c r="P184" s="13"/>
      <c r="Q184" s="13">
        <f t="shared" si="24"/>
        <v>7735218.626516029</v>
      </c>
      <c r="R184" s="13"/>
      <c r="S184" s="13">
        <f t="shared" si="25"/>
        <v>4051502.1403730344</v>
      </c>
      <c r="T184" s="13"/>
      <c r="U184" s="13">
        <f t="shared" si="26"/>
        <v>2112384.947860683</v>
      </c>
      <c r="V184" s="13"/>
      <c r="W184" s="13">
        <f t="shared" si="27"/>
        <v>2054798.4230639394</v>
      </c>
      <c r="X184" s="13"/>
      <c r="Y184" s="13">
        <f t="shared" si="28"/>
        <v>934854.9995346278</v>
      </c>
      <c r="Z184" s="5"/>
      <c r="AA184" s="13">
        <f t="shared" si="29"/>
        <v>1005853.3898748319</v>
      </c>
      <c r="AB184" s="5"/>
      <c r="AC184" s="13">
        <f t="shared" si="30"/>
        <v>392052.47283494973</v>
      </c>
      <c r="AD184" s="13"/>
      <c r="AE184" s="13">
        <f t="shared" si="31"/>
        <v>26015.43983849077</v>
      </c>
      <c r="AF184" s="5"/>
      <c r="AG184" s="13">
        <f t="shared" si="32"/>
        <v>68106.09065185116</v>
      </c>
      <c r="AH184" s="5"/>
      <c r="AI184" s="13">
        <f t="shared" si="33"/>
        <v>1688017.8460824664</v>
      </c>
      <c r="AJ184" s="54"/>
      <c r="AK184" s="54"/>
      <c r="AL184" s="54"/>
    </row>
    <row r="185" spans="1:38" ht="25.5" customHeight="1">
      <c r="A185" s="7">
        <v>9</v>
      </c>
      <c r="B185" s="36" t="s">
        <v>38</v>
      </c>
      <c r="C185" s="13">
        <f t="shared" si="18"/>
        <v>1837602.7199999997</v>
      </c>
      <c r="D185" s="13"/>
      <c r="E185" s="13">
        <f t="shared" si="19"/>
        <v>285002.8293894292</v>
      </c>
      <c r="F185" s="13"/>
      <c r="G185" s="13">
        <f t="shared" si="20"/>
        <v>0</v>
      </c>
      <c r="H185" s="13"/>
      <c r="I185" s="13">
        <f t="shared" si="21"/>
        <v>2545.2960908313953</v>
      </c>
      <c r="J185" s="13"/>
      <c r="K185" s="13">
        <f t="shared" si="21"/>
        <v>0</v>
      </c>
      <c r="L185" s="13"/>
      <c r="M185" s="13">
        <f t="shared" si="22"/>
        <v>26089.731467188023</v>
      </c>
      <c r="N185" s="13"/>
      <c r="O185" s="13">
        <f t="shared" si="23"/>
        <v>219128.3406646726</v>
      </c>
      <c r="P185" s="13"/>
      <c r="Q185" s="13">
        <f t="shared" si="24"/>
        <v>387503.67770345655</v>
      </c>
      <c r="R185" s="13"/>
      <c r="S185" s="13">
        <f t="shared" si="25"/>
        <v>219957.4299224718</v>
      </c>
      <c r="T185" s="13"/>
      <c r="U185" s="13">
        <f t="shared" si="26"/>
        <v>121267.72574512206</v>
      </c>
      <c r="V185" s="13"/>
      <c r="W185" s="13">
        <f t="shared" si="27"/>
        <v>185926.44033081672</v>
      </c>
      <c r="X185" s="13"/>
      <c r="Y185" s="13">
        <f t="shared" si="28"/>
        <v>82925.98870507549</v>
      </c>
      <c r="Z185" s="5"/>
      <c r="AA185" s="13">
        <f t="shared" si="29"/>
        <v>152804.96093055047</v>
      </c>
      <c r="AB185" s="5"/>
      <c r="AC185" s="13">
        <f t="shared" si="30"/>
        <v>0.0014459965304349386</v>
      </c>
      <c r="AD185" s="13"/>
      <c r="AE185" s="13">
        <f t="shared" si="31"/>
        <v>1163.3809258192578</v>
      </c>
      <c r="AF185" s="5"/>
      <c r="AG185" s="13">
        <f t="shared" si="32"/>
        <v>3747.767637796777</v>
      </c>
      <c r="AH185" s="5"/>
      <c r="AI185" s="13">
        <f t="shared" si="33"/>
        <v>149539.14904077316</v>
      </c>
      <c r="AJ185" s="54"/>
      <c r="AK185" s="54"/>
      <c r="AL185" s="54"/>
    </row>
    <row r="186" spans="1:38" ht="25.5" customHeight="1">
      <c r="A186" s="7">
        <v>10</v>
      </c>
      <c r="B186" s="36" t="s">
        <v>39</v>
      </c>
      <c r="C186" s="13">
        <f t="shared" si="18"/>
        <v>9778750.251775956</v>
      </c>
      <c r="D186" s="13"/>
      <c r="E186" s="13">
        <f t="shared" si="19"/>
        <v>3536870.4278566428</v>
      </c>
      <c r="F186" s="13"/>
      <c r="G186" s="13">
        <f t="shared" si="20"/>
        <v>5631.715882829209</v>
      </c>
      <c r="H186" s="13"/>
      <c r="I186" s="13">
        <f t="shared" si="21"/>
        <v>10402.557784317514</v>
      </c>
      <c r="J186" s="13"/>
      <c r="K186" s="13">
        <f t="shared" si="21"/>
        <v>13757.14336958865</v>
      </c>
      <c r="L186" s="13"/>
      <c r="M186" s="13">
        <f t="shared" si="22"/>
        <v>284348.7420596479</v>
      </c>
      <c r="N186" s="13"/>
      <c r="O186" s="13">
        <f t="shared" si="23"/>
        <v>1238815.8991090795</v>
      </c>
      <c r="P186" s="13"/>
      <c r="Q186" s="13">
        <f t="shared" si="24"/>
        <v>1807275.100707933</v>
      </c>
      <c r="R186" s="13"/>
      <c r="S186" s="13">
        <f t="shared" si="25"/>
        <v>946602.7131619703</v>
      </c>
      <c r="T186" s="13"/>
      <c r="U186" s="13">
        <f t="shared" si="26"/>
        <v>493542.70431246044</v>
      </c>
      <c r="V186" s="13"/>
      <c r="W186" s="13">
        <f t="shared" si="27"/>
        <v>480088.05003227113</v>
      </c>
      <c r="X186" s="13"/>
      <c r="Y186" s="13">
        <f t="shared" si="28"/>
        <v>218421.77254558535</v>
      </c>
      <c r="Z186" s="5"/>
      <c r="AA186" s="13">
        <f t="shared" si="29"/>
        <v>235010.00737741534</v>
      </c>
      <c r="AB186" s="5"/>
      <c r="AC186" s="13">
        <f t="shared" si="30"/>
        <v>91600.08353179668</v>
      </c>
      <c r="AD186" s="13"/>
      <c r="AE186" s="13">
        <f t="shared" si="31"/>
        <v>6078.309990217592</v>
      </c>
      <c r="AF186" s="5"/>
      <c r="AG186" s="13">
        <f t="shared" si="32"/>
        <v>15912.470970078644</v>
      </c>
      <c r="AH186" s="5"/>
      <c r="AI186" s="13">
        <f t="shared" si="33"/>
        <v>394392.5530841175</v>
      </c>
      <c r="AJ186" s="54"/>
      <c r="AK186" s="54"/>
      <c r="AL186" s="54"/>
    </row>
    <row r="187" spans="1:38" ht="25.5" customHeight="1">
      <c r="A187" s="7">
        <v>11</v>
      </c>
      <c r="B187" s="36" t="s">
        <v>40</v>
      </c>
      <c r="C187" s="13">
        <f t="shared" si="18"/>
        <v>1052682.921344249</v>
      </c>
      <c r="D187" s="13"/>
      <c r="E187" s="13">
        <f t="shared" si="19"/>
        <v>418317.92653999984</v>
      </c>
      <c r="F187" s="13"/>
      <c r="G187" s="13">
        <f t="shared" si="20"/>
        <v>712.8641628601806</v>
      </c>
      <c r="H187" s="13"/>
      <c r="I187" s="13">
        <f t="shared" si="21"/>
        <v>990.0795749596242</v>
      </c>
      <c r="J187" s="13"/>
      <c r="K187" s="13">
        <f t="shared" si="21"/>
        <v>1869.9338207526232</v>
      </c>
      <c r="L187" s="13"/>
      <c r="M187" s="13">
        <f t="shared" si="22"/>
        <v>34360.074755260015</v>
      </c>
      <c r="N187" s="13"/>
      <c r="O187" s="13">
        <f t="shared" si="23"/>
        <v>133621.02561776614</v>
      </c>
      <c r="P187" s="13"/>
      <c r="Q187" s="13">
        <f t="shared" si="24"/>
        <v>183922.9722601046</v>
      </c>
      <c r="R187" s="13"/>
      <c r="S187" s="13">
        <f t="shared" si="25"/>
        <v>93476.25387238587</v>
      </c>
      <c r="T187" s="13"/>
      <c r="U187" s="13">
        <f t="shared" si="26"/>
        <v>47558.81326358211</v>
      </c>
      <c r="V187" s="13"/>
      <c r="W187" s="13">
        <f t="shared" si="27"/>
        <v>44882.109964645344</v>
      </c>
      <c r="X187" s="13"/>
      <c r="Y187" s="13">
        <f t="shared" si="28"/>
        <v>20771.102728160775</v>
      </c>
      <c r="Z187" s="5"/>
      <c r="AA187" s="13">
        <f t="shared" si="29"/>
        <v>25663.9083752899</v>
      </c>
      <c r="AB187" s="5"/>
      <c r="AC187" s="13">
        <f t="shared" si="30"/>
        <v>7348.425641465569</v>
      </c>
      <c r="AD187" s="13"/>
      <c r="AE187" s="13">
        <f t="shared" si="31"/>
        <v>626.1031842511375</v>
      </c>
      <c r="AF187" s="5"/>
      <c r="AG187" s="13">
        <f t="shared" si="32"/>
        <v>1491.432797006621</v>
      </c>
      <c r="AH187" s="5"/>
      <c r="AI187" s="13">
        <f t="shared" si="33"/>
        <v>37069.89478575885</v>
      </c>
      <c r="AJ187" s="54"/>
      <c r="AK187" s="54"/>
      <c r="AL187" s="54"/>
    </row>
    <row r="188" spans="1:38" ht="25.5" customHeight="1">
      <c r="A188" s="7">
        <v>12</v>
      </c>
      <c r="B188" s="36" t="s">
        <v>153</v>
      </c>
      <c r="C188" s="13">
        <f t="shared" si="18"/>
        <v>-480321.33785999997</v>
      </c>
      <c r="D188" s="13"/>
      <c r="E188" s="13">
        <f>E23</f>
        <v>-434216.8643672819</v>
      </c>
      <c r="F188" s="13"/>
      <c r="G188" s="13">
        <f>G23</f>
        <v>-1015.0986246406248</v>
      </c>
      <c r="H188" s="13"/>
      <c r="I188" s="13">
        <f>I23</f>
        <v>-89.31733708430079</v>
      </c>
      <c r="J188" s="13"/>
      <c r="K188" s="13">
        <f>K23</f>
        <v>-1122.8465233454956</v>
      </c>
      <c r="L188" s="13"/>
      <c r="M188" s="13">
        <f>M23</f>
        <v>-14781.428564322914</v>
      </c>
      <c r="N188" s="13"/>
      <c r="O188" s="13">
        <f>O23</f>
        <v>-18895.390156247933</v>
      </c>
      <c r="P188" s="13"/>
      <c r="Q188" s="13">
        <f>Q23</f>
        <v>-8596.639475043285</v>
      </c>
      <c r="R188" s="13"/>
      <c r="S188" s="13">
        <f>S23</f>
        <v>-1173.4700849686064</v>
      </c>
      <c r="T188" s="13"/>
      <c r="U188" s="13">
        <f>U23</f>
        <v>-174.38146764077771</v>
      </c>
      <c r="V188" s="13"/>
      <c r="W188" s="13">
        <f>W23</f>
        <v>-146.73562520992274</v>
      </c>
      <c r="X188" s="13"/>
      <c r="Y188" s="13">
        <f>Y23</f>
        <v>-36.86112324114001</v>
      </c>
      <c r="Z188" s="5"/>
      <c r="AA188" s="13">
        <f>AA23</f>
        <v>-19.848297129844617</v>
      </c>
      <c r="AB188" s="5"/>
      <c r="AC188" s="13">
        <f>AC23</f>
        <v>-4.253206527823847</v>
      </c>
      <c r="AD188" s="13"/>
      <c r="AE188" s="13">
        <f>AE23</f>
        <v>-21.266032639119235</v>
      </c>
      <c r="AF188" s="5"/>
      <c r="AG188" s="13">
        <f>AG23</f>
        <v>-15.595090602020772</v>
      </c>
      <c r="AH188" s="5"/>
      <c r="AI188" s="13">
        <f>AI23</f>
        <v>-11.341884074196926</v>
      </c>
      <c r="AJ188" s="54"/>
      <c r="AK188" s="54"/>
      <c r="AL188" s="54"/>
    </row>
    <row r="189" spans="1:38" ht="25.5" customHeight="1">
      <c r="A189" s="7">
        <v>13</v>
      </c>
      <c r="B189" s="36" t="s">
        <v>98</v>
      </c>
      <c r="C189" s="13">
        <f>SUM(C181:C188)</f>
        <v>126166928.45012046</v>
      </c>
      <c r="D189" s="13"/>
      <c r="E189" s="13">
        <f>SUM(E181:E188)</f>
        <v>56826015.06453117</v>
      </c>
      <c r="F189" s="13"/>
      <c r="G189" s="13">
        <f>SUM(G181:G188)</f>
        <v>104890.20541520846</v>
      </c>
      <c r="H189" s="13"/>
      <c r="I189" s="13">
        <f>SUM(I181:I188)</f>
        <v>102726.41105720142</v>
      </c>
      <c r="J189" s="13"/>
      <c r="K189" s="13">
        <f>SUM(K181:K188)</f>
        <v>256636.49334204313</v>
      </c>
      <c r="L189" s="13"/>
      <c r="M189" s="13">
        <f>SUM(M181:M188)</f>
        <v>4363961.275444024</v>
      </c>
      <c r="N189" s="13"/>
      <c r="O189" s="13">
        <f>SUM(O181:O188)</f>
        <v>15181498.26587532</v>
      </c>
      <c r="P189" s="13"/>
      <c r="Q189" s="13">
        <f>SUM(Q181:Q188)</f>
        <v>19790111.49112882</v>
      </c>
      <c r="R189" s="13"/>
      <c r="S189" s="13">
        <f>SUM(S181:S188)</f>
        <v>9788586.121288694</v>
      </c>
      <c r="T189" s="13"/>
      <c r="U189" s="13">
        <f>SUM(U181:U188)</f>
        <v>4886260.790955932</v>
      </c>
      <c r="V189" s="13"/>
      <c r="W189" s="13">
        <f>SUM(W181:W188)</f>
        <v>4859602.662089263</v>
      </c>
      <c r="X189" s="13"/>
      <c r="Y189" s="13">
        <f>SUM(Y181:Y188)</f>
        <v>2229265.89999783</v>
      </c>
      <c r="Z189" s="5"/>
      <c r="AA189" s="13">
        <f>SUM(AA181:AA188)</f>
        <v>2932257.518738634</v>
      </c>
      <c r="AB189" s="5"/>
      <c r="AC189" s="13">
        <f>SUM(AC181:AC188)</f>
        <v>712272.7520828565</v>
      </c>
      <c r="AD189" s="13"/>
      <c r="AE189" s="13">
        <f>SUM(AE181:AE188)</f>
        <v>67805.26943125237</v>
      </c>
      <c r="AF189" s="5"/>
      <c r="AG189" s="13">
        <f>SUM(AG181:AG188)</f>
        <v>150692.04574041464</v>
      </c>
      <c r="AH189" s="5"/>
      <c r="AI189" s="13">
        <f>SUM(AI181:AI188)</f>
        <v>3914346.183001807</v>
      </c>
      <c r="AJ189" s="54"/>
      <c r="AK189" s="54"/>
      <c r="AL189" s="54"/>
    </row>
    <row r="190" spans="1:38" ht="17.25">
      <c r="A190" s="7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5"/>
      <c r="AA190" s="4"/>
      <c r="AB190" s="5"/>
      <c r="AC190" s="4"/>
      <c r="AD190" s="4"/>
      <c r="AE190" s="4"/>
      <c r="AF190" s="5"/>
      <c r="AG190" s="4"/>
      <c r="AH190" s="5"/>
      <c r="AI190" s="4"/>
      <c r="AJ190" s="54"/>
      <c r="AK190" s="54"/>
      <c r="AL190" s="54"/>
    </row>
    <row r="191" spans="1:38" ht="25.5" customHeight="1">
      <c r="A191" s="7">
        <v>14</v>
      </c>
      <c r="B191" s="36" t="s">
        <v>47</v>
      </c>
      <c r="C191" s="13">
        <f>C179-C189</f>
        <v>64391561.238421604</v>
      </c>
      <c r="D191" s="13"/>
      <c r="E191" s="13">
        <f>E179-E189</f>
        <v>22994620.330234446</v>
      </c>
      <c r="F191" s="13"/>
      <c r="G191" s="13">
        <f>G179-G189</f>
        <v>85726.42960778096</v>
      </c>
      <c r="H191" s="13"/>
      <c r="I191" s="13">
        <f>I179-I189</f>
        <v>69226.21385817678</v>
      </c>
      <c r="J191" s="13"/>
      <c r="K191" s="13">
        <f>K179-K189</f>
        <v>100205.79009268939</v>
      </c>
      <c r="L191" s="13"/>
      <c r="M191" s="13">
        <f>M179-M189</f>
        <v>1855336.5973028475</v>
      </c>
      <c r="N191" s="13"/>
      <c r="O191" s="13">
        <f>O179-O189</f>
        <v>8172664.735940188</v>
      </c>
      <c r="P191" s="13"/>
      <c r="Q191" s="13">
        <f>Q179-Q189</f>
        <v>12238163.175107758</v>
      </c>
      <c r="R191" s="13"/>
      <c r="S191" s="13">
        <f>S179-S189</f>
        <v>6428586.16502917</v>
      </c>
      <c r="T191" s="13"/>
      <c r="U191" s="13">
        <f>U179-U189</f>
        <v>2069972.923111733</v>
      </c>
      <c r="V191" s="13"/>
      <c r="W191" s="13">
        <f>W179-W189</f>
        <v>3191524.4219962284</v>
      </c>
      <c r="X191" s="13"/>
      <c r="Y191" s="13">
        <f>Y179-Y189</f>
        <v>1453153.7089778273</v>
      </c>
      <c r="Z191" s="5"/>
      <c r="AA191" s="13">
        <f>AA179-AA189</f>
        <v>1927874.1117155673</v>
      </c>
      <c r="AB191" s="5"/>
      <c r="AC191" s="13">
        <f>AC179-AC189</f>
        <v>875010.6723871148</v>
      </c>
      <c r="AD191" s="13"/>
      <c r="AE191" s="13">
        <f>AE179-AE189</f>
        <v>19594.31257291371</v>
      </c>
      <c r="AF191" s="5"/>
      <c r="AG191" s="13">
        <f>AG179-AG189</f>
        <v>105769.47499432883</v>
      </c>
      <c r="AH191" s="5"/>
      <c r="AI191" s="13">
        <f>AI179-AI189</f>
        <v>2804132.175492863</v>
      </c>
      <c r="AJ191" s="54"/>
      <c r="AK191" s="54"/>
      <c r="AL191" s="54"/>
    </row>
    <row r="192" spans="1:38" ht="25.5" customHeight="1">
      <c r="A192" s="7">
        <v>15</v>
      </c>
      <c r="B192" s="36" t="s">
        <v>41</v>
      </c>
      <c r="C192" s="13">
        <f>SUM(E192:AI192)</f>
        <v>16720164.237212235</v>
      </c>
      <c r="D192" s="13"/>
      <c r="E192" s="13">
        <f>E25</f>
        <v>5983667.432383541</v>
      </c>
      <c r="F192" s="13"/>
      <c r="G192" s="13">
        <f>G25</f>
        <v>9427.653458724897</v>
      </c>
      <c r="H192" s="13"/>
      <c r="I192" s="13">
        <f>I25</f>
        <v>17975.435395397013</v>
      </c>
      <c r="J192" s="13"/>
      <c r="K192" s="13">
        <f>K25</f>
        <v>23029.851464261093</v>
      </c>
      <c r="L192" s="13"/>
      <c r="M192" s="13">
        <f>M25</f>
        <v>481760.90071685775</v>
      </c>
      <c r="N192" s="13"/>
      <c r="O192" s="13">
        <f>O25</f>
        <v>2122132.6255123513</v>
      </c>
      <c r="P192" s="13"/>
      <c r="Q192" s="13">
        <f>Q25</f>
        <v>3110877.563417484</v>
      </c>
      <c r="R192" s="13"/>
      <c r="S192" s="13">
        <f>S25</f>
        <v>1633142.2149034853</v>
      </c>
      <c r="T192" s="13"/>
      <c r="U192" s="13">
        <f>U25</f>
        <v>852945.0107627636</v>
      </c>
      <c r="V192" s="13"/>
      <c r="W192" s="13">
        <f>W25</f>
        <v>828718.455958844</v>
      </c>
      <c r="X192" s="13"/>
      <c r="Y192" s="13">
        <f>Y25</f>
        <v>376973.4442256858</v>
      </c>
      <c r="Z192" s="5"/>
      <c r="AA192" s="13">
        <f>AA25</f>
        <v>405469.7944340393</v>
      </c>
      <c r="AB192" s="5"/>
      <c r="AC192" s="13">
        <f>AC25</f>
        <v>157303.57392204</v>
      </c>
      <c r="AD192" s="13"/>
      <c r="AE192" s="13">
        <f>AE25</f>
        <v>10431.7986516417</v>
      </c>
      <c r="AF192" s="5"/>
      <c r="AG192" s="13">
        <f>AG25</f>
        <v>27464.341303724905</v>
      </c>
      <c r="AH192" s="5"/>
      <c r="AI192" s="13">
        <f>AI25</f>
        <v>678844.140701394</v>
      </c>
      <c r="AJ192" s="54"/>
      <c r="AK192" s="54"/>
      <c r="AL192" s="54"/>
    </row>
    <row r="193" spans="1:38" ht="17.25">
      <c r="A193" s="7"/>
      <c r="B193" s="4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5"/>
      <c r="AA193" s="4"/>
      <c r="AB193" s="5"/>
      <c r="AC193" s="4"/>
      <c r="AD193" s="4"/>
      <c r="AE193" s="4"/>
      <c r="AF193" s="5"/>
      <c r="AG193" s="4"/>
      <c r="AH193" s="5"/>
      <c r="AI193" s="4"/>
      <c r="AJ193" s="54"/>
      <c r="AK193" s="54"/>
      <c r="AL193" s="54"/>
    </row>
    <row r="194" spans="1:38" ht="17.25">
      <c r="A194" s="7">
        <v>16</v>
      </c>
      <c r="B194" s="85" t="s">
        <v>42</v>
      </c>
      <c r="C194" s="86">
        <f>C179-C189-C192</f>
        <v>47671397.00120937</v>
      </c>
      <c r="D194" s="86"/>
      <c r="E194" s="86">
        <f>E179-E189-E192</f>
        <v>17010952.897850905</v>
      </c>
      <c r="F194" s="86"/>
      <c r="G194" s="86">
        <f>G179-G189-G192</f>
        <v>76298.77614905607</v>
      </c>
      <c r="H194" s="86"/>
      <c r="I194" s="86">
        <f>I179-I189-I192</f>
        <v>51250.77846277977</v>
      </c>
      <c r="J194" s="86"/>
      <c r="K194" s="86">
        <f>K179-K189-K192</f>
        <v>77175.9386284283</v>
      </c>
      <c r="L194" s="86"/>
      <c r="M194" s="86">
        <f>M179-M189-M192</f>
        <v>1373575.6965859898</v>
      </c>
      <c r="N194" s="86"/>
      <c r="O194" s="86">
        <f>O179-O189-O192</f>
        <v>6050532.110427837</v>
      </c>
      <c r="P194" s="86"/>
      <c r="Q194" s="86">
        <f>Q179-Q189-Q192</f>
        <v>9127285.611690275</v>
      </c>
      <c r="R194" s="86"/>
      <c r="S194" s="86">
        <f>S179-S189-S192</f>
        <v>4795443.950125685</v>
      </c>
      <c r="T194" s="86"/>
      <c r="U194" s="86">
        <f>U179-U189-U192</f>
        <v>1217027.9123489694</v>
      </c>
      <c r="V194" s="86"/>
      <c r="W194" s="86">
        <f>W179-W189-W192</f>
        <v>2362805.9660373842</v>
      </c>
      <c r="X194" s="86"/>
      <c r="Y194" s="86">
        <f>Y179-Y189-Y192</f>
        <v>1076180.2647521417</v>
      </c>
      <c r="Z194" s="87"/>
      <c r="AA194" s="86">
        <f>AA179-AA189-AA192</f>
        <v>1522404.317281528</v>
      </c>
      <c r="AB194" s="87"/>
      <c r="AC194" s="86">
        <f>AC179-AC189-AC192</f>
        <v>717707.0984650748</v>
      </c>
      <c r="AD194" s="87"/>
      <c r="AE194" s="86">
        <f>AE179-AE189-AE192</f>
        <v>9162.51392127201</v>
      </c>
      <c r="AF194" s="87"/>
      <c r="AG194" s="86">
        <f>AG179-AG189-AG192</f>
        <v>78305.13369060392</v>
      </c>
      <c r="AH194" s="87"/>
      <c r="AI194" s="86">
        <f>AI179-AI189-AI192</f>
        <v>2125288.034791469</v>
      </c>
      <c r="AJ194" s="54"/>
      <c r="AK194" s="54"/>
      <c r="AL194" s="54"/>
    </row>
    <row r="195" spans="1:38" ht="18" thickBot="1">
      <c r="A195" s="7"/>
      <c r="B195" s="88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90"/>
      <c r="AA195" s="89"/>
      <c r="AB195" s="90"/>
      <c r="AC195" s="89"/>
      <c r="AD195" s="90"/>
      <c r="AE195" s="89"/>
      <c r="AF195" s="90"/>
      <c r="AG195" s="89"/>
      <c r="AH195" s="90"/>
      <c r="AI195" s="89"/>
      <c r="AJ195" s="54"/>
      <c r="AK195" s="54"/>
      <c r="AL195" s="54"/>
    </row>
    <row r="196" spans="1:38" ht="18" thickTop="1">
      <c r="A196" s="7"/>
      <c r="B196" s="74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45"/>
      <c r="AA196" s="91"/>
      <c r="AB196" s="45"/>
      <c r="AC196" s="91"/>
      <c r="AD196" s="91"/>
      <c r="AE196" s="45"/>
      <c r="AF196" s="45"/>
      <c r="AG196" s="45"/>
      <c r="AH196" s="45"/>
      <c r="AI196" s="45"/>
      <c r="AJ196" s="54"/>
      <c r="AK196" s="54"/>
      <c r="AL196" s="54"/>
    </row>
    <row r="197" spans="1:38" ht="25.5" customHeight="1">
      <c r="A197" s="7">
        <v>17</v>
      </c>
      <c r="B197" s="74" t="s">
        <v>43</v>
      </c>
      <c r="C197" s="76">
        <f>SUM(E197:AI197)</f>
        <v>560844755.1474364</v>
      </c>
      <c r="D197" s="76"/>
      <c r="E197" s="76">
        <f>E16</f>
        <v>200710259.08525226</v>
      </c>
      <c r="F197" s="76"/>
      <c r="G197" s="76">
        <f>G16</f>
        <v>316231.941305083</v>
      </c>
      <c r="H197" s="76"/>
      <c r="I197" s="76">
        <f>I16</f>
        <v>602950.3370883684</v>
      </c>
      <c r="J197" s="76"/>
      <c r="K197" s="76">
        <f>K16</f>
        <v>772490.7017844502</v>
      </c>
      <c r="L197" s="76"/>
      <c r="M197" s="76">
        <f>M16</f>
        <v>16159714.137305867</v>
      </c>
      <c r="N197" s="76"/>
      <c r="O197" s="76">
        <f>O16</f>
        <v>71182730.9744358</v>
      </c>
      <c r="P197" s="76"/>
      <c r="Q197" s="76">
        <f>Q16</f>
        <v>104348219.34736156</v>
      </c>
      <c r="R197" s="76"/>
      <c r="S197" s="76">
        <f>S16</f>
        <v>54780517.26310089</v>
      </c>
      <c r="T197" s="76"/>
      <c r="U197" s="76">
        <f>U16</f>
        <v>28610349.09279268</v>
      </c>
      <c r="V197" s="76"/>
      <c r="W197" s="76">
        <f>W16</f>
        <v>27797717.350406423</v>
      </c>
      <c r="X197" s="76"/>
      <c r="Y197" s="76">
        <f>Y16</f>
        <v>12644826.690954281</v>
      </c>
      <c r="Z197" s="45"/>
      <c r="AA197" s="76">
        <f>AA16</f>
        <v>13600680.253662128</v>
      </c>
      <c r="AB197" s="45"/>
      <c r="AC197" s="76">
        <f>AC16</f>
        <v>5276436.472063785</v>
      </c>
      <c r="AD197" s="76"/>
      <c r="AE197" s="76">
        <f>AE16</f>
        <v>349914.0006954157</v>
      </c>
      <c r="AF197" s="45"/>
      <c r="AG197" s="76">
        <f>AG16</f>
        <v>921236.8703587216</v>
      </c>
      <c r="AH197" s="45"/>
      <c r="AI197" s="76">
        <f>AI16</f>
        <v>22770480.628868744</v>
      </c>
      <c r="AJ197" s="54"/>
      <c r="AK197" s="54"/>
      <c r="AL197" s="54"/>
    </row>
    <row r="198" spans="1:38" ht="25.5" customHeight="1">
      <c r="A198" s="7">
        <v>18</v>
      </c>
      <c r="B198" s="74" t="s">
        <v>44</v>
      </c>
      <c r="C198" s="92">
        <f>C194/C197</f>
        <v>0.08499927397676632</v>
      </c>
      <c r="D198" s="92"/>
      <c r="E198" s="92">
        <f>E194/E197</f>
        <v>0.08475377878230655</v>
      </c>
      <c r="F198" s="92"/>
      <c r="G198" s="92">
        <f>G194/G197</f>
        <v>0.2412747296625778</v>
      </c>
      <c r="H198" s="92"/>
      <c r="I198" s="92">
        <f>I194/I197</f>
        <v>0.08499999968532808</v>
      </c>
      <c r="J198" s="92"/>
      <c r="K198" s="92">
        <f>K194/K197</f>
        <v>0.09990533018734363</v>
      </c>
      <c r="L198" s="92"/>
      <c r="M198" s="92">
        <f>M194/M197</f>
        <v>0.08499999968532804</v>
      </c>
      <c r="N198" s="92"/>
      <c r="O198" s="92">
        <f>O194/O197</f>
        <v>0.08499999968532808</v>
      </c>
      <c r="P198" s="92"/>
      <c r="Q198" s="92">
        <f>Q194/Q197</f>
        <v>0.08746949079511109</v>
      </c>
      <c r="R198" s="92"/>
      <c r="S198" s="92">
        <f>S194/S197</f>
        <v>0.08753922360926307</v>
      </c>
      <c r="T198" s="92"/>
      <c r="U198" s="92">
        <f>U194/U197</f>
        <v>0.04253803085036647</v>
      </c>
      <c r="V198" s="92"/>
      <c r="W198" s="92">
        <f>W194/W197</f>
        <v>0.08499999968532805</v>
      </c>
      <c r="X198" s="92"/>
      <c r="Y198" s="92">
        <f>Y194/Y197</f>
        <v>0.08510834438893558</v>
      </c>
      <c r="Z198" s="45"/>
      <c r="AA198" s="92">
        <f>AA194/AA197</f>
        <v>0.11193589503522107</v>
      </c>
      <c r="AB198" s="45"/>
      <c r="AC198" s="92">
        <f>AC194/AC197</f>
        <v>0.13602117684255113</v>
      </c>
      <c r="AD198" s="92"/>
      <c r="AE198" s="92">
        <f>AE194/AE197</f>
        <v>0.026185045191282764</v>
      </c>
      <c r="AF198" s="45"/>
      <c r="AG198" s="92">
        <f>AG194/AG197</f>
        <v>0.08499999968532804</v>
      </c>
      <c r="AH198" s="45"/>
      <c r="AI198" s="92">
        <f>AI194/AI197</f>
        <v>0.09333522947675502</v>
      </c>
      <c r="AJ198" s="54"/>
      <c r="AK198" s="54"/>
      <c r="AL198" s="54"/>
    </row>
    <row r="199" spans="1:38" ht="17.25">
      <c r="A199" s="7"/>
      <c r="B199" s="36"/>
      <c r="C199" s="69"/>
      <c r="D199" s="69"/>
      <c r="E199" s="69"/>
      <c r="F199" s="69"/>
      <c r="G199" s="69"/>
      <c r="H199" s="69"/>
      <c r="I199" s="69"/>
      <c r="J199" s="69"/>
      <c r="K199" s="69"/>
      <c r="L199" s="94"/>
      <c r="M199" s="4"/>
      <c r="N199" s="4"/>
      <c r="O199" s="4"/>
      <c r="P199" s="4"/>
      <c r="Q199" s="4"/>
      <c r="R199" s="4"/>
      <c r="S199" s="5"/>
      <c r="T199" s="5"/>
      <c r="U199" s="70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4"/>
      <c r="AK199" s="54"/>
      <c r="AL199" s="54"/>
    </row>
    <row r="200" spans="1:38" ht="17.25">
      <c r="A200" s="7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4"/>
      <c r="AK200" s="54"/>
      <c r="AL200" s="54"/>
    </row>
    <row r="201" spans="1:38" ht="17.25">
      <c r="A201" s="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54"/>
      <c r="AK201" s="54"/>
      <c r="AL201" s="54"/>
    </row>
    <row r="202" spans="1:38" ht="17.25">
      <c r="A202" s="5"/>
      <c r="B202" s="4"/>
      <c r="C202" s="14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54"/>
      <c r="AK202" s="54"/>
      <c r="AL202" s="54"/>
    </row>
    <row r="203" spans="1:38" ht="17.25">
      <c r="A203" s="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54"/>
      <c r="AK203" s="54"/>
      <c r="AL203" s="54"/>
    </row>
    <row r="204" spans="1:38" ht="17.25">
      <c r="A204" s="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54"/>
      <c r="AK204" s="54"/>
      <c r="AL204" s="54"/>
    </row>
    <row r="205" spans="1:38" ht="17.25">
      <c r="A205" s="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54"/>
      <c r="AK205" s="54"/>
      <c r="AL205" s="54"/>
    </row>
    <row r="206" spans="1:38" ht="17.25">
      <c r="A206" s="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54"/>
      <c r="AK206" s="54"/>
      <c r="AL206" s="54"/>
    </row>
    <row r="207" spans="1:38" ht="17.25">
      <c r="A207" s="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54"/>
      <c r="AK207" s="54"/>
      <c r="AL207" s="54"/>
    </row>
    <row r="208" spans="1:38" ht="17.25">
      <c r="A208" s="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54"/>
      <c r="AK208" s="54"/>
      <c r="AL208" s="54"/>
    </row>
    <row r="209" spans="1:38" ht="17.25">
      <c r="A209" s="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54"/>
      <c r="AK209" s="54"/>
      <c r="AL209" s="54"/>
    </row>
    <row r="210" spans="1:38" ht="17.25">
      <c r="A210" s="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54"/>
      <c r="AK210" s="54"/>
      <c r="AL210" s="54"/>
    </row>
    <row r="211" spans="1:38" ht="17.25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54"/>
      <c r="AK211" s="54"/>
      <c r="AL211" s="54"/>
    </row>
    <row r="212" spans="1:38" ht="17.25">
      <c r="A212" s="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54"/>
      <c r="AK212" s="54"/>
      <c r="AL212" s="54"/>
    </row>
    <row r="213" spans="1:38" ht="17.25">
      <c r="A213" s="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4"/>
      <c r="AK213" s="54"/>
      <c r="AL213" s="54"/>
    </row>
    <row r="214" spans="1:38" ht="17.2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4"/>
      <c r="AK214" s="54"/>
      <c r="AL214" s="54"/>
    </row>
    <row r="215" spans="1:38" ht="17.25">
      <c r="A215" s="5"/>
      <c r="B215" s="71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1"/>
      <c r="N215" s="72"/>
      <c r="O215" s="72"/>
      <c r="P215" s="72"/>
      <c r="Q215" s="72"/>
      <c r="R215" s="72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54"/>
      <c r="AK215" s="54"/>
      <c r="AL215" s="54"/>
    </row>
    <row r="216" spans="1:38" ht="17.25">
      <c r="A216" s="5"/>
      <c r="B216" s="62" t="s">
        <v>180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  <c r="P216" s="5"/>
      <c r="Q216" s="4"/>
      <c r="R216" s="4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4"/>
      <c r="AK216" s="54"/>
      <c r="AL216" s="54"/>
    </row>
    <row r="217" spans="1:38" ht="17.25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4"/>
      <c r="AK217" s="54"/>
      <c r="AL217" s="54"/>
    </row>
    <row r="218" spans="1:38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4"/>
      <c r="AK218" s="54"/>
      <c r="AL218" s="54"/>
    </row>
    <row r="219" spans="1:38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4"/>
      <c r="AK219" s="54"/>
      <c r="AL219" s="54"/>
    </row>
    <row r="220" spans="1:38" ht="25.5" customHeight="1" thickBot="1">
      <c r="A220" s="54"/>
      <c r="B220" s="55" t="s">
        <v>188</v>
      </c>
      <c r="C220" s="56"/>
      <c r="D220" s="56"/>
      <c r="E220" s="54"/>
      <c r="F220" s="54"/>
      <c r="G220" s="54"/>
      <c r="H220" s="54"/>
      <c r="I220" s="16" t="s">
        <v>128</v>
      </c>
      <c r="J220" s="56"/>
      <c r="K220" s="56"/>
      <c r="L220" s="56"/>
      <c r="M220" s="54"/>
      <c r="N220" s="56"/>
      <c r="O220" s="54"/>
      <c r="P220" s="54"/>
      <c r="Q220" s="26" t="s">
        <v>144</v>
      </c>
      <c r="R220" s="56"/>
      <c r="S220" s="16"/>
      <c r="T220" s="54"/>
      <c r="U220" s="54"/>
      <c r="V220" s="54"/>
      <c r="W220" s="34"/>
      <c r="X220" s="34"/>
      <c r="Y220" s="16" t="s">
        <v>128</v>
      </c>
      <c r="Z220" s="54"/>
      <c r="AA220" s="54"/>
      <c r="AB220" s="54"/>
      <c r="AC220" s="54"/>
      <c r="AD220" s="54"/>
      <c r="AE220" s="55"/>
      <c r="AF220" s="54"/>
      <c r="AG220" s="26" t="s">
        <v>148</v>
      </c>
      <c r="AH220" s="34"/>
      <c r="AI220" s="54"/>
      <c r="AJ220" s="54"/>
      <c r="AK220" s="54"/>
      <c r="AL220" s="54"/>
    </row>
    <row r="221" spans="1:38" ht="17.25">
      <c r="A221" s="57"/>
      <c r="B221" s="58" t="s">
        <v>0</v>
      </c>
      <c r="C221" s="59"/>
      <c r="D221" s="59"/>
      <c r="E221" s="57"/>
      <c r="F221" s="57"/>
      <c r="G221" s="57"/>
      <c r="H221" s="57"/>
      <c r="I221" s="17"/>
      <c r="J221" s="59"/>
      <c r="K221" s="59"/>
      <c r="L221" s="59"/>
      <c r="M221" s="60"/>
      <c r="N221" s="59"/>
      <c r="O221" s="57"/>
      <c r="P221" s="57"/>
      <c r="Q221" s="19" t="s">
        <v>1</v>
      </c>
      <c r="R221" s="59"/>
      <c r="S221" s="17"/>
      <c r="T221" s="57"/>
      <c r="U221" s="57"/>
      <c r="V221" s="57"/>
      <c r="W221" s="60"/>
      <c r="X221" s="60"/>
      <c r="Y221" s="17"/>
      <c r="Z221" s="57"/>
      <c r="AA221" s="57"/>
      <c r="AB221" s="57"/>
      <c r="AC221" s="57"/>
      <c r="AD221" s="57"/>
      <c r="AE221" s="59"/>
      <c r="AF221" s="57"/>
      <c r="AG221" s="19" t="s">
        <v>1</v>
      </c>
      <c r="AH221" s="60"/>
      <c r="AI221" s="57"/>
      <c r="AJ221" s="54"/>
      <c r="AK221" s="54"/>
      <c r="AL221" s="54"/>
    </row>
    <row r="222" spans="1:38" ht="17.25">
      <c r="A222" s="5"/>
      <c r="B222" s="61" t="s">
        <v>67</v>
      </c>
      <c r="C222" s="4"/>
      <c r="D222" s="4"/>
      <c r="E222" s="5"/>
      <c r="F222" s="5"/>
      <c r="G222" s="5"/>
      <c r="H222" s="5"/>
      <c r="I222" s="18" t="s">
        <v>129</v>
      </c>
      <c r="J222" s="4"/>
      <c r="K222" s="4"/>
      <c r="L222" s="62"/>
      <c r="N222" s="4"/>
      <c r="O222" s="5"/>
      <c r="P222" s="5"/>
      <c r="Q222" s="27" t="s">
        <v>109</v>
      </c>
      <c r="R222" s="4"/>
      <c r="S222" s="7"/>
      <c r="T222" s="5"/>
      <c r="U222" s="5"/>
      <c r="V222" s="5"/>
      <c r="Y222" s="18" t="s">
        <v>129</v>
      </c>
      <c r="Z222" s="5"/>
      <c r="AA222" s="5"/>
      <c r="AB222" s="5"/>
      <c r="AC222" s="5"/>
      <c r="AD222" s="5"/>
      <c r="AE222" s="62"/>
      <c r="AF222" s="5"/>
      <c r="AG222" s="27" t="s">
        <v>109</v>
      </c>
      <c r="AI222" s="5"/>
      <c r="AJ222" s="54"/>
      <c r="AK222" s="54"/>
      <c r="AL222" s="54"/>
    </row>
    <row r="223" spans="1:38" ht="17.25">
      <c r="A223" s="5"/>
      <c r="B223" s="61" t="s">
        <v>118</v>
      </c>
      <c r="C223" s="4"/>
      <c r="D223" s="4"/>
      <c r="E223" s="5"/>
      <c r="F223" s="5"/>
      <c r="G223" s="5"/>
      <c r="H223" s="5"/>
      <c r="I223" s="18" t="s">
        <v>130</v>
      </c>
      <c r="J223" s="4"/>
      <c r="K223" s="4"/>
      <c r="L223" s="4"/>
      <c r="N223" s="4"/>
      <c r="O223" s="5"/>
      <c r="P223" s="5"/>
      <c r="Q223" s="27" t="s">
        <v>110</v>
      </c>
      <c r="R223" s="4"/>
      <c r="S223" s="18"/>
      <c r="T223" s="5"/>
      <c r="U223" s="5"/>
      <c r="V223" s="5"/>
      <c r="Y223" s="18" t="s">
        <v>130</v>
      </c>
      <c r="Z223" s="5"/>
      <c r="AA223" s="5"/>
      <c r="AB223" s="5"/>
      <c r="AC223" s="5"/>
      <c r="AD223" s="5"/>
      <c r="AE223" s="61"/>
      <c r="AF223" s="5"/>
      <c r="AG223" s="27" t="s">
        <v>110</v>
      </c>
      <c r="AI223" s="5"/>
      <c r="AJ223" s="54"/>
      <c r="AK223" s="54"/>
      <c r="AL223" s="54"/>
    </row>
    <row r="224" spans="1:38" ht="18" thickBot="1">
      <c r="A224" s="54"/>
      <c r="B224" s="54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4"/>
      <c r="P224" s="54"/>
      <c r="Q224" s="56"/>
      <c r="R224" s="56"/>
      <c r="S224" s="54"/>
      <c r="T224" s="54"/>
      <c r="U224" s="54"/>
      <c r="V224" s="54"/>
      <c r="W224" s="34"/>
      <c r="X224" s="34"/>
      <c r="Y224" s="56"/>
      <c r="Z224" s="54"/>
      <c r="AA224" s="54"/>
      <c r="AB224" s="54"/>
      <c r="AC224" s="54"/>
      <c r="AD224" s="54"/>
      <c r="AE224" s="64"/>
      <c r="AF224" s="54"/>
      <c r="AG224" s="34"/>
      <c r="AH224" s="34"/>
      <c r="AI224" s="54"/>
      <c r="AJ224" s="54"/>
      <c r="AK224" s="54"/>
      <c r="AL224" s="54"/>
    </row>
    <row r="225" spans="1:38" ht="25.5" customHeight="1">
      <c r="A225" s="57"/>
      <c r="B225" s="59"/>
      <c r="C225" s="59"/>
      <c r="D225" s="59"/>
      <c r="E225" s="59"/>
      <c r="F225" s="59"/>
      <c r="G225" s="59"/>
      <c r="H225" s="59"/>
      <c r="I225" s="65" t="s">
        <v>2</v>
      </c>
      <c r="J225" s="59"/>
      <c r="K225" s="59"/>
      <c r="L225" s="59"/>
      <c r="M225" s="59"/>
      <c r="N225" s="59"/>
      <c r="O225" s="59"/>
      <c r="P225" s="59"/>
      <c r="Q225" s="59"/>
      <c r="R225" s="59"/>
      <c r="S225" s="57"/>
      <c r="T225" s="57"/>
      <c r="U225" s="57"/>
      <c r="V225" s="57"/>
      <c r="W225" s="60"/>
      <c r="X225" s="57"/>
      <c r="Y225" s="65" t="s">
        <v>2</v>
      </c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4"/>
      <c r="AK225" s="54"/>
      <c r="AL225" s="54"/>
    </row>
    <row r="226" spans="1:38" ht="17.25">
      <c r="A226" s="5"/>
      <c r="B226" s="5"/>
      <c r="C226" s="4"/>
      <c r="D226" s="4"/>
      <c r="E226" s="5"/>
      <c r="F226" s="5"/>
      <c r="G226" s="5"/>
      <c r="H226" s="5"/>
      <c r="I226" s="4"/>
      <c r="J226" s="4"/>
      <c r="K226" s="4"/>
      <c r="L226" s="4"/>
      <c r="M226" s="4"/>
      <c r="N226" s="4"/>
      <c r="Q226" s="4"/>
      <c r="R226" s="5"/>
      <c r="S226" s="18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4"/>
      <c r="AK226" s="54"/>
      <c r="AL226" s="54"/>
    </row>
    <row r="227" spans="1:38" ht="17.25">
      <c r="A227" s="5"/>
      <c r="B227" s="4"/>
      <c r="C227" s="4"/>
      <c r="D227" s="4"/>
      <c r="E227" s="5"/>
      <c r="F227" s="5"/>
      <c r="G227" s="5"/>
      <c r="H227" s="5"/>
      <c r="I227" s="4"/>
      <c r="J227" s="4"/>
      <c r="K227" s="4"/>
      <c r="L227" s="4"/>
      <c r="M227" s="4"/>
      <c r="N227" s="4"/>
      <c r="O227" s="5"/>
      <c r="P227" s="5"/>
      <c r="Q227" s="4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4"/>
      <c r="AK227" s="54"/>
      <c r="AL227" s="54"/>
    </row>
    <row r="228" spans="1:38" ht="17.25">
      <c r="A228" s="5"/>
      <c r="B228" s="62"/>
      <c r="C228" s="19"/>
      <c r="D228" s="19"/>
      <c r="E228" s="20"/>
      <c r="F228" s="20"/>
      <c r="G228" s="20"/>
      <c r="H228" s="20"/>
      <c r="I228" s="20" t="s">
        <v>69</v>
      </c>
      <c r="J228" s="20"/>
      <c r="K228" s="20"/>
      <c r="L228" s="20"/>
      <c r="M228" s="21" t="s">
        <v>131</v>
      </c>
      <c r="N228" s="20"/>
      <c r="O228" s="21" t="s">
        <v>119</v>
      </c>
      <c r="P228" s="21"/>
      <c r="Q228" s="21" t="s">
        <v>120</v>
      </c>
      <c r="R228" s="20"/>
      <c r="S228" s="21" t="s">
        <v>70</v>
      </c>
      <c r="T228" s="20"/>
      <c r="U228" s="21" t="s">
        <v>71</v>
      </c>
      <c r="V228" s="21"/>
      <c r="W228" s="20" t="s">
        <v>132</v>
      </c>
      <c r="X228" s="20"/>
      <c r="Y228" s="20" t="s">
        <v>81</v>
      </c>
      <c r="Z228" s="20"/>
      <c r="AA228" s="20" t="s">
        <v>82</v>
      </c>
      <c r="AB228" s="20"/>
      <c r="AC228" s="20" t="s">
        <v>174</v>
      </c>
      <c r="AD228" s="20"/>
      <c r="AE228" s="20"/>
      <c r="AF228" s="20"/>
      <c r="AG228" s="20"/>
      <c r="AH228" s="20"/>
      <c r="AI228" s="20"/>
      <c r="AJ228" s="54"/>
      <c r="AK228" s="54"/>
      <c r="AL228" s="54"/>
    </row>
    <row r="229" spans="1:38" ht="17.25">
      <c r="A229" s="5"/>
      <c r="B229" s="4"/>
      <c r="C229" s="19"/>
      <c r="D229" s="19"/>
      <c r="E229" s="20" t="s">
        <v>68</v>
      </c>
      <c r="F229" s="20"/>
      <c r="G229" s="20" t="s">
        <v>68</v>
      </c>
      <c r="H229" s="20"/>
      <c r="I229" s="20" t="s">
        <v>72</v>
      </c>
      <c r="J229" s="20"/>
      <c r="K229" s="20" t="s">
        <v>69</v>
      </c>
      <c r="L229" s="20"/>
      <c r="M229" s="20" t="s">
        <v>73</v>
      </c>
      <c r="N229" s="20"/>
      <c r="O229" s="20" t="s">
        <v>74</v>
      </c>
      <c r="P229" s="20"/>
      <c r="Q229" s="20" t="s">
        <v>74</v>
      </c>
      <c r="R229" s="20"/>
      <c r="S229" s="20" t="s">
        <v>74</v>
      </c>
      <c r="T229" s="20"/>
      <c r="U229" s="20" t="s">
        <v>74</v>
      </c>
      <c r="V229" s="20"/>
      <c r="W229" s="20" t="s">
        <v>74</v>
      </c>
      <c r="X229" s="20"/>
      <c r="Y229" s="20" t="s">
        <v>133</v>
      </c>
      <c r="Z229" s="20"/>
      <c r="AA229" s="21" t="s">
        <v>83</v>
      </c>
      <c r="AB229" s="20"/>
      <c r="AC229" s="21" t="s">
        <v>83</v>
      </c>
      <c r="AD229" s="20"/>
      <c r="AE229" s="20" t="s">
        <v>134</v>
      </c>
      <c r="AF229" s="20"/>
      <c r="AG229" s="20" t="s">
        <v>84</v>
      </c>
      <c r="AH229" s="20"/>
      <c r="AI229" s="20" t="s">
        <v>85</v>
      </c>
      <c r="AJ229" s="54"/>
      <c r="AK229" s="54"/>
      <c r="AL229" s="54"/>
    </row>
    <row r="230" spans="1:38" ht="17.25">
      <c r="A230" s="67" t="s">
        <v>66</v>
      </c>
      <c r="B230" s="4"/>
      <c r="C230" s="35" t="s">
        <v>16</v>
      </c>
      <c r="D230" s="35"/>
      <c r="E230" s="22" t="s">
        <v>76</v>
      </c>
      <c r="F230" s="23"/>
      <c r="G230" s="24" t="s">
        <v>111</v>
      </c>
      <c r="H230" s="23"/>
      <c r="I230" s="22" t="s">
        <v>75</v>
      </c>
      <c r="J230" s="22"/>
      <c r="K230" s="22" t="s">
        <v>111</v>
      </c>
      <c r="L230" s="22"/>
      <c r="M230" s="22" t="s">
        <v>76</v>
      </c>
      <c r="N230" s="22"/>
      <c r="O230" s="22" t="s">
        <v>77</v>
      </c>
      <c r="P230" s="22"/>
      <c r="Q230" s="22" t="s">
        <v>78</v>
      </c>
      <c r="R230" s="25"/>
      <c r="S230" s="22" t="s">
        <v>79</v>
      </c>
      <c r="T230" s="22"/>
      <c r="U230" s="22" t="s">
        <v>80</v>
      </c>
      <c r="V230" s="25"/>
      <c r="W230" s="22" t="s">
        <v>86</v>
      </c>
      <c r="X230" s="22"/>
      <c r="Y230" s="22" t="s">
        <v>76</v>
      </c>
      <c r="Z230" s="22"/>
      <c r="AA230" s="22" t="s">
        <v>76</v>
      </c>
      <c r="AB230" s="22"/>
      <c r="AC230" s="22" t="s">
        <v>87</v>
      </c>
      <c r="AD230" s="25"/>
      <c r="AE230" s="22" t="s">
        <v>135</v>
      </c>
      <c r="AF230" s="22"/>
      <c r="AG230" s="22" t="s">
        <v>76</v>
      </c>
      <c r="AH230" s="25"/>
      <c r="AI230" s="22" t="s">
        <v>88</v>
      </c>
      <c r="AJ230" s="54"/>
      <c r="AK230" s="54"/>
      <c r="AL230" s="54"/>
    </row>
    <row r="231" spans="1:38" ht="17.25">
      <c r="A231" s="7">
        <v>1</v>
      </c>
      <c r="B231" s="74" t="s">
        <v>102</v>
      </c>
      <c r="AJ231" s="54"/>
      <c r="AK231" s="54"/>
      <c r="AL231" s="54"/>
    </row>
    <row r="232" spans="1:38" ht="17.25">
      <c r="A232" s="7">
        <v>2</v>
      </c>
      <c r="B232" s="36" t="s">
        <v>48</v>
      </c>
      <c r="C232" s="13">
        <f>SUM(E232:AI232)</f>
        <v>162561427.13335088</v>
      </c>
      <c r="D232" s="13"/>
      <c r="E232" s="13">
        <f>E120</f>
        <v>59391044.01892853</v>
      </c>
      <c r="F232" s="13"/>
      <c r="G232" s="13">
        <f>G120</f>
        <v>153109.44</v>
      </c>
      <c r="H232" s="13"/>
      <c r="I232" s="13">
        <f>I120</f>
        <v>115660.04871158625</v>
      </c>
      <c r="J232" s="13"/>
      <c r="K232" s="13">
        <f>K120</f>
        <v>262975.68</v>
      </c>
      <c r="L232" s="13"/>
      <c r="M232" s="13">
        <f>M120</f>
        <v>5046880.432856772</v>
      </c>
      <c r="N232" s="13"/>
      <c r="O232" s="13">
        <f>O120</f>
        <v>20534619.17771726</v>
      </c>
      <c r="P232" s="13"/>
      <c r="Q232" s="13">
        <f>Q120</f>
        <v>30498071.95314589</v>
      </c>
      <c r="R232" s="13"/>
      <c r="S232" s="13">
        <f>S120</f>
        <v>15303329.128718164</v>
      </c>
      <c r="T232" s="13"/>
      <c r="U232" s="13">
        <f>U120</f>
        <v>7839570.599112001</v>
      </c>
      <c r="V232" s="13"/>
      <c r="W232" s="13">
        <f>W120</f>
        <v>6691955.805273</v>
      </c>
      <c r="X232" s="13"/>
      <c r="Y232" s="13">
        <f>Y120</f>
        <v>3568424.5221300004</v>
      </c>
      <c r="Z232" s="5"/>
      <c r="AA232" s="13">
        <f>AA120</f>
        <v>4773640.14786</v>
      </c>
      <c r="AB232" s="5"/>
      <c r="AC232" s="13">
        <f>AC120</f>
        <v>1531163.2865200804</v>
      </c>
      <c r="AD232" s="13"/>
      <c r="AE232" s="13">
        <f>AE120</f>
        <v>66369.29483905534</v>
      </c>
      <c r="AF232" s="5"/>
      <c r="AG232" s="13">
        <f>AG120</f>
        <v>228758.61232966665</v>
      </c>
      <c r="AH232" s="5"/>
      <c r="AI232" s="13">
        <f>AI120</f>
        <v>6555854.985208858</v>
      </c>
      <c r="AJ232" s="54"/>
      <c r="AK232" s="54"/>
      <c r="AL232" s="54"/>
    </row>
    <row r="233" spans="1:38" ht="17.25">
      <c r="A233" s="7">
        <v>3</v>
      </c>
      <c r="B233" s="36" t="s">
        <v>49</v>
      </c>
      <c r="C233" s="13">
        <f>SUM(E233:AI233)</f>
        <v>8844697.919999996</v>
      </c>
      <c r="D233" s="13"/>
      <c r="E233" s="13">
        <f>E121</f>
        <v>7115713.424426223</v>
      </c>
      <c r="F233" s="13"/>
      <c r="G233" s="13">
        <f>G121</f>
        <v>16634.892615230612</v>
      </c>
      <c r="H233" s="13"/>
      <c r="I233" s="13">
        <f>I121</f>
        <v>1890.4667769981777</v>
      </c>
      <c r="J233" s="13"/>
      <c r="K233" s="13">
        <f>K121</f>
        <v>23765.868053691367</v>
      </c>
      <c r="L233" s="13"/>
      <c r="M233" s="13">
        <f>M121</f>
        <v>312859.74850604887</v>
      </c>
      <c r="N233" s="13"/>
      <c r="O233" s="13">
        <f>O121</f>
        <v>399934.7550531013</v>
      </c>
      <c r="P233" s="13"/>
      <c r="Q233" s="13">
        <f>Q121</f>
        <v>181954.16312133786</v>
      </c>
      <c r="R233" s="13"/>
      <c r="S233" s="13">
        <f>S121</f>
        <v>24837.352767700304</v>
      </c>
      <c r="T233" s="13"/>
      <c r="U233" s="13">
        <f>U121</f>
        <v>3690.9113265202504</v>
      </c>
      <c r="V233" s="13"/>
      <c r="W233" s="13">
        <f>W121</f>
        <v>343416.44645957474</v>
      </c>
      <c r="X233" s="13"/>
      <c r="Y233" s="13">
        <f>Y121</f>
        <v>113991.1978083336</v>
      </c>
      <c r="Z233" s="5"/>
      <c r="AA233" s="13">
        <f>AA121</f>
        <v>86486.49120508468</v>
      </c>
      <c r="AB233" s="5"/>
      <c r="AC233" s="13">
        <f>AC121</f>
        <v>56118.6359562121</v>
      </c>
      <c r="AD233" s="13"/>
      <c r="AE233" s="13">
        <f>AE121</f>
        <v>450.11113738051847</v>
      </c>
      <c r="AF233" s="5"/>
      <c r="AG233" s="13">
        <f>AG121</f>
        <v>330.08150074571347</v>
      </c>
      <c r="AH233" s="5"/>
      <c r="AI233" s="13">
        <f>AI121</f>
        <v>162623.37328581224</v>
      </c>
      <c r="AJ233" s="54"/>
      <c r="AK233" s="54"/>
      <c r="AL233" s="54"/>
    </row>
    <row r="234" spans="1:38" ht="18">
      <c r="A234" s="7">
        <v>4</v>
      </c>
      <c r="B234" s="36" t="s">
        <v>21</v>
      </c>
      <c r="C234" s="13">
        <f>C232+C233</f>
        <v>171406125.05335087</v>
      </c>
      <c r="D234" s="13"/>
      <c r="E234" s="13">
        <f>E232+E233</f>
        <v>66506757.44335475</v>
      </c>
      <c r="F234" s="13"/>
      <c r="G234" s="13">
        <f>G232+G233</f>
        <v>169744.3326152306</v>
      </c>
      <c r="H234" s="13"/>
      <c r="I234" s="13">
        <f>I232+I233</f>
        <v>117550.51548858442</v>
      </c>
      <c r="J234" s="13"/>
      <c r="K234" s="13">
        <f>K232+K233</f>
        <v>286741.54805369134</v>
      </c>
      <c r="L234" s="13"/>
      <c r="M234" s="13">
        <f>M232+M233</f>
        <v>5359740.181362821</v>
      </c>
      <c r="N234" s="13"/>
      <c r="O234" s="13">
        <f>O232+O233</f>
        <v>20934553.932770364</v>
      </c>
      <c r="P234" s="13"/>
      <c r="Q234" s="13">
        <f>Q232+Q233</f>
        <v>30680026.11626723</v>
      </c>
      <c r="R234" s="13"/>
      <c r="S234" s="13">
        <f>S232+S233</f>
        <v>15328166.481485864</v>
      </c>
      <c r="T234" s="13"/>
      <c r="U234" s="13">
        <f>U232+U233</f>
        <v>7843261.510438521</v>
      </c>
      <c r="V234" s="13"/>
      <c r="W234" s="13">
        <f>W232+W233</f>
        <v>7035372.251732575</v>
      </c>
      <c r="X234" s="13"/>
      <c r="Y234" s="13">
        <f>Y232+Y233</f>
        <v>3682415.719938334</v>
      </c>
      <c r="Z234" s="5"/>
      <c r="AA234" s="13">
        <f>AA232+AA233</f>
        <v>4860126.639065085</v>
      </c>
      <c r="AB234" s="5"/>
      <c r="AC234" s="13">
        <f>AC232+AC233</f>
        <v>1587281.9224762926</v>
      </c>
      <c r="AD234" s="13"/>
      <c r="AE234" s="13">
        <f>AE232+AE233</f>
        <v>66819.40597643585</v>
      </c>
      <c r="AF234" s="5"/>
      <c r="AG234" s="13">
        <f>AG232+AG233</f>
        <v>229088.69383041238</v>
      </c>
      <c r="AH234" s="5"/>
      <c r="AI234" s="13">
        <f>AI232+AI233</f>
        <v>6718478.35849467</v>
      </c>
      <c r="AJ234" s="6"/>
      <c r="AK234" s="6"/>
      <c r="AL234" s="95"/>
    </row>
    <row r="235" spans="1:41" ht="18">
      <c r="A235" s="7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5"/>
      <c r="AA235" s="4"/>
      <c r="AB235" s="5"/>
      <c r="AC235" s="4"/>
      <c r="AD235" s="4"/>
      <c r="AE235" s="4"/>
      <c r="AF235" s="5"/>
      <c r="AG235" s="4"/>
      <c r="AH235" s="5"/>
      <c r="AI235" s="4"/>
      <c r="AJ235" s="4"/>
      <c r="AK235" s="4"/>
      <c r="AM235" s="96" t="s">
        <v>187</v>
      </c>
      <c r="AN235" s="97" t="s">
        <v>154</v>
      </c>
      <c r="AO235" s="97" t="s">
        <v>155</v>
      </c>
    </row>
    <row r="236" spans="1:41" ht="18">
      <c r="A236" s="7">
        <v>5</v>
      </c>
      <c r="B236" s="98" t="s">
        <v>50</v>
      </c>
      <c r="C236" s="99">
        <f>C143</f>
        <v>0.06422296313472615</v>
      </c>
      <c r="D236" s="99"/>
      <c r="E236" s="99">
        <f>E143</f>
        <v>0.0317927866267452</v>
      </c>
      <c r="F236" s="99"/>
      <c r="G236" s="99">
        <f>G143</f>
        <v>0.18864441212381514</v>
      </c>
      <c r="H236" s="99"/>
      <c r="I236" s="99">
        <f>I143</f>
        <v>0.008146308325516495</v>
      </c>
      <c r="J236" s="99"/>
      <c r="K236" s="99">
        <f>K143</f>
        <v>0.02253177601140607</v>
      </c>
      <c r="L236" s="99"/>
      <c r="M236" s="99">
        <f>M143</f>
        <v>0.04518143416974654</v>
      </c>
      <c r="N236" s="99"/>
      <c r="O236" s="99">
        <f>O143</f>
        <v>0.06438130847046693</v>
      </c>
      <c r="P236" s="99"/>
      <c r="Q236" s="99">
        <f>Q143</f>
        <v>0.08792165083356529</v>
      </c>
      <c r="R236" s="99"/>
      <c r="S236" s="99">
        <f>S143</f>
        <v>0.08468354692990376</v>
      </c>
      <c r="T236" s="99"/>
      <c r="U236" s="99">
        <f>U143</f>
        <v>0.08691459647860253</v>
      </c>
      <c r="V236" s="99"/>
      <c r="W236" s="99">
        <f>W143</f>
        <v>0.06183188232393982</v>
      </c>
      <c r="X236" s="99"/>
      <c r="Y236" s="99">
        <f>Y143</f>
        <v>0.09848086344366555</v>
      </c>
      <c r="Z236" s="5"/>
      <c r="AA236" s="99">
        <f>AA143</f>
        <v>0.12530835465396126</v>
      </c>
      <c r="AB236" s="5"/>
      <c r="AC236" s="99">
        <f>AC143</f>
        <v>0.14939371879622007</v>
      </c>
      <c r="AD236" s="99"/>
      <c r="AE236" s="99">
        <f>AE143</f>
        <v>-0.01925708268847341</v>
      </c>
      <c r="AF236" s="5"/>
      <c r="AG236" s="99">
        <f>AG143</f>
        <v>0.06865970062579094</v>
      </c>
      <c r="AH236" s="5"/>
      <c r="AI236" s="99">
        <f>AI143</f>
        <v>0.10670805609104418</v>
      </c>
      <c r="AJ236" s="100"/>
      <c r="AK236" s="100"/>
      <c r="AL236" s="101" t="s">
        <v>156</v>
      </c>
      <c r="AM236" s="102">
        <f>K$73</f>
        <v>321125.77078016876</v>
      </c>
      <c r="AN236" s="102">
        <f>+K240</f>
        <v>332640</v>
      </c>
      <c r="AO236" s="102">
        <f aca="true" t="shared" si="34" ref="AO236:AO242">+AN236-AM236</f>
        <v>11514.229219831235</v>
      </c>
    </row>
    <row r="237" spans="1:42" ht="18">
      <c r="A237" s="7">
        <v>6</v>
      </c>
      <c r="B237" s="98" t="s">
        <v>51</v>
      </c>
      <c r="C237" s="103">
        <f>C236/C236</f>
        <v>1</v>
      </c>
      <c r="D237" s="103"/>
      <c r="E237" s="103">
        <f>(E236/$C$236)</f>
        <v>0.49503767928070647</v>
      </c>
      <c r="F237" s="103"/>
      <c r="G237" s="103">
        <f>(G236/$C$236)</f>
        <v>2.9373358517899457</v>
      </c>
      <c r="H237" s="103"/>
      <c r="I237" s="103">
        <f>(I236/$C$236)</f>
        <v>0.126844168003075</v>
      </c>
      <c r="J237" s="103"/>
      <c r="K237" s="103">
        <f>(K236/$C$236)</f>
        <v>0.3508367554474119</v>
      </c>
      <c r="L237" s="103"/>
      <c r="M237" s="103">
        <f>(M236/$C$236)</f>
        <v>0.7035090248789281</v>
      </c>
      <c r="N237" s="103"/>
      <c r="O237" s="103">
        <f>(O236/$C$236)</f>
        <v>1.0024655563681888</v>
      </c>
      <c r="P237" s="103"/>
      <c r="Q237" s="103">
        <f>(Q236/$C$236)</f>
        <v>1.3690064509967301</v>
      </c>
      <c r="R237" s="103"/>
      <c r="S237" s="103">
        <f>(S236/$C$236)</f>
        <v>1.3185867296757336</v>
      </c>
      <c r="T237" s="103"/>
      <c r="U237" s="103">
        <f>(U236/$C$236)</f>
        <v>1.3533258547456637</v>
      </c>
      <c r="V237" s="103"/>
      <c r="W237" s="103">
        <f>(W236/$C$236)</f>
        <v>0.9627690674164262</v>
      </c>
      <c r="X237" s="103"/>
      <c r="Y237" s="103">
        <f>(Y236/$C$236)</f>
        <v>1.533421359538855</v>
      </c>
      <c r="Z237" s="5"/>
      <c r="AA237" s="103">
        <f>(AA236/$C$236)</f>
        <v>1.9511456422695868</v>
      </c>
      <c r="AB237" s="5"/>
      <c r="AC237" s="103">
        <f>(AC236/$C$236)</f>
        <v>2.3261729372844995</v>
      </c>
      <c r="AD237" s="103"/>
      <c r="AE237" s="103">
        <f>(AE236/$C$236)</f>
        <v>-0.29984730925722214</v>
      </c>
      <c r="AF237" s="5"/>
      <c r="AG237" s="103">
        <f>(AG236/$C$236)</f>
        <v>1.0690833507908604</v>
      </c>
      <c r="AH237" s="5"/>
      <c r="AI237" s="103">
        <f>(AI236/$C$236)</f>
        <v>1.661524957470326</v>
      </c>
      <c r="AJ237" s="104"/>
      <c r="AK237" s="104"/>
      <c r="AL237" s="105" t="s">
        <v>125</v>
      </c>
      <c r="AM237" s="102">
        <f>Q$73</f>
        <v>31585292.25779438</v>
      </c>
      <c r="AN237" s="102">
        <f>+Q240</f>
        <v>31842979.25779438</v>
      </c>
      <c r="AO237" s="102">
        <f t="shared" si="34"/>
        <v>257687</v>
      </c>
      <c r="AP237" s="194">
        <f>+AO237/AM237</f>
        <v>0.008158449125523286</v>
      </c>
    </row>
    <row r="238" spans="1:42" ht="17.25">
      <c r="A238" s="7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106" t="s">
        <v>126</v>
      </c>
      <c r="AM238" s="102">
        <f>S$73</f>
        <v>16052778.842371518</v>
      </c>
      <c r="AN238" s="102">
        <f>+S240</f>
        <v>16191878.842371518</v>
      </c>
      <c r="AO238" s="102">
        <f t="shared" si="34"/>
        <v>139100</v>
      </c>
      <c r="AP238" s="194">
        <f>+AO238/AM238</f>
        <v>0.008665166409247709</v>
      </c>
    </row>
    <row r="239" spans="1:41" ht="17.25">
      <c r="A239" s="7">
        <v>7</v>
      </c>
      <c r="B239" s="74" t="s">
        <v>101</v>
      </c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8"/>
      <c r="S239" s="108"/>
      <c r="T239" s="108"/>
      <c r="U239" s="108"/>
      <c r="V239" s="108"/>
      <c r="W239" s="108"/>
      <c r="X239" s="108"/>
      <c r="Y239" s="108"/>
      <c r="Z239" s="5"/>
      <c r="AA239" s="108"/>
      <c r="AB239" s="5"/>
      <c r="AC239" s="108"/>
      <c r="AD239" s="108"/>
      <c r="AE239" s="108"/>
      <c r="AF239" s="5"/>
      <c r="AG239" s="108"/>
      <c r="AH239" s="5"/>
      <c r="AI239" s="108"/>
      <c r="AJ239" s="5"/>
      <c r="AK239" s="5"/>
      <c r="AL239" s="106" t="s">
        <v>123</v>
      </c>
      <c r="AM239" s="102">
        <f>U$73</f>
        <v>8167326.777645531</v>
      </c>
      <c r="AN239" s="102">
        <f>+U240</f>
        <v>6952475.026109998</v>
      </c>
      <c r="AO239" s="102">
        <f t="shared" si="34"/>
        <v>-1214851.751535533</v>
      </c>
    </row>
    <row r="240" spans="1:41" ht="17.25">
      <c r="A240" s="7">
        <v>8</v>
      </c>
      <c r="B240" s="36" t="s">
        <v>52</v>
      </c>
      <c r="C240" s="13">
        <f>SUM(E240:AI240)</f>
        <v>180777977.09774977</v>
      </c>
      <c r="D240" s="13"/>
      <c r="E240" s="13">
        <f>E73+G73-G240</f>
        <v>71788773.87398206</v>
      </c>
      <c r="F240" s="13"/>
      <c r="G240" s="13">
        <f>G73-G73+G31*20*12</f>
        <v>171840</v>
      </c>
      <c r="H240" s="13"/>
      <c r="I240" s="13">
        <f>I73</f>
        <v>170027.44327852447</v>
      </c>
      <c r="J240" s="13"/>
      <c r="K240" s="13">
        <f>K73-K73+K31*35*12</f>
        <v>332640</v>
      </c>
      <c r="L240" s="13"/>
      <c r="M240" s="13">
        <f>M73</f>
        <v>5900693.044530364</v>
      </c>
      <c r="N240" s="13"/>
      <c r="O240" s="13">
        <f>O73</f>
        <v>22946884.19864585</v>
      </c>
      <c r="P240" s="13"/>
      <c r="Q240" s="13">
        <f>Q73+257687</f>
        <v>31842979.25779438</v>
      </c>
      <c r="R240" s="13"/>
      <c r="S240" s="13">
        <f>S73+139100</f>
        <v>16191878.842371518</v>
      </c>
      <c r="T240" s="13"/>
      <c r="U240" s="13">
        <f>U73-U73+U298+U304*(W317+AM252)/100</f>
        <v>6952475.026109998</v>
      </c>
      <c r="V240" s="13"/>
      <c r="W240" s="13">
        <f>W73</f>
        <v>7707653.606070439</v>
      </c>
      <c r="X240" s="13"/>
      <c r="Y240" s="13">
        <f>Y73+1370</f>
        <v>3568414.0843997644</v>
      </c>
      <c r="Z240" s="13"/>
      <c r="AA240" s="13">
        <f>AA73+366346.5</f>
        <v>4773637.424835815</v>
      </c>
      <c r="AB240" s="13"/>
      <c r="AC240" s="13">
        <f>AC73+269210</f>
        <v>1531163.1354251946</v>
      </c>
      <c r="AD240" s="13"/>
      <c r="AE240" s="13">
        <f>AE73-AE79/2</f>
        <v>86941.2054239628</v>
      </c>
      <c r="AF240" s="13"/>
      <c r="AG240" s="13">
        <f>AG73</f>
        <v>256125.3779092611</v>
      </c>
      <c r="AH240" s="13"/>
      <c r="AI240" s="13">
        <f>AI73-AI79</f>
        <v>6555850.576972686</v>
      </c>
      <c r="AJ240" s="6"/>
      <c r="AK240" s="6"/>
      <c r="AL240" s="1" t="s">
        <v>184</v>
      </c>
      <c r="AM240" s="102">
        <f>+Y73</f>
        <v>3567044.0843997644</v>
      </c>
      <c r="AN240" s="102">
        <f>+Y240</f>
        <v>3568414.0843997644</v>
      </c>
      <c r="AO240" s="102">
        <f t="shared" si="34"/>
        <v>1370</v>
      </c>
    </row>
    <row r="241" spans="1:41" ht="17.25">
      <c r="A241" s="7">
        <v>9</v>
      </c>
      <c r="B241" s="36" t="s">
        <v>49</v>
      </c>
      <c r="C241" s="13">
        <f>SUM(E241:AI241)</f>
        <v>9780512.59079229</v>
      </c>
      <c r="D241" s="13"/>
      <c r="E241" s="13">
        <f>-+E26</f>
        <v>8031861.520783558</v>
      </c>
      <c r="F241" s="13"/>
      <c r="G241" s="13">
        <f>-+G26</f>
        <v>18776.63502298941</v>
      </c>
      <c r="H241" s="13"/>
      <c r="I241" s="13">
        <f>-+I26</f>
        <v>1925.1816368537256</v>
      </c>
      <c r="J241" s="13"/>
      <c r="K241" s="13">
        <f>-+K26</f>
        <v>24202.283434732548</v>
      </c>
      <c r="L241" s="13"/>
      <c r="M241" s="13">
        <f>-+M26</f>
        <v>318604.8282165081</v>
      </c>
      <c r="N241" s="13"/>
      <c r="O241" s="13">
        <f>-+O26</f>
        <v>407278.8031696607</v>
      </c>
      <c r="P241" s="13"/>
      <c r="Q241" s="13">
        <f>-+Q26</f>
        <v>185295.40844220016</v>
      </c>
      <c r="R241" s="13"/>
      <c r="S241" s="13">
        <f>-+S26</f>
        <v>25293.443946347004</v>
      </c>
      <c r="T241" s="13"/>
      <c r="U241" s="13">
        <f>-+U26</f>
        <v>3758.687957666798</v>
      </c>
      <c r="V241" s="13"/>
      <c r="W241" s="13">
        <f>-+W26</f>
        <v>343473.4780150518</v>
      </c>
      <c r="X241" s="13"/>
      <c r="Y241" s="13">
        <f>-+Y26</f>
        <v>114005.52457589304</v>
      </c>
      <c r="Z241" s="5"/>
      <c r="AA241" s="13">
        <f>-+AA26</f>
        <v>86494.20561838591</v>
      </c>
      <c r="AB241" s="5"/>
      <c r="AC241" s="13">
        <f>-+AC26</f>
        <v>56120.28904477665</v>
      </c>
      <c r="AD241" s="13"/>
      <c r="AE241" s="13">
        <f>-+AE26</f>
        <v>458.376580203268</v>
      </c>
      <c r="AF241" s="5"/>
      <c r="AG241" s="13">
        <f>-+AG26</f>
        <v>336.1428254823966</v>
      </c>
      <c r="AH241" s="5"/>
      <c r="AI241" s="13">
        <f>-+AI26</f>
        <v>162627.78152198438</v>
      </c>
      <c r="AJ241" s="6"/>
      <c r="AK241" s="6"/>
      <c r="AL241" s="1" t="s">
        <v>185</v>
      </c>
      <c r="AM241" s="102">
        <f>+AA73</f>
        <v>4407290.924835815</v>
      </c>
      <c r="AN241" s="102">
        <f>+AA240</f>
        <v>4773637.424835815</v>
      </c>
      <c r="AO241" s="102">
        <f t="shared" si="34"/>
        <v>366346.5</v>
      </c>
    </row>
    <row r="242" spans="1:41" ht="17.25">
      <c r="A242" s="7">
        <v>10</v>
      </c>
      <c r="B242" s="36" t="s">
        <v>21</v>
      </c>
      <c r="C242" s="13">
        <f>C240+C241</f>
        <v>190558489.68854207</v>
      </c>
      <c r="D242" s="13"/>
      <c r="E242" s="13">
        <f>E240+E241</f>
        <v>79820635.39476562</v>
      </c>
      <c r="F242" s="13"/>
      <c r="G242" s="13">
        <f>G240+G241</f>
        <v>190616.63502298942</v>
      </c>
      <c r="H242" s="13"/>
      <c r="I242" s="13">
        <f>I240+I241</f>
        <v>171952.6249153782</v>
      </c>
      <c r="J242" s="13"/>
      <c r="K242" s="13">
        <f>K240+K241</f>
        <v>356842.2834347325</v>
      </c>
      <c r="L242" s="13"/>
      <c r="M242" s="13">
        <f>M240+M241</f>
        <v>6219297.872746872</v>
      </c>
      <c r="N242" s="13"/>
      <c r="O242" s="13">
        <f>O240+O241</f>
        <v>23354163.00181551</v>
      </c>
      <c r="P242" s="13"/>
      <c r="Q242" s="13">
        <f>Q240+Q241</f>
        <v>32028274.66623658</v>
      </c>
      <c r="R242" s="13"/>
      <c r="S242" s="13">
        <f>S240+S241</f>
        <v>16217172.286317864</v>
      </c>
      <c r="T242" s="13"/>
      <c r="U242" s="13">
        <f>U240+U241</f>
        <v>6956233.714067665</v>
      </c>
      <c r="V242" s="13"/>
      <c r="W242" s="13">
        <f>W240+W241</f>
        <v>8051127.0840854915</v>
      </c>
      <c r="X242" s="13"/>
      <c r="Y242" s="13">
        <f>Y240+Y241</f>
        <v>3682419.6089756573</v>
      </c>
      <c r="Z242" s="5"/>
      <c r="AA242" s="13">
        <f>AA240+AA241</f>
        <v>4860131.630454201</v>
      </c>
      <c r="AB242" s="5"/>
      <c r="AC242" s="13">
        <f>AC240+AC241</f>
        <v>1587283.4244699713</v>
      </c>
      <c r="AD242" s="13"/>
      <c r="AE242" s="13">
        <f>AE240+AE241</f>
        <v>87399.58200416608</v>
      </c>
      <c r="AF242" s="5"/>
      <c r="AG242" s="13">
        <f>AG240+AG241</f>
        <v>256461.52073474348</v>
      </c>
      <c r="AH242" s="5"/>
      <c r="AI242" s="13">
        <f>AI240+AI241</f>
        <v>6718478.35849467</v>
      </c>
      <c r="AJ242" s="6"/>
      <c r="AK242" s="6"/>
      <c r="AL242" s="1" t="s">
        <v>186</v>
      </c>
      <c r="AM242" s="102">
        <f>+AC73</f>
        <v>1261953.1354251946</v>
      </c>
      <c r="AN242" s="102">
        <f>+AC240</f>
        <v>1531163.1354251946</v>
      </c>
      <c r="AO242" s="102">
        <f t="shared" si="34"/>
        <v>269210</v>
      </c>
    </row>
    <row r="243" spans="1:41" ht="18">
      <c r="A243" s="7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109" t="s">
        <v>95</v>
      </c>
      <c r="AM243" s="102">
        <f>AE$73</f>
        <v>107521.38145169301</v>
      </c>
      <c r="AN243" s="102">
        <f>+AE240</f>
        <v>86941.2054239628</v>
      </c>
      <c r="AO243" s="102">
        <f>+AN243-AM243</f>
        <v>-20580.17602773021</v>
      </c>
    </row>
    <row r="244" spans="1:41" ht="19.5">
      <c r="A244" s="7">
        <v>11</v>
      </c>
      <c r="B244" s="112" t="s">
        <v>53</v>
      </c>
      <c r="C244" s="76">
        <f>C242-C234</f>
        <v>19152364.635191202</v>
      </c>
      <c r="D244" s="76"/>
      <c r="E244" s="76">
        <f>E242-E234</f>
        <v>13313877.951410867</v>
      </c>
      <c r="F244" s="76"/>
      <c r="G244" s="76">
        <f>G242-G234</f>
        <v>20872.302407758805</v>
      </c>
      <c r="H244" s="76"/>
      <c r="I244" s="76">
        <f>I242-I234</f>
        <v>54402.10942679377</v>
      </c>
      <c r="J244" s="76"/>
      <c r="K244" s="76">
        <f>K242-K234</f>
        <v>70100.73538104119</v>
      </c>
      <c r="L244" s="76"/>
      <c r="M244" s="76">
        <f>M242-M234</f>
        <v>859557.691384051</v>
      </c>
      <c r="N244" s="76"/>
      <c r="O244" s="76">
        <f>O242-O234</f>
        <v>2419609.069045145</v>
      </c>
      <c r="P244" s="76"/>
      <c r="Q244" s="76">
        <f>Q242-Q234</f>
        <v>1348248.549969349</v>
      </c>
      <c r="R244" s="76"/>
      <c r="S244" s="76">
        <f>S242-S234</f>
        <v>889005.8048320003</v>
      </c>
      <c r="T244" s="76"/>
      <c r="U244" s="76">
        <f>U242-U234</f>
        <v>-887027.7963708565</v>
      </c>
      <c r="V244" s="76"/>
      <c r="W244" s="76">
        <f>W242-W234</f>
        <v>1015754.8323529167</v>
      </c>
      <c r="X244" s="76"/>
      <c r="Y244" s="76">
        <f>Y242-Y234</f>
        <v>3.8890373231843114</v>
      </c>
      <c r="Z244" s="45"/>
      <c r="AA244" s="76">
        <f>AA242-AA234</f>
        <v>4.99138911627233</v>
      </c>
      <c r="AB244" s="45"/>
      <c r="AC244" s="76">
        <f>AC242-AC234</f>
        <v>1.5019936787430197</v>
      </c>
      <c r="AD244" s="76"/>
      <c r="AE244" s="76">
        <f>AE242-AE234</f>
        <v>20580.176027730224</v>
      </c>
      <c r="AF244" s="45"/>
      <c r="AG244" s="76">
        <f>AG242-AG234</f>
        <v>27372.8269043311</v>
      </c>
      <c r="AH244" s="45"/>
      <c r="AI244" s="76">
        <f>AI242-AI234</f>
        <v>0</v>
      </c>
      <c r="AJ244" s="6"/>
      <c r="AK244" s="6"/>
      <c r="AL244" s="109" t="s">
        <v>157</v>
      </c>
      <c r="AM244" s="110">
        <f>AI$73</f>
        <v>6366053.388469828</v>
      </c>
      <c r="AN244" s="111">
        <f>+AI240</f>
        <v>6555850.576972686</v>
      </c>
      <c r="AO244" s="110">
        <f>+AN244-AM244</f>
        <v>189797.18850285746</v>
      </c>
    </row>
    <row r="245" spans="1:41" ht="18">
      <c r="A245" s="7">
        <v>12</v>
      </c>
      <c r="B245" s="98" t="s">
        <v>54</v>
      </c>
      <c r="C245" s="99">
        <f>C244/C234</f>
        <v>0.11173675753553118</v>
      </c>
      <c r="D245" s="99"/>
      <c r="E245" s="99">
        <f>E244/E234</f>
        <v>0.20018834872156543</v>
      </c>
      <c r="F245" s="99"/>
      <c r="G245" s="99">
        <f>G244/G234</f>
        <v>0.12296317695078086</v>
      </c>
      <c r="H245" s="99"/>
      <c r="I245" s="99">
        <f>I244/I234</f>
        <v>0.4627977104198822</v>
      </c>
      <c r="J245" s="99"/>
      <c r="K245" s="99">
        <f>K244/K234</f>
        <v>0.2444735890451253</v>
      </c>
      <c r="L245" s="99"/>
      <c r="M245" s="99">
        <f>M244/M234</f>
        <v>0.1603730147914542</v>
      </c>
      <c r="N245" s="99"/>
      <c r="O245" s="99">
        <f>O244/O234</f>
        <v>0.1155796811728363</v>
      </c>
      <c r="P245" s="99"/>
      <c r="Q245" s="99">
        <f>IF(Q234=0,0,Q244/Q234)</f>
        <v>0.04394548247318726</v>
      </c>
      <c r="R245" s="99"/>
      <c r="S245" s="99">
        <f>S244/S234</f>
        <v>0.05799818301202473</v>
      </c>
      <c r="T245" s="99"/>
      <c r="U245" s="99">
        <f>IF(U234=0,0,U244/U234)</f>
        <v>-0.113094252332441</v>
      </c>
      <c r="V245" s="99"/>
      <c r="W245" s="99">
        <f>W244/W234</f>
        <v>0.144378264007675</v>
      </c>
      <c r="X245" s="99"/>
      <c r="Y245" s="99">
        <f>Y244/Y234</f>
        <v>1.0561103414063845E-06</v>
      </c>
      <c r="Z245" s="5"/>
      <c r="AA245" s="99">
        <f>AA244/AA234</f>
        <v>1.0270080364063302E-06</v>
      </c>
      <c r="AB245" s="5"/>
      <c r="AC245" s="99">
        <f>AC244/AC234</f>
        <v>9.462677407676791E-07</v>
      </c>
      <c r="AD245" s="99"/>
      <c r="AE245" s="99">
        <f>AE244/AE234</f>
        <v>0.3079969916971113</v>
      </c>
      <c r="AF245" s="5"/>
      <c r="AG245" s="99">
        <f>AG244/AG234</f>
        <v>0.11948571728552611</v>
      </c>
      <c r="AH245" s="5"/>
      <c r="AI245" s="99">
        <f>AI244/AI234</f>
        <v>0</v>
      </c>
      <c r="AJ245" s="100"/>
      <c r="AK245" s="100"/>
      <c r="AL245" s="109"/>
      <c r="AM245" s="102">
        <f>SUM(AM236:AM244)</f>
        <v>71836386.56317389</v>
      </c>
      <c r="AN245" s="102">
        <f>SUM(AN236:AN244)</f>
        <v>71835979.55333333</v>
      </c>
      <c r="AO245" s="102">
        <f>SUM(AO236:AO244)</f>
        <v>-407.00984057446476</v>
      </c>
    </row>
    <row r="246" spans="1:41" ht="17.25">
      <c r="A246" s="7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5"/>
      <c r="AA246" s="4"/>
      <c r="AB246" s="5"/>
      <c r="AC246" s="4"/>
      <c r="AD246" s="4"/>
      <c r="AE246" s="4"/>
      <c r="AF246" s="5"/>
      <c r="AG246" s="4"/>
      <c r="AH246" s="5"/>
      <c r="AI246" s="4"/>
      <c r="AJ246" s="4"/>
      <c r="AK246" s="4"/>
      <c r="AL246" s="106"/>
      <c r="AM246" s="102"/>
      <c r="AN246" s="102"/>
      <c r="AO246" s="102"/>
    </row>
    <row r="247" spans="1:41" ht="18">
      <c r="A247" s="7">
        <v>13</v>
      </c>
      <c r="B247" s="116" t="s">
        <v>50</v>
      </c>
      <c r="C247" s="93">
        <f>C198</f>
        <v>0.08499927397676632</v>
      </c>
      <c r="D247" s="93"/>
      <c r="E247" s="93">
        <f>E198</f>
        <v>0.08475377878230655</v>
      </c>
      <c r="F247" s="93"/>
      <c r="G247" s="93">
        <f>G198</f>
        <v>0.2412747296625778</v>
      </c>
      <c r="H247" s="93"/>
      <c r="I247" s="93">
        <f>I198</f>
        <v>0.08499999968532808</v>
      </c>
      <c r="J247" s="93"/>
      <c r="K247" s="93">
        <f>K198</f>
        <v>0.09990533018734363</v>
      </c>
      <c r="L247" s="93"/>
      <c r="M247" s="93">
        <f>M198</f>
        <v>0.08499999968532804</v>
      </c>
      <c r="N247" s="93"/>
      <c r="O247" s="93">
        <f>O198</f>
        <v>0.08499999968532808</v>
      </c>
      <c r="P247" s="93"/>
      <c r="Q247" s="93">
        <f>Q198</f>
        <v>0.08746949079511109</v>
      </c>
      <c r="R247" s="93"/>
      <c r="S247" s="93">
        <f>S198</f>
        <v>0.08753922360926307</v>
      </c>
      <c r="T247" s="93"/>
      <c r="U247" s="93">
        <f>U198</f>
        <v>0.04253803085036647</v>
      </c>
      <c r="V247" s="93"/>
      <c r="W247" s="93">
        <f>W198</f>
        <v>0.08499999968532805</v>
      </c>
      <c r="X247" s="93"/>
      <c r="Y247" s="93">
        <f>Y198</f>
        <v>0.08510834438893558</v>
      </c>
      <c r="Z247" s="45"/>
      <c r="AA247" s="93">
        <f>AA198</f>
        <v>0.11193589503522107</v>
      </c>
      <c r="AB247" s="45"/>
      <c r="AC247" s="93">
        <f>AC198</f>
        <v>0.13602117684255113</v>
      </c>
      <c r="AD247" s="93"/>
      <c r="AE247" s="93">
        <f>AE198</f>
        <v>0.026185045191282764</v>
      </c>
      <c r="AF247" s="45"/>
      <c r="AG247" s="93">
        <f>AG198</f>
        <v>0.08499999968532804</v>
      </c>
      <c r="AH247" s="45"/>
      <c r="AI247" s="93">
        <f>AI198</f>
        <v>0.09333522947675502</v>
      </c>
      <c r="AJ247" s="100"/>
      <c r="AK247" s="100"/>
      <c r="AL247" s="109"/>
      <c r="AM247" s="113" t="s">
        <v>160</v>
      </c>
      <c r="AN247" s="102"/>
      <c r="AO247" s="102"/>
    </row>
    <row r="248" spans="1:39" ht="18">
      <c r="A248" s="7">
        <v>14</v>
      </c>
      <c r="B248" s="117" t="s">
        <v>51</v>
      </c>
      <c r="C248" s="103">
        <f>C247/$C$247</f>
        <v>1</v>
      </c>
      <c r="D248" s="103"/>
      <c r="E248" s="103">
        <f>E247/$C$247</f>
        <v>0.9971117965722052</v>
      </c>
      <c r="F248" s="103"/>
      <c r="G248" s="103">
        <f>G247/$C$247</f>
        <v>2.8385504766608682</v>
      </c>
      <c r="H248" s="103"/>
      <c r="I248" s="103">
        <f>I247/$C$247</f>
        <v>1.0000085378207109</v>
      </c>
      <c r="J248" s="103"/>
      <c r="K248" s="103">
        <f>K247/$C$247</f>
        <v>1.1753668650705384</v>
      </c>
      <c r="L248" s="103"/>
      <c r="M248" s="103">
        <f>M247/$C$247</f>
        <v>1.0000085378207102</v>
      </c>
      <c r="N248" s="103"/>
      <c r="O248" s="103">
        <f>O247/$C$247</f>
        <v>1.0000085378207109</v>
      </c>
      <c r="P248" s="103"/>
      <c r="Q248" s="103">
        <f>Q247/$C$247</f>
        <v>1.0290616225618583</v>
      </c>
      <c r="R248" s="103"/>
      <c r="S248" s="103">
        <f>S247/$C$247</f>
        <v>1.0298820156180513</v>
      </c>
      <c r="T248" s="103"/>
      <c r="U248" s="103">
        <f>U247/$C$247</f>
        <v>0.500451696352063</v>
      </c>
      <c r="V248" s="103"/>
      <c r="W248" s="103">
        <f>W247/$C$247</f>
        <v>1.0000085378207104</v>
      </c>
      <c r="X248" s="103"/>
      <c r="Y248" s="103">
        <f>Y247/$C$247</f>
        <v>1.0012831922799608</v>
      </c>
      <c r="Z248" s="5"/>
      <c r="AA248" s="103">
        <f>AA247/$C$247</f>
        <v>1.316904131037844</v>
      </c>
      <c r="AB248" s="5"/>
      <c r="AC248" s="103">
        <f>AC247/$C$247</f>
        <v>1.600262807888584</v>
      </c>
      <c r="AD248" s="103"/>
      <c r="AE248" s="103">
        <f>AE247/$C$247</f>
        <v>0.3080619864875573</v>
      </c>
      <c r="AF248" s="5"/>
      <c r="AG248" s="103">
        <f>AG247/$C$247</f>
        <v>1.0000085378207102</v>
      </c>
      <c r="AH248" s="5"/>
      <c r="AI248" s="103">
        <f>AI247/$C$247</f>
        <v>1.0980709023734396</v>
      </c>
      <c r="AJ248" s="100"/>
      <c r="AK248" s="100"/>
      <c r="AL248" s="52" t="s">
        <v>123</v>
      </c>
      <c r="AM248" s="114">
        <f>+U326</f>
        <v>17.828</v>
      </c>
    </row>
    <row r="249" spans="1:39" ht="18">
      <c r="A249" s="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115" t="s">
        <v>124</v>
      </c>
      <c r="AM249" s="114">
        <f>+W326</f>
        <v>10.041</v>
      </c>
    </row>
    <row r="250" spans="1:39" ht="18">
      <c r="A250" s="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2" t="s">
        <v>158</v>
      </c>
      <c r="AM250" s="114">
        <f>+AM248-AM249</f>
        <v>7.786999999999999</v>
      </c>
    </row>
    <row r="251" spans="1:38" ht="18">
      <c r="A251" s="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2"/>
    </row>
    <row r="252" spans="1:40" ht="18">
      <c r="A252" s="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2" t="s">
        <v>159</v>
      </c>
      <c r="AM252" s="118">
        <f>+ROUND(AM250/2,3)</f>
        <v>3.894</v>
      </c>
      <c r="AN252" s="119">
        <f>+AM252/AM250</f>
        <v>0.5000642095800695</v>
      </c>
    </row>
    <row r="253" spans="1:38" ht="17.25">
      <c r="A253" s="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120"/>
    </row>
    <row r="254" spans="1:38" ht="17.25">
      <c r="A254" s="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120"/>
    </row>
    <row r="255" spans="1:38" ht="17.25">
      <c r="A255" s="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120"/>
    </row>
    <row r="256" spans="1:38" ht="17.25">
      <c r="A256" s="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120"/>
    </row>
    <row r="257" spans="1:38" ht="17.25">
      <c r="A257" s="5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120"/>
    </row>
    <row r="258" spans="1:38" ht="17.25">
      <c r="A258" s="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120"/>
    </row>
    <row r="259" spans="1:38" ht="17.25">
      <c r="A259" s="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120"/>
    </row>
    <row r="260" spans="1:38" ht="17.25">
      <c r="A260" s="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120"/>
    </row>
    <row r="261" spans="1:38" ht="17.25">
      <c r="A261" s="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120"/>
    </row>
    <row r="262" spans="1:38" ht="17.25">
      <c r="A262" s="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120"/>
    </row>
    <row r="263" spans="1:38" ht="17.25">
      <c r="A263" s="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120"/>
    </row>
    <row r="264" spans="1:38" ht="17.25">
      <c r="A264" s="5"/>
      <c r="B264" s="71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1"/>
      <c r="N264" s="72"/>
      <c r="O264" s="72"/>
      <c r="P264" s="72"/>
      <c r="Q264" s="72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120"/>
    </row>
    <row r="265" spans="1:38" ht="17.25">
      <c r="A265" s="5"/>
      <c r="B265" s="62" t="s">
        <v>181</v>
      </c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5"/>
      <c r="P265" s="5"/>
      <c r="Q265" s="4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120"/>
    </row>
    <row r="266" spans="1:38" ht="17.25">
      <c r="A266" s="5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120"/>
    </row>
    <row r="267" spans="1:38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120"/>
    </row>
    <row r="268" spans="1:38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120"/>
    </row>
    <row r="269" spans="1:38" ht="25.5" customHeight="1" thickBot="1">
      <c r="A269" s="54"/>
      <c r="B269" s="55" t="s">
        <v>188</v>
      </c>
      <c r="C269" s="56"/>
      <c r="D269" s="56"/>
      <c r="E269" s="54"/>
      <c r="F269" s="54"/>
      <c r="G269" s="54"/>
      <c r="H269" s="54"/>
      <c r="I269" s="16" t="s">
        <v>128</v>
      </c>
      <c r="J269" s="56"/>
      <c r="K269" s="56"/>
      <c r="L269" s="56"/>
      <c r="M269" s="54"/>
      <c r="N269" s="56"/>
      <c r="O269" s="54"/>
      <c r="P269" s="54"/>
      <c r="Q269" s="26" t="s">
        <v>145</v>
      </c>
      <c r="R269" s="56"/>
      <c r="S269" s="16"/>
      <c r="T269" s="54"/>
      <c r="U269" s="54"/>
      <c r="V269" s="54"/>
      <c r="W269" s="34"/>
      <c r="X269" s="34"/>
      <c r="Y269" s="16" t="s">
        <v>128</v>
      </c>
      <c r="Z269" s="54"/>
      <c r="AA269" s="54"/>
      <c r="AB269" s="54"/>
      <c r="AC269" s="54"/>
      <c r="AD269" s="54"/>
      <c r="AE269" s="55"/>
      <c r="AF269" s="54"/>
      <c r="AG269" s="26" t="s">
        <v>147</v>
      </c>
      <c r="AH269" s="34"/>
      <c r="AI269" s="54"/>
      <c r="AJ269" s="5"/>
      <c r="AK269" s="5"/>
      <c r="AL269" s="120"/>
    </row>
    <row r="270" spans="1:38" ht="17.25">
      <c r="A270" s="57"/>
      <c r="B270" s="58" t="s">
        <v>0</v>
      </c>
      <c r="C270" s="59"/>
      <c r="D270" s="59"/>
      <c r="E270" s="57"/>
      <c r="F270" s="57"/>
      <c r="G270" s="57"/>
      <c r="H270" s="57"/>
      <c r="I270" s="17"/>
      <c r="J270" s="59"/>
      <c r="K270" s="59"/>
      <c r="L270" s="59"/>
      <c r="M270" s="60"/>
      <c r="N270" s="59"/>
      <c r="O270" s="57"/>
      <c r="P270" s="57"/>
      <c r="Q270" s="19" t="s">
        <v>1</v>
      </c>
      <c r="R270" s="59"/>
      <c r="S270" s="17"/>
      <c r="T270" s="57"/>
      <c r="U270" s="57"/>
      <c r="V270" s="57"/>
      <c r="W270" s="60"/>
      <c r="X270" s="60"/>
      <c r="Y270" s="17"/>
      <c r="Z270" s="57"/>
      <c r="AA270" s="57"/>
      <c r="AB270" s="57"/>
      <c r="AC270" s="57"/>
      <c r="AD270" s="57"/>
      <c r="AE270" s="59"/>
      <c r="AF270" s="57"/>
      <c r="AG270" s="19" t="s">
        <v>1</v>
      </c>
      <c r="AH270" s="60"/>
      <c r="AI270" s="57"/>
      <c r="AJ270" s="5"/>
      <c r="AK270" s="5"/>
      <c r="AL270" s="120"/>
    </row>
    <row r="271" spans="1:38" ht="17.25">
      <c r="A271" s="5"/>
      <c r="B271" s="61" t="s">
        <v>67</v>
      </c>
      <c r="C271" s="4"/>
      <c r="D271" s="4"/>
      <c r="E271" s="5"/>
      <c r="F271" s="5"/>
      <c r="G271" s="5"/>
      <c r="H271" s="5"/>
      <c r="I271" s="18" t="s">
        <v>129</v>
      </c>
      <c r="J271" s="4"/>
      <c r="K271" s="4"/>
      <c r="L271" s="62"/>
      <c r="N271" s="4"/>
      <c r="O271" s="5"/>
      <c r="P271" s="5"/>
      <c r="Q271" s="27" t="s">
        <v>109</v>
      </c>
      <c r="R271" s="4"/>
      <c r="S271" s="7"/>
      <c r="T271" s="5"/>
      <c r="U271" s="5"/>
      <c r="V271" s="5"/>
      <c r="Y271" s="18" t="s">
        <v>129</v>
      </c>
      <c r="Z271" s="5"/>
      <c r="AA271" s="5"/>
      <c r="AB271" s="5"/>
      <c r="AC271" s="5"/>
      <c r="AD271" s="5"/>
      <c r="AE271" s="62"/>
      <c r="AF271" s="5"/>
      <c r="AG271" s="27" t="s">
        <v>109</v>
      </c>
      <c r="AI271" s="5"/>
      <c r="AJ271" s="5"/>
      <c r="AK271" s="5"/>
      <c r="AL271" s="120"/>
    </row>
    <row r="272" spans="1:38" ht="17.25">
      <c r="A272" s="5"/>
      <c r="B272" s="61" t="s">
        <v>118</v>
      </c>
      <c r="C272" s="4"/>
      <c r="D272" s="4"/>
      <c r="E272" s="5"/>
      <c r="F272" s="5"/>
      <c r="G272" s="5"/>
      <c r="H272" s="5"/>
      <c r="I272" s="18" t="s">
        <v>130</v>
      </c>
      <c r="J272" s="4"/>
      <c r="K272" s="4"/>
      <c r="L272" s="4"/>
      <c r="N272" s="4"/>
      <c r="O272" s="5"/>
      <c r="P272" s="5"/>
      <c r="Q272" s="27" t="s">
        <v>110</v>
      </c>
      <c r="R272" s="4"/>
      <c r="S272" s="18"/>
      <c r="T272" s="5"/>
      <c r="U272" s="5"/>
      <c r="V272" s="5"/>
      <c r="Y272" s="18" t="s">
        <v>130</v>
      </c>
      <c r="Z272" s="5"/>
      <c r="AA272" s="5"/>
      <c r="AB272" s="5"/>
      <c r="AC272" s="5"/>
      <c r="AD272" s="5"/>
      <c r="AE272" s="61"/>
      <c r="AF272" s="5"/>
      <c r="AG272" s="27" t="s">
        <v>110</v>
      </c>
      <c r="AI272" s="5"/>
      <c r="AJ272" s="5"/>
      <c r="AK272" s="5"/>
      <c r="AL272" s="120"/>
    </row>
    <row r="273" spans="1:38" ht="18" thickBot="1">
      <c r="A273" s="54"/>
      <c r="B273" s="54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4"/>
      <c r="P273" s="54"/>
      <c r="Q273" s="56"/>
      <c r="R273" s="56"/>
      <c r="S273" s="54"/>
      <c r="T273" s="54"/>
      <c r="U273" s="54"/>
      <c r="V273" s="54"/>
      <c r="W273" s="34"/>
      <c r="X273" s="34"/>
      <c r="Y273" s="56"/>
      <c r="Z273" s="54"/>
      <c r="AA273" s="54"/>
      <c r="AB273" s="54"/>
      <c r="AC273" s="54"/>
      <c r="AD273" s="54"/>
      <c r="AE273" s="64"/>
      <c r="AF273" s="54"/>
      <c r="AG273" s="34"/>
      <c r="AH273" s="34"/>
      <c r="AI273" s="54"/>
      <c r="AJ273" s="73"/>
      <c r="AK273" s="73"/>
      <c r="AL273" s="120"/>
    </row>
    <row r="274" spans="1:38" ht="25.5" customHeight="1">
      <c r="A274" s="57"/>
      <c r="B274" s="59"/>
      <c r="C274" s="59"/>
      <c r="D274" s="59"/>
      <c r="E274" s="59"/>
      <c r="F274" s="59"/>
      <c r="G274" s="59"/>
      <c r="H274" s="59"/>
      <c r="I274" s="65" t="s">
        <v>139</v>
      </c>
      <c r="J274" s="59"/>
      <c r="K274" s="59"/>
      <c r="L274" s="59"/>
      <c r="M274" s="59"/>
      <c r="N274" s="59"/>
      <c r="O274" s="59"/>
      <c r="P274" s="59"/>
      <c r="Q274" s="59"/>
      <c r="R274" s="59"/>
      <c r="S274" s="57"/>
      <c r="T274" s="57"/>
      <c r="U274" s="57"/>
      <c r="V274" s="57"/>
      <c r="W274" s="60"/>
      <c r="X274" s="57"/>
      <c r="Y274" s="65" t="s">
        <v>139</v>
      </c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"/>
      <c r="AK274" s="5"/>
      <c r="AL274" s="120"/>
    </row>
    <row r="275" spans="1:38" ht="17.25">
      <c r="A275" s="5"/>
      <c r="B275" s="5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62"/>
      <c r="Q275" s="4"/>
      <c r="R275" s="5"/>
      <c r="S275" s="18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120"/>
    </row>
    <row r="276" spans="1:38" ht="17.25">
      <c r="A276" s="5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5"/>
      <c r="P276" s="5"/>
      <c r="Q276" s="4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120"/>
    </row>
    <row r="277" spans="1:38" ht="17.25">
      <c r="A277" s="5"/>
      <c r="B277" s="62"/>
      <c r="C277" s="19"/>
      <c r="D277" s="19"/>
      <c r="E277" s="20"/>
      <c r="F277" s="20"/>
      <c r="G277" s="20"/>
      <c r="H277" s="20"/>
      <c r="I277" s="20" t="s">
        <v>69</v>
      </c>
      <c r="J277" s="20"/>
      <c r="K277" s="20"/>
      <c r="L277" s="20"/>
      <c r="M277" s="21" t="s">
        <v>131</v>
      </c>
      <c r="N277" s="20"/>
      <c r="O277" s="21" t="s">
        <v>119</v>
      </c>
      <c r="P277" s="21"/>
      <c r="Q277" s="21" t="s">
        <v>120</v>
      </c>
      <c r="R277" s="20"/>
      <c r="S277" s="21" t="s">
        <v>70</v>
      </c>
      <c r="T277" s="20"/>
      <c r="U277" s="21" t="s">
        <v>71</v>
      </c>
      <c r="V277" s="21"/>
      <c r="W277" s="20" t="s">
        <v>132</v>
      </c>
      <c r="X277" s="20"/>
      <c r="Y277" s="20" t="s">
        <v>81</v>
      </c>
      <c r="Z277" s="20"/>
      <c r="AA277" s="20" t="s">
        <v>82</v>
      </c>
      <c r="AB277" s="20"/>
      <c r="AC277" s="20" t="s">
        <v>174</v>
      </c>
      <c r="AD277" s="20"/>
      <c r="AE277" s="20"/>
      <c r="AF277" s="20"/>
      <c r="AG277" s="20"/>
      <c r="AH277" s="20"/>
      <c r="AI277" s="20"/>
      <c r="AJ277" s="2"/>
      <c r="AK277" s="2"/>
      <c r="AL277" s="121"/>
    </row>
    <row r="278" spans="1:38" ht="17.25">
      <c r="A278" s="5"/>
      <c r="B278" s="4"/>
      <c r="C278" s="19"/>
      <c r="D278" s="19"/>
      <c r="E278" s="20" t="s">
        <v>68</v>
      </c>
      <c r="F278" s="20"/>
      <c r="G278" s="20" t="s">
        <v>68</v>
      </c>
      <c r="H278" s="20"/>
      <c r="I278" s="20" t="s">
        <v>72</v>
      </c>
      <c r="J278" s="20"/>
      <c r="K278" s="20" t="s">
        <v>69</v>
      </c>
      <c r="L278" s="20"/>
      <c r="M278" s="20" t="s">
        <v>73</v>
      </c>
      <c r="N278" s="20"/>
      <c r="O278" s="20" t="s">
        <v>74</v>
      </c>
      <c r="P278" s="20"/>
      <c r="Q278" s="20" t="s">
        <v>74</v>
      </c>
      <c r="R278" s="20"/>
      <c r="S278" s="20" t="s">
        <v>74</v>
      </c>
      <c r="T278" s="20"/>
      <c r="U278" s="20" t="s">
        <v>74</v>
      </c>
      <c r="V278" s="20"/>
      <c r="W278" s="20" t="s">
        <v>74</v>
      </c>
      <c r="X278" s="20"/>
      <c r="Y278" s="20" t="s">
        <v>133</v>
      </c>
      <c r="Z278" s="20"/>
      <c r="AA278" s="21" t="s">
        <v>83</v>
      </c>
      <c r="AB278" s="20"/>
      <c r="AC278" s="21" t="s">
        <v>83</v>
      </c>
      <c r="AD278" s="20"/>
      <c r="AE278" s="20" t="s">
        <v>134</v>
      </c>
      <c r="AF278" s="20"/>
      <c r="AG278" s="20" t="s">
        <v>84</v>
      </c>
      <c r="AH278" s="20"/>
      <c r="AI278" s="20" t="s">
        <v>85</v>
      </c>
      <c r="AJ278" s="2"/>
      <c r="AK278" s="2"/>
      <c r="AL278" s="121"/>
    </row>
    <row r="279" spans="1:38" ht="18" thickBot="1">
      <c r="A279" s="67" t="s">
        <v>66</v>
      </c>
      <c r="B279" s="4"/>
      <c r="C279" s="35" t="s">
        <v>16</v>
      </c>
      <c r="D279" s="35"/>
      <c r="E279" s="22" t="s">
        <v>76</v>
      </c>
      <c r="F279" s="23"/>
      <c r="G279" s="24" t="s">
        <v>111</v>
      </c>
      <c r="H279" s="23"/>
      <c r="I279" s="22" t="s">
        <v>75</v>
      </c>
      <c r="J279" s="22"/>
      <c r="K279" s="22" t="s">
        <v>111</v>
      </c>
      <c r="L279" s="22"/>
      <c r="M279" s="22" t="s">
        <v>76</v>
      </c>
      <c r="N279" s="22"/>
      <c r="O279" s="22" t="s">
        <v>77</v>
      </c>
      <c r="P279" s="22"/>
      <c r="Q279" s="22" t="s">
        <v>78</v>
      </c>
      <c r="R279" s="25"/>
      <c r="S279" s="22" t="s">
        <v>79</v>
      </c>
      <c r="T279" s="22"/>
      <c r="U279" s="22" t="s">
        <v>80</v>
      </c>
      <c r="V279" s="25"/>
      <c r="W279" s="22" t="s">
        <v>86</v>
      </c>
      <c r="X279" s="22"/>
      <c r="Y279" s="22" t="s">
        <v>76</v>
      </c>
      <c r="Z279" s="22"/>
      <c r="AA279" s="22" t="s">
        <v>76</v>
      </c>
      <c r="AB279" s="22"/>
      <c r="AC279" s="22" t="s">
        <v>87</v>
      </c>
      <c r="AD279" s="25"/>
      <c r="AE279" s="22" t="s">
        <v>135</v>
      </c>
      <c r="AF279" s="22"/>
      <c r="AG279" s="22" t="s">
        <v>76</v>
      </c>
      <c r="AH279" s="25"/>
      <c r="AI279" s="22" t="s">
        <v>88</v>
      </c>
      <c r="AJ279" s="3"/>
      <c r="AK279" s="3"/>
      <c r="AL279" s="121"/>
    </row>
    <row r="280" spans="1:38" ht="18">
      <c r="A280" s="7">
        <v>1</v>
      </c>
      <c r="B280" s="74" t="s">
        <v>55</v>
      </c>
      <c r="C280" s="76">
        <f>C242</f>
        <v>190558489.68854207</v>
      </c>
      <c r="D280" s="76"/>
      <c r="E280" s="76">
        <f>E242</f>
        <v>79820635.39476562</v>
      </c>
      <c r="F280" s="76"/>
      <c r="G280" s="76">
        <f>G242</f>
        <v>190616.63502298942</v>
      </c>
      <c r="H280" s="76"/>
      <c r="I280" s="76">
        <f>I242</f>
        <v>171952.6249153782</v>
      </c>
      <c r="J280" s="76"/>
      <c r="K280" s="76">
        <f>K242</f>
        <v>356842.2834347325</v>
      </c>
      <c r="L280" s="76"/>
      <c r="M280" s="76">
        <f>M242</f>
        <v>6219297.872746872</v>
      </c>
      <c r="N280" s="76"/>
      <c r="O280" s="76">
        <f>O242</f>
        <v>23354163.00181551</v>
      </c>
      <c r="P280" s="76"/>
      <c r="Q280" s="76">
        <f>Q242</f>
        <v>32028274.66623658</v>
      </c>
      <c r="R280" s="76"/>
      <c r="S280" s="76">
        <f>S242</f>
        <v>16217172.286317864</v>
      </c>
      <c r="T280" s="76"/>
      <c r="U280" s="76">
        <f>U242</f>
        <v>6956233.714067665</v>
      </c>
      <c r="V280" s="76"/>
      <c r="W280" s="76">
        <f>W242</f>
        <v>8051127.0840854915</v>
      </c>
      <c r="X280" s="76"/>
      <c r="Y280" s="76">
        <f>Y242</f>
        <v>3682419.6089756573</v>
      </c>
      <c r="Z280" s="45"/>
      <c r="AA280" s="76">
        <f>AA242</f>
        <v>4860131.630454201</v>
      </c>
      <c r="AB280" s="45"/>
      <c r="AC280" s="76">
        <f>AC242</f>
        <v>1587283.4244699713</v>
      </c>
      <c r="AD280" s="76"/>
      <c r="AE280" s="76">
        <f>AE242</f>
        <v>87399.58200416608</v>
      </c>
      <c r="AF280" s="45"/>
      <c r="AG280" s="76">
        <f>AG242</f>
        <v>256461.52073474348</v>
      </c>
      <c r="AH280" s="45"/>
      <c r="AI280" s="76">
        <f>AI242</f>
        <v>6718478.35849467</v>
      </c>
      <c r="AJ280" s="6"/>
      <c r="AK280" s="6"/>
      <c r="AL280" s="95"/>
    </row>
    <row r="281" spans="1:38" ht="17.25">
      <c r="A281" s="7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120"/>
    </row>
    <row r="282" spans="1:60" ht="17.25">
      <c r="A282" s="7">
        <v>2</v>
      </c>
      <c r="B282" s="122" t="s">
        <v>96</v>
      </c>
      <c r="C282" s="13">
        <f>C241</f>
        <v>9780512.59079229</v>
      </c>
      <c r="D282" s="13"/>
      <c r="E282" s="13">
        <f>E241</f>
        <v>8031861.520783558</v>
      </c>
      <c r="F282" s="13"/>
      <c r="G282" s="13">
        <f>G241</f>
        <v>18776.63502298941</v>
      </c>
      <c r="H282" s="13"/>
      <c r="I282" s="13">
        <f>I241</f>
        <v>1925.1816368537256</v>
      </c>
      <c r="J282" s="13"/>
      <c r="K282" s="13">
        <f>K241</f>
        <v>24202.283434732548</v>
      </c>
      <c r="L282" s="13"/>
      <c r="M282" s="13">
        <f>M241</f>
        <v>318604.8282165081</v>
      </c>
      <c r="N282" s="13"/>
      <c r="O282" s="13">
        <f>O241</f>
        <v>407278.8031696607</v>
      </c>
      <c r="P282" s="13"/>
      <c r="Q282" s="13">
        <f>Q241</f>
        <v>185295.40844220016</v>
      </c>
      <c r="R282" s="13"/>
      <c r="S282" s="13">
        <f>S241</f>
        <v>25293.443946347004</v>
      </c>
      <c r="T282" s="13"/>
      <c r="U282" s="13">
        <f>U241</f>
        <v>3758.687957666798</v>
      </c>
      <c r="V282" s="13"/>
      <c r="W282" s="13">
        <f>W241</f>
        <v>343473.4780150518</v>
      </c>
      <c r="X282" s="13"/>
      <c r="Y282" s="13">
        <f>Y241</f>
        <v>114005.52457589304</v>
      </c>
      <c r="Z282" s="5"/>
      <c r="AA282" s="13">
        <f>AA241</f>
        <v>86494.20561838591</v>
      </c>
      <c r="AB282" s="5"/>
      <c r="AC282" s="13">
        <f>AC241</f>
        <v>56120.28904477665</v>
      </c>
      <c r="AD282" s="5"/>
      <c r="AE282" s="13">
        <f>AE241</f>
        <v>458.376580203268</v>
      </c>
      <c r="AF282" s="5"/>
      <c r="AG282" s="13">
        <f>AG241</f>
        <v>336.1428254823966</v>
      </c>
      <c r="AH282" s="5"/>
      <c r="AI282" s="13">
        <f>AI241</f>
        <v>162627.78152198438</v>
      </c>
      <c r="AJ282" s="6"/>
      <c r="AK282" s="6"/>
      <c r="AL282" s="123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8"/>
      <c r="AZ282" s="8"/>
      <c r="BA282" s="8"/>
      <c r="BB282" s="8"/>
      <c r="BC282" s="8"/>
      <c r="BD282" s="8"/>
      <c r="BE282" s="8"/>
      <c r="BF282" s="8"/>
      <c r="BG282" s="8"/>
      <c r="BH282" s="8"/>
    </row>
    <row r="283" spans="1:50" ht="17.25">
      <c r="A283" s="7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124"/>
      <c r="AK283" s="124"/>
      <c r="AL283" s="123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</row>
    <row r="284" spans="1:50" ht="17.25">
      <c r="A284" s="7">
        <v>3</v>
      </c>
      <c r="B284" s="36" t="s">
        <v>56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5"/>
      <c r="S284" s="5"/>
      <c r="T284" s="5"/>
      <c r="U284" s="11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124"/>
      <c r="AK284" s="124"/>
      <c r="AL284" s="123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</row>
    <row r="285" spans="1:50" ht="18">
      <c r="A285" s="7">
        <v>4</v>
      </c>
      <c r="B285" s="125" t="s">
        <v>57</v>
      </c>
      <c r="C285" s="43"/>
      <c r="D285" s="43"/>
      <c r="E285" s="46" t="s">
        <v>171</v>
      </c>
      <c r="F285" s="47"/>
      <c r="G285" s="47">
        <f>(G280-G282)/G286</f>
        <v>20</v>
      </c>
      <c r="H285" s="47"/>
      <c r="I285" s="47">
        <v>0</v>
      </c>
      <c r="J285" s="47"/>
      <c r="K285" s="47">
        <f>(K280-K282)/K286</f>
        <v>35</v>
      </c>
      <c r="L285" s="47"/>
      <c r="M285" s="47">
        <v>25</v>
      </c>
      <c r="N285" s="47"/>
      <c r="O285" s="47">
        <v>35</v>
      </c>
      <c r="P285" s="47"/>
      <c r="Q285" s="47">
        <v>50</v>
      </c>
      <c r="R285" s="47"/>
      <c r="S285" s="47">
        <v>150</v>
      </c>
      <c r="T285" s="47"/>
      <c r="U285" s="47">
        <v>250</v>
      </c>
      <c r="V285" s="47"/>
      <c r="W285" s="47">
        <v>300</v>
      </c>
      <c r="X285" s="47"/>
      <c r="Y285" s="47">
        <v>300</v>
      </c>
      <c r="Z285" s="47"/>
      <c r="AA285" s="47">
        <v>475</v>
      </c>
      <c r="AB285" s="47"/>
      <c r="AC285" s="47">
        <v>475</v>
      </c>
      <c r="AD285" s="47"/>
      <c r="AE285" s="47">
        <v>45</v>
      </c>
      <c r="AF285" s="45"/>
      <c r="AG285" s="47">
        <v>150</v>
      </c>
      <c r="AH285" s="45"/>
      <c r="AI285" s="47">
        <f>+AI324</f>
        <v>0</v>
      </c>
      <c r="AJ285" s="30"/>
      <c r="AK285" s="30"/>
      <c r="AL285" s="126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</row>
    <row r="286" spans="1:50" ht="18">
      <c r="A286" s="7">
        <v>5</v>
      </c>
      <c r="B286" s="36" t="s">
        <v>65</v>
      </c>
      <c r="C286" s="13">
        <f>SUM(E286:AI286)</f>
        <v>4065536.656</v>
      </c>
      <c r="D286" s="13"/>
      <c r="E286" s="13">
        <f>+'[1]SCHE-1'!$C$140+'[1]SCHE-1'!$D$140+'[1]SCHE-1'!$E$140</f>
        <v>3675289</v>
      </c>
      <c r="F286" s="13"/>
      <c r="G286" s="13">
        <f>+'[1]SCHE-1'!$F$140</f>
        <v>8592</v>
      </c>
      <c r="H286" s="13"/>
      <c r="I286" s="13">
        <f>+'[1]SCHE-1'!$G$140</f>
        <v>756</v>
      </c>
      <c r="J286" s="13"/>
      <c r="K286" s="13">
        <f>+'[1]SCHE-1'!$H$140</f>
        <v>9504</v>
      </c>
      <c r="L286" s="13"/>
      <c r="M286" s="13">
        <f>+'[1]SCHE-1'!$I$140</f>
        <v>125113</v>
      </c>
      <c r="N286" s="13"/>
      <c r="O286" s="13">
        <f>+'[1]SCHE-1'!$J$140</f>
        <v>159942</v>
      </c>
      <c r="P286" s="13"/>
      <c r="Q286" s="13">
        <f>+'[1]SCHE-1'!$K$140</f>
        <v>72768</v>
      </c>
      <c r="R286" s="13"/>
      <c r="S286" s="13">
        <f>+'[1]SCHE-1'!$L$140</f>
        <v>9930.655999999999</v>
      </c>
      <c r="T286" s="13"/>
      <c r="U286" s="13">
        <f>+'[1]SCHE-1'!$M$140</f>
        <v>1476</v>
      </c>
      <c r="V286" s="13"/>
      <c r="W286" s="13">
        <f>+'[1]SCHE-1'!$N$140</f>
        <v>1242</v>
      </c>
      <c r="X286" s="13"/>
      <c r="Y286" s="13">
        <f>+'[1]SCHE-1'!$O$140</f>
        <v>312</v>
      </c>
      <c r="Z286" s="4"/>
      <c r="AA286" s="4">
        <f>+'[1]SCHE-1'!$P$140</f>
        <v>168</v>
      </c>
      <c r="AB286" s="4"/>
      <c r="AC286" s="4">
        <f>+'[1]SCHE-1'!$Q$140</f>
        <v>36</v>
      </c>
      <c r="AD286" s="4"/>
      <c r="AE286" s="4">
        <f>+'[1]SCHE-1'!$R$140</f>
        <v>180</v>
      </c>
      <c r="AF286" s="5"/>
      <c r="AG286" s="4">
        <f>+'[1]SCHE-1'!$S$140</f>
        <v>132</v>
      </c>
      <c r="AH286" s="5"/>
      <c r="AI286" s="4">
        <f>+'[1]SCHE-1'!$T$140</f>
        <v>96</v>
      </c>
      <c r="AJ286" s="127"/>
      <c r="AK286" s="127"/>
      <c r="AL286" s="128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</row>
    <row r="287" spans="1:50" ht="18">
      <c r="A287" s="7"/>
      <c r="B287" s="36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4"/>
      <c r="AC287" s="13"/>
      <c r="AD287" s="13"/>
      <c r="AE287" s="13"/>
      <c r="AF287" s="13"/>
      <c r="AG287" s="13"/>
      <c r="AH287" s="13"/>
      <c r="AI287" s="13"/>
      <c r="AJ287" s="127"/>
      <c r="AK287" s="127"/>
      <c r="AL287" s="128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</row>
    <row r="288" spans="1:50" ht="18">
      <c r="A288" s="7">
        <v>6</v>
      </c>
      <c r="B288" s="36" t="s">
        <v>161</v>
      </c>
      <c r="C288" s="13"/>
      <c r="D288" s="13"/>
      <c r="E288" s="13" t="e">
        <f>+ROUND(#REF!,0)</f>
        <v>#REF!</v>
      </c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4"/>
      <c r="AA288" s="4"/>
      <c r="AB288" s="4"/>
      <c r="AC288" s="4"/>
      <c r="AD288" s="4"/>
      <c r="AE288" s="4"/>
      <c r="AF288" s="5"/>
      <c r="AG288" s="4"/>
      <c r="AH288" s="5"/>
      <c r="AI288" s="4"/>
      <c r="AJ288" s="127"/>
      <c r="AK288" s="127"/>
      <c r="AL288" s="128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</row>
    <row r="289" spans="1:50" ht="18">
      <c r="A289" s="7">
        <v>7</v>
      </c>
      <c r="B289" s="36" t="s">
        <v>162</v>
      </c>
      <c r="C289" s="13"/>
      <c r="D289" s="13"/>
      <c r="E289" s="28" t="e">
        <f>+#REF!</f>
        <v>#REF!</v>
      </c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4"/>
      <c r="AA289" s="4"/>
      <c r="AB289" s="4"/>
      <c r="AC289" s="4"/>
      <c r="AD289" s="4"/>
      <c r="AE289" s="4"/>
      <c r="AF289" s="5"/>
      <c r="AG289" s="4"/>
      <c r="AH289" s="5"/>
      <c r="AI289" s="4"/>
      <c r="AJ289" s="127"/>
      <c r="AK289" s="127"/>
      <c r="AL289" s="128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</row>
    <row r="290" spans="1:50" s="133" customFormat="1" ht="11.25">
      <c r="A290" s="31"/>
      <c r="B290" s="40"/>
      <c r="C290" s="32"/>
      <c r="D290" s="32"/>
      <c r="E290" s="33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129"/>
      <c r="AA290" s="129"/>
      <c r="AB290" s="129"/>
      <c r="AC290" s="129"/>
      <c r="AD290" s="129"/>
      <c r="AE290" s="129"/>
      <c r="AF290" s="129"/>
      <c r="AG290" s="129"/>
      <c r="AH290" s="129"/>
      <c r="AI290" s="129"/>
      <c r="AJ290" s="130"/>
      <c r="AK290" s="130"/>
      <c r="AL290" s="131"/>
      <c r="AM290" s="132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</row>
    <row r="291" spans="1:50" ht="18">
      <c r="A291" s="7">
        <v>8</v>
      </c>
      <c r="B291" s="36" t="s">
        <v>163</v>
      </c>
      <c r="C291" s="13"/>
      <c r="D291" s="13"/>
      <c r="E291" s="13" t="e">
        <f>+ROUND(#REF!,0)</f>
        <v>#REF!</v>
      </c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4"/>
      <c r="AA291" s="4"/>
      <c r="AB291" s="4"/>
      <c r="AC291" s="4"/>
      <c r="AD291" s="4"/>
      <c r="AE291" s="4"/>
      <c r="AF291" s="5"/>
      <c r="AG291" s="4"/>
      <c r="AH291" s="5"/>
      <c r="AI291" s="4"/>
      <c r="AJ291" s="127"/>
      <c r="AK291" s="127"/>
      <c r="AL291" s="128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</row>
    <row r="292" spans="1:50" ht="18">
      <c r="A292" s="7">
        <v>9</v>
      </c>
      <c r="B292" s="36" t="s">
        <v>164</v>
      </c>
      <c r="C292" s="13"/>
      <c r="D292" s="13"/>
      <c r="E292" s="28" t="e">
        <f>+#REF!</f>
        <v>#REF!</v>
      </c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4"/>
      <c r="AA292" s="4"/>
      <c r="AB292" s="4"/>
      <c r="AC292" s="4"/>
      <c r="AD292" s="4"/>
      <c r="AE292" s="4"/>
      <c r="AF292" s="5"/>
      <c r="AG292" s="4"/>
      <c r="AH292" s="5"/>
      <c r="AI292" s="4"/>
      <c r="AJ292" s="127"/>
      <c r="AK292" s="127"/>
      <c r="AL292" s="128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</row>
    <row r="293" spans="1:50" s="133" customFormat="1" ht="11.25">
      <c r="A293" s="31"/>
      <c r="B293" s="40"/>
      <c r="C293" s="32"/>
      <c r="D293" s="32"/>
      <c r="E293" s="33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129"/>
      <c r="AA293" s="129"/>
      <c r="AB293" s="129"/>
      <c r="AC293" s="129"/>
      <c r="AD293" s="129"/>
      <c r="AE293" s="129"/>
      <c r="AF293" s="129"/>
      <c r="AG293" s="129"/>
      <c r="AH293" s="129"/>
      <c r="AI293" s="129"/>
      <c r="AJ293" s="130"/>
      <c r="AK293" s="130"/>
      <c r="AL293" s="131"/>
      <c r="AM293" s="132"/>
      <c r="AN293" s="132"/>
      <c r="AO293" s="132"/>
      <c r="AP293" s="132"/>
      <c r="AQ293" s="132"/>
      <c r="AR293" s="132"/>
      <c r="AS293" s="132"/>
      <c r="AT293" s="132"/>
      <c r="AU293" s="132"/>
      <c r="AV293" s="132"/>
      <c r="AW293" s="132"/>
      <c r="AX293" s="132"/>
    </row>
    <row r="294" spans="1:50" ht="18">
      <c r="A294" s="7">
        <v>10</v>
      </c>
      <c r="B294" s="36" t="s">
        <v>165</v>
      </c>
      <c r="C294" s="13"/>
      <c r="D294" s="13"/>
      <c r="E294" s="13" t="e">
        <f>+ROUND(#REF!,0)</f>
        <v>#REF!</v>
      </c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4"/>
      <c r="AA294" s="4"/>
      <c r="AB294" s="4"/>
      <c r="AC294" s="4"/>
      <c r="AD294" s="4"/>
      <c r="AE294" s="4"/>
      <c r="AF294" s="5"/>
      <c r="AG294" s="4"/>
      <c r="AH294" s="5"/>
      <c r="AI294" s="4"/>
      <c r="AJ294" s="127"/>
      <c r="AK294" s="127"/>
      <c r="AL294" s="128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</row>
    <row r="295" spans="1:50" ht="18">
      <c r="A295" s="7">
        <v>11</v>
      </c>
      <c r="B295" s="36" t="s">
        <v>166</v>
      </c>
      <c r="C295" s="13"/>
      <c r="D295" s="13"/>
      <c r="E295" s="28" t="e">
        <f>+#REF!</f>
        <v>#REF!</v>
      </c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4"/>
      <c r="AA295" s="4"/>
      <c r="AB295" s="4"/>
      <c r="AC295" s="4"/>
      <c r="AD295" s="4"/>
      <c r="AE295" s="4"/>
      <c r="AF295" s="5"/>
      <c r="AG295" s="4"/>
      <c r="AH295" s="5"/>
      <c r="AI295" s="4"/>
      <c r="AJ295" s="127"/>
      <c r="AK295" s="127"/>
      <c r="AL295" s="128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</row>
    <row r="296" spans="1:50" ht="18">
      <c r="A296" s="7"/>
      <c r="B296" s="36"/>
      <c r="C296" s="13"/>
      <c r="D296" s="13"/>
      <c r="E296" s="29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4"/>
      <c r="AA296" s="4"/>
      <c r="AB296" s="4"/>
      <c r="AC296" s="4"/>
      <c r="AD296" s="4"/>
      <c r="AE296" s="4"/>
      <c r="AF296" s="5"/>
      <c r="AG296" s="4"/>
      <c r="AH296" s="5"/>
      <c r="AI296" s="4"/>
      <c r="AJ296" s="127"/>
      <c r="AK296" s="127"/>
      <c r="AL296" s="128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</row>
    <row r="297" spans="1:50" ht="18">
      <c r="A297" s="7">
        <v>12</v>
      </c>
      <c r="B297" s="36" t="s">
        <v>122</v>
      </c>
      <c r="C297" s="13"/>
      <c r="D297" s="13"/>
      <c r="E297" s="70">
        <f>1-0.975</f>
        <v>0.025000000000000022</v>
      </c>
      <c r="F297" s="13"/>
      <c r="G297" s="70">
        <v>0</v>
      </c>
      <c r="H297" s="70"/>
      <c r="I297" s="70">
        <v>0</v>
      </c>
      <c r="J297" s="70"/>
      <c r="K297" s="70">
        <v>0</v>
      </c>
      <c r="L297" s="70"/>
      <c r="M297" s="70">
        <f>1-0.9875</f>
        <v>0.012499999999999956</v>
      </c>
      <c r="N297" s="70"/>
      <c r="O297" s="70">
        <f>1-0.9667</f>
        <v>0.033299999999999996</v>
      </c>
      <c r="P297" s="70"/>
      <c r="Q297" s="70">
        <f>1-0.9714</f>
        <v>0.02859999999999996</v>
      </c>
      <c r="R297" s="70"/>
      <c r="S297" s="70">
        <v>0</v>
      </c>
      <c r="T297" s="70"/>
      <c r="U297" s="70">
        <v>0</v>
      </c>
      <c r="V297" s="70">
        <v>0</v>
      </c>
      <c r="W297" s="70">
        <v>0</v>
      </c>
      <c r="X297" s="13">
        <f>Y$280-Y$282-Y$298-Y$300</f>
        <v>3474814.0843997644</v>
      </c>
      <c r="Y297" s="70">
        <v>0</v>
      </c>
      <c r="Z297" s="70"/>
      <c r="AA297" s="70">
        <v>0</v>
      </c>
      <c r="AB297" s="70"/>
      <c r="AC297" s="70">
        <v>0</v>
      </c>
      <c r="AD297" s="70"/>
      <c r="AE297" s="70">
        <v>0</v>
      </c>
      <c r="AF297" s="70"/>
      <c r="AG297" s="70">
        <v>0</v>
      </c>
      <c r="AH297" s="70"/>
      <c r="AI297" s="70">
        <v>0</v>
      </c>
      <c r="AJ297" s="127"/>
      <c r="AK297" s="127"/>
      <c r="AL297" s="128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</row>
    <row r="298" spans="1:50" ht="18">
      <c r="A298" s="7">
        <v>13</v>
      </c>
      <c r="B298" s="74" t="s">
        <v>103</v>
      </c>
      <c r="C298" s="76" t="e">
        <f>SUM(E298:AI298)</f>
        <v>#REF!</v>
      </c>
      <c r="D298" s="76"/>
      <c r="E298" s="76" t="e">
        <f>(E288*E289+E291*E292+E294*E295)*(1-E297)</f>
        <v>#REF!</v>
      </c>
      <c r="F298" s="76"/>
      <c r="G298" s="76">
        <f>G285*G286*(1-G297)</f>
        <v>171840</v>
      </c>
      <c r="H298" s="76"/>
      <c r="I298" s="76">
        <f>I285*I286*(1-I297)</f>
        <v>0</v>
      </c>
      <c r="J298" s="76"/>
      <c r="K298" s="76">
        <f>K285*K286*(1-K297)</f>
        <v>332640</v>
      </c>
      <c r="L298" s="76"/>
      <c r="M298" s="76">
        <f>M285*M286*(1-M297)</f>
        <v>3088727.1875</v>
      </c>
      <c r="N298" s="76"/>
      <c r="O298" s="76">
        <f>O285*O286*(1-O297)</f>
        <v>5411557.599</v>
      </c>
      <c r="P298" s="76"/>
      <c r="Q298" s="76">
        <f>Q285*Q286*(1-Q297)</f>
        <v>3534341.7600000002</v>
      </c>
      <c r="R298" s="76"/>
      <c r="S298" s="76">
        <f>S285*S286*(1-S297)</f>
        <v>1489598.4</v>
      </c>
      <c r="T298" s="76"/>
      <c r="U298" s="76">
        <f>U285*U286*(1-U297)</f>
        <v>369000</v>
      </c>
      <c r="V298" s="76"/>
      <c r="W298" s="76">
        <f>W285*W286*(1-W297)</f>
        <v>372600</v>
      </c>
      <c r="X298" s="76"/>
      <c r="Y298" s="76">
        <f>Y285*Y286*(1-Y297)</f>
        <v>93600</v>
      </c>
      <c r="Z298" s="76"/>
      <c r="AA298" s="76">
        <f>AA285*AA286*(1-AA297)</f>
        <v>79800</v>
      </c>
      <c r="AB298" s="76"/>
      <c r="AC298" s="76">
        <f>AC285*AC286*(1-AC297)</f>
        <v>17100</v>
      </c>
      <c r="AD298" s="76"/>
      <c r="AE298" s="76">
        <f>AE285*AE286*(1-AE297)</f>
        <v>8100</v>
      </c>
      <c r="AF298" s="45"/>
      <c r="AG298" s="76">
        <f>AG285*AG286*(1-AG297)</f>
        <v>19800</v>
      </c>
      <c r="AH298" s="45"/>
      <c r="AI298" s="76">
        <f>AI285*AI286*(1-AI297)</f>
        <v>0</v>
      </c>
      <c r="AJ298" s="6"/>
      <c r="AK298" s="6"/>
      <c r="AL298" s="95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</row>
    <row r="299" spans="1:38" ht="18">
      <c r="A299" s="7"/>
      <c r="B299" s="36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5"/>
      <c r="AA299" s="13"/>
      <c r="AB299" s="5"/>
      <c r="AC299" s="13"/>
      <c r="AD299" s="13"/>
      <c r="AE299" s="13"/>
      <c r="AF299" s="5"/>
      <c r="AG299" s="13"/>
      <c r="AH299" s="5"/>
      <c r="AI299" s="13"/>
      <c r="AJ299" s="6"/>
      <c r="AK299" s="6"/>
      <c r="AL299" s="95"/>
    </row>
    <row r="300" spans="1:256" ht="17.25">
      <c r="A300" s="7">
        <v>14</v>
      </c>
      <c r="B300" s="36" t="s">
        <v>104</v>
      </c>
      <c r="C300" s="4">
        <f>SUM(E300:AI300)</f>
        <v>0</v>
      </c>
      <c r="D300" s="4"/>
      <c r="E300" s="4">
        <v>0</v>
      </c>
      <c r="F300" s="4"/>
      <c r="G300" s="4">
        <v>0</v>
      </c>
      <c r="H300" s="4"/>
      <c r="I300" s="4">
        <v>0</v>
      </c>
      <c r="J300" s="4"/>
      <c r="K300" s="4">
        <v>0</v>
      </c>
      <c r="L300" s="4"/>
      <c r="M300" s="4">
        <v>0</v>
      </c>
      <c r="N300" s="4"/>
      <c r="O300" s="4">
        <v>0</v>
      </c>
      <c r="P300" s="4"/>
      <c r="Q300" s="4">
        <v>0</v>
      </c>
      <c r="R300" s="5"/>
      <c r="S300" s="5">
        <v>0</v>
      </c>
      <c r="T300" s="5"/>
      <c r="U300" s="5">
        <v>0</v>
      </c>
      <c r="V300" s="5"/>
      <c r="W300" s="5">
        <v>0</v>
      </c>
      <c r="X300" s="5"/>
      <c r="Y300" s="5">
        <v>0</v>
      </c>
      <c r="Z300" s="5"/>
      <c r="AA300" s="5">
        <v>0</v>
      </c>
      <c r="AB300" s="5"/>
      <c r="AC300" s="5">
        <v>0</v>
      </c>
      <c r="AD300" s="5"/>
      <c r="AE300" s="5">
        <v>0</v>
      </c>
      <c r="AF300" s="5"/>
      <c r="AG300" s="5">
        <v>0</v>
      </c>
      <c r="AH300" s="5"/>
      <c r="AI300" s="5">
        <v>0</v>
      </c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38" ht="17.25">
      <c r="A301" s="7"/>
      <c r="B301" s="4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8"/>
      <c r="S301" s="108"/>
      <c r="T301" s="108"/>
      <c r="U301" s="108"/>
      <c r="V301" s="108"/>
      <c r="W301" s="108"/>
      <c r="X301" s="108"/>
      <c r="Y301" s="108"/>
      <c r="Z301" s="5"/>
      <c r="AA301" s="108"/>
      <c r="AB301" s="108"/>
      <c r="AC301" s="108"/>
      <c r="AD301" s="108"/>
      <c r="AE301" s="108"/>
      <c r="AF301" s="5"/>
      <c r="AG301" s="108"/>
      <c r="AH301" s="5"/>
      <c r="AI301" s="108"/>
      <c r="AJ301" s="5"/>
      <c r="AK301" s="5"/>
      <c r="AL301" s="120"/>
    </row>
    <row r="302" spans="1:39" ht="18">
      <c r="A302" s="7">
        <v>15</v>
      </c>
      <c r="B302" s="74" t="s">
        <v>105</v>
      </c>
      <c r="C302" s="76" t="e">
        <f>C$280-C$282-C$298-C$300</f>
        <v>#REF!</v>
      </c>
      <c r="D302" s="76"/>
      <c r="E302" s="41" t="e">
        <f>E$280-E$282-E$298-E$300</f>
        <v>#REF!</v>
      </c>
      <c r="F302" s="41"/>
      <c r="G302" s="41">
        <f>G$280-G$282-G$298-G$300</f>
        <v>0</v>
      </c>
      <c r="H302" s="41"/>
      <c r="I302" s="41">
        <f>I$280-I$282-I$298-I$300</f>
        <v>170027.44327852447</v>
      </c>
      <c r="J302" s="41"/>
      <c r="K302" s="41">
        <f>K$280-K$282-K$298-K$300</f>
        <v>0</v>
      </c>
      <c r="L302" s="41"/>
      <c r="M302" s="41">
        <f>M$280-M$282-M$298-M$300</f>
        <v>2811965.8570303638</v>
      </c>
      <c r="N302" s="41"/>
      <c r="O302" s="41">
        <f>O$280-O$282-O$298-O$300</f>
        <v>17535326.59964585</v>
      </c>
      <c r="P302" s="41"/>
      <c r="Q302" s="41">
        <f>Q$280-Q$282-Q$298-Q$300</f>
        <v>28308637.49779438</v>
      </c>
      <c r="R302" s="41"/>
      <c r="S302" s="41">
        <f>S$280-S$282-S$298-S$300</f>
        <v>14702280.442371517</v>
      </c>
      <c r="T302" s="41"/>
      <c r="U302" s="41">
        <f>U$280-U$282-U$298-U$300</f>
        <v>6583475.026109998</v>
      </c>
      <c r="V302" s="41"/>
      <c r="W302" s="41">
        <f>W$280-W$282-W$298-W$300</f>
        <v>7335053.606070439</v>
      </c>
      <c r="X302" s="41"/>
      <c r="Y302" s="41">
        <f>Y$280-Y$282-Y$298-Y$300</f>
        <v>3474814.0843997644</v>
      </c>
      <c r="Z302" s="134"/>
      <c r="AA302" s="41">
        <f>AA$280-AA$282-AA$298-AA$300</f>
        <v>4693837.424835815</v>
      </c>
      <c r="AB302" s="41"/>
      <c r="AC302" s="41">
        <f>AC$280-AC$282-AC$298-AC$300</f>
        <v>1514063.1354251946</v>
      </c>
      <c r="AD302" s="41"/>
      <c r="AE302" s="41">
        <f>AE$280-AE$282-AE$298-AE$300</f>
        <v>78841.2054239628</v>
      </c>
      <c r="AF302" s="134"/>
      <c r="AG302" s="41">
        <f>AG$280-AG$282-AG$298-AG$300</f>
        <v>236325.3779092611</v>
      </c>
      <c r="AH302" s="134"/>
      <c r="AI302" s="41">
        <f>AI$280-AI$282-AI$298-AI$300</f>
        <v>6555850.576972686</v>
      </c>
      <c r="AJ302" s="6"/>
      <c r="AK302" s="6"/>
      <c r="AL302" s="95"/>
      <c r="AM302" s="135"/>
    </row>
    <row r="303" spans="1:38" ht="18">
      <c r="A303" s="7"/>
      <c r="B303" s="4"/>
      <c r="C303" s="136"/>
      <c r="D303" s="136"/>
      <c r="E303" s="136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5"/>
      <c r="AA303" s="4"/>
      <c r="AB303" s="5"/>
      <c r="AC303" s="4"/>
      <c r="AD303" s="4"/>
      <c r="AE303" s="4"/>
      <c r="AF303" s="5"/>
      <c r="AG303" s="4"/>
      <c r="AH303" s="5"/>
      <c r="AI303" s="4"/>
      <c r="AJ303" s="4"/>
      <c r="AK303" s="4"/>
      <c r="AL303" s="137"/>
    </row>
    <row r="304" spans="1:40" ht="18">
      <c r="A304" s="7">
        <v>16</v>
      </c>
      <c r="B304" s="36" t="s">
        <v>58</v>
      </c>
      <c r="C304" s="13">
        <f>C33</f>
        <v>1081229663.7475867</v>
      </c>
      <c r="D304" s="13"/>
      <c r="E304" s="13">
        <f>E33</f>
        <v>61965936.06062825</v>
      </c>
      <c r="F304" s="13"/>
      <c r="G304" s="13">
        <f>G33</f>
        <v>0</v>
      </c>
      <c r="H304" s="13"/>
      <c r="I304" s="13">
        <f>I33</f>
        <v>901551.5528224041</v>
      </c>
      <c r="J304" s="13"/>
      <c r="K304" s="13">
        <f>K33</f>
        <v>0</v>
      </c>
      <c r="L304" s="13"/>
      <c r="M304" s="13">
        <f>M33</f>
        <v>8296450.228259446</v>
      </c>
      <c r="N304" s="13"/>
      <c r="O304" s="13">
        <f>O33</f>
        <v>65430832.67584133</v>
      </c>
      <c r="P304" s="13"/>
      <c r="Q304" s="13">
        <f>Q33</f>
        <v>124454784.49334837</v>
      </c>
      <c r="R304" s="13"/>
      <c r="S304" s="13">
        <f>S33</f>
        <v>74743911.70722145</v>
      </c>
      <c r="T304" s="13"/>
      <c r="U304" s="13">
        <f>U33</f>
        <v>43269635.39999999</v>
      </c>
      <c r="V304" s="13"/>
      <c r="W304" s="13">
        <f>W33</f>
        <v>64790915.29999999</v>
      </c>
      <c r="X304" s="13"/>
      <c r="Y304" s="13">
        <f>Y33</f>
        <v>48728719</v>
      </c>
      <c r="Z304" s="5"/>
      <c r="AA304" s="13">
        <f>AA33</f>
        <v>134464513</v>
      </c>
      <c r="AB304" s="5"/>
      <c r="AC304" s="13">
        <f>AC33</f>
        <v>152002324.00399998</v>
      </c>
      <c r="AD304" s="13"/>
      <c r="AE304" s="13">
        <f>AE33</f>
        <v>428668.34253232955</v>
      </c>
      <c r="AF304" s="5"/>
      <c r="AG304" s="13">
        <f>AG33</f>
        <v>1582429.9833333336</v>
      </c>
      <c r="AH304" s="5"/>
      <c r="AI304" s="13"/>
      <c r="AJ304" s="6"/>
      <c r="AK304" s="6"/>
      <c r="AL304" s="95"/>
      <c r="AM304" s="135"/>
      <c r="AN304" s="138"/>
    </row>
    <row r="305" spans="1:40" ht="18">
      <c r="A305" s="7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95"/>
      <c r="AM305" s="135"/>
      <c r="AN305" s="139"/>
    </row>
    <row r="306" spans="1:42" ht="18">
      <c r="A306" s="7">
        <v>17</v>
      </c>
      <c r="B306" s="122" t="s">
        <v>106</v>
      </c>
      <c r="C306" s="140"/>
      <c r="D306" s="140"/>
      <c r="E306" s="141" t="e">
        <f>IF(E302=0,0,E302/E304)</f>
        <v>#REF!</v>
      </c>
      <c r="F306" s="142"/>
      <c r="G306" s="141">
        <f>IF(G304=0,0,G302/G304)</f>
        <v>0</v>
      </c>
      <c r="H306" s="141"/>
      <c r="I306" s="141">
        <f>IF(I304=0,0,I302/I304)</f>
        <v>0.1885942548113142</v>
      </c>
      <c r="J306" s="141"/>
      <c r="K306" s="141">
        <f>IF(K304=0,0,K302/K304)</f>
        <v>0</v>
      </c>
      <c r="L306" s="141"/>
      <c r="M306" s="141">
        <f>IF(M304=0,0,M302/M304)</f>
        <v>0.33893602440381304</v>
      </c>
      <c r="N306" s="141"/>
      <c r="O306" s="141">
        <f>IF(O304=0,0,O302/O304)</f>
        <v>0.26799791294907854</v>
      </c>
      <c r="P306" s="141"/>
      <c r="Q306" s="141">
        <f>IF(Q304=0,0,Q302/Q304)</f>
        <v>0.22746122307019354</v>
      </c>
      <c r="R306" s="141"/>
      <c r="S306" s="141">
        <f>IF(S304=0,0,S302/S304)</f>
        <v>0.19670204711738473</v>
      </c>
      <c r="T306" s="141"/>
      <c r="U306" s="141">
        <f>IF(U304=0,0,U302/U304)</f>
        <v>0.15214999999999998</v>
      </c>
      <c r="V306" s="141"/>
      <c r="W306" s="141">
        <f>IF(W304=0,0,W302/W304)</f>
        <v>0.1132111434466869</v>
      </c>
      <c r="X306" s="141"/>
      <c r="Y306" s="141">
        <f>IF(Y304=0,0,X297/Y304)</f>
        <v>0.07130936654418854</v>
      </c>
      <c r="Z306" s="141"/>
      <c r="AA306" s="141">
        <f>IF(AA304=0,0,AA302/AA304)</f>
        <v>0.03490762967948142</v>
      </c>
      <c r="AB306" s="141"/>
      <c r="AC306" s="141">
        <f>IF(AC304=0,0,AC302/AC304)</f>
        <v>0.009960789384939613</v>
      </c>
      <c r="AD306" s="141"/>
      <c r="AE306" s="141">
        <f>IF(AE304=0,0,AE302/AE304)</f>
        <v>0.18392122207628783</v>
      </c>
      <c r="AF306" s="141"/>
      <c r="AG306" s="141">
        <f>IF(AG304=0,0,AG302/AG304)</f>
        <v>0.1493433392935654</v>
      </c>
      <c r="AH306" s="141"/>
      <c r="AI306" s="141"/>
      <c r="AJ306" s="143"/>
      <c r="AK306" s="143"/>
      <c r="AL306" s="144"/>
      <c r="AN306" s="145"/>
      <c r="AO306" s="135"/>
      <c r="AP306" s="138"/>
    </row>
    <row r="307" spans="1:42" ht="18">
      <c r="A307" s="7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146"/>
      <c r="V307" s="4"/>
      <c r="W307" s="146"/>
      <c r="X307" s="4"/>
      <c r="Y307" s="4"/>
      <c r="Z307" s="5"/>
      <c r="AA307" s="146"/>
      <c r="AB307" s="5"/>
      <c r="AC307" s="146"/>
      <c r="AD307" s="4"/>
      <c r="AE307" s="4"/>
      <c r="AF307" s="5"/>
      <c r="AG307" s="4"/>
      <c r="AH307" s="5"/>
      <c r="AI307" s="4"/>
      <c r="AJ307" s="4"/>
      <c r="AK307" s="4"/>
      <c r="AL307" s="137"/>
      <c r="AM307" s="138"/>
      <c r="AO307" s="147"/>
      <c r="AP307" s="139"/>
    </row>
    <row r="308" spans="1:53" ht="18">
      <c r="A308" s="7">
        <v>18</v>
      </c>
      <c r="B308" s="42" t="s">
        <v>107</v>
      </c>
      <c r="C308" s="43"/>
      <c r="D308" s="43"/>
      <c r="E308" s="44" t="e">
        <f>ROUND(E306,5)</f>
        <v>#REF!</v>
      </c>
      <c r="F308" s="44"/>
      <c r="G308" s="44">
        <f>ROUND(G306,5)</f>
        <v>0</v>
      </c>
      <c r="H308" s="44"/>
      <c r="I308" s="44">
        <f>ROUND(I306,5)</f>
        <v>0.18859</v>
      </c>
      <c r="J308" s="44"/>
      <c r="K308" s="44">
        <f>ROUND(K306,5)</f>
        <v>0</v>
      </c>
      <c r="L308" s="44"/>
      <c r="M308" s="44">
        <f>ROUND(M306,5)</f>
        <v>0.33894</v>
      </c>
      <c r="N308" s="44"/>
      <c r="O308" s="44">
        <f>ROUND(O306,5)</f>
        <v>0.268</v>
      </c>
      <c r="P308" s="44"/>
      <c r="Q308" s="44">
        <f>ROUND(Q306,5)</f>
        <v>0.22746</v>
      </c>
      <c r="R308" s="44"/>
      <c r="S308" s="44">
        <f>ROUND(S306,5)</f>
        <v>0.1967</v>
      </c>
      <c r="T308" s="44"/>
      <c r="U308" s="44">
        <f>ROUND(U306,5)</f>
        <v>0.15215</v>
      </c>
      <c r="V308" s="44"/>
      <c r="W308" s="44">
        <f>ROUND(W306,5)</f>
        <v>0.11321</v>
      </c>
      <c r="X308" s="44"/>
      <c r="Y308" s="44">
        <f>ROUND(Y306,5)</f>
        <v>0.07131</v>
      </c>
      <c r="Z308" s="45"/>
      <c r="AA308" s="44">
        <f>ROUND(AA306,5)</f>
        <v>0.03491</v>
      </c>
      <c r="AB308" s="45"/>
      <c r="AC308" s="44">
        <f>ROUND(AC306,5)</f>
        <v>0.00996</v>
      </c>
      <c r="AD308" s="44"/>
      <c r="AE308" s="44">
        <f>ROUND(AE306,5)</f>
        <v>0.18392</v>
      </c>
      <c r="AF308" s="45"/>
      <c r="AG308" s="44">
        <f>ROUND(AG306,5)</f>
        <v>0.14934</v>
      </c>
      <c r="AH308" s="45"/>
      <c r="AI308" s="44"/>
      <c r="AJ308" s="9"/>
      <c r="AK308" s="9"/>
      <c r="AL308" s="95"/>
      <c r="AM308" s="53"/>
      <c r="AN308" s="138"/>
      <c r="AO308" s="15"/>
      <c r="AP308" s="14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</row>
    <row r="309" spans="1:42" ht="18">
      <c r="A309" s="7"/>
      <c r="B309" s="4"/>
      <c r="C309" s="152"/>
      <c r="D309" s="4"/>
      <c r="E309" s="136"/>
      <c r="F309" s="146"/>
      <c r="G309" s="136"/>
      <c r="H309" s="146"/>
      <c r="I309" s="136"/>
      <c r="J309" s="146"/>
      <c r="K309" s="136"/>
      <c r="L309" s="4"/>
      <c r="M309" s="136"/>
      <c r="N309" s="4"/>
      <c r="O309" s="136"/>
      <c r="P309" s="146"/>
      <c r="Q309" s="136"/>
      <c r="R309" s="148"/>
      <c r="S309" s="136"/>
      <c r="T309" s="5"/>
      <c r="U309" s="136"/>
      <c r="V309" s="146"/>
      <c r="W309" s="136"/>
      <c r="X309" s="5"/>
      <c r="Y309" s="136"/>
      <c r="Z309" s="5"/>
      <c r="AA309" s="136"/>
      <c r="AB309" s="5"/>
      <c r="AC309" s="136"/>
      <c r="AD309" s="5"/>
      <c r="AE309" s="136"/>
      <c r="AF309" s="5"/>
      <c r="AG309" s="136"/>
      <c r="AH309" s="5"/>
      <c r="AI309" s="136"/>
      <c r="AJ309" s="10"/>
      <c r="AK309" s="10"/>
      <c r="AL309" s="149"/>
      <c r="AM309" s="150"/>
      <c r="AN309" s="139"/>
      <c r="AP309" s="151"/>
    </row>
    <row r="310" spans="1:39" ht="18">
      <c r="A310" s="7">
        <v>19</v>
      </c>
      <c r="B310" s="36" t="s">
        <v>170</v>
      </c>
      <c r="C310" s="152" t="e">
        <f>SUM(E310:AI310)</f>
        <v>#REF!</v>
      </c>
      <c r="D310" s="152"/>
      <c r="E310" s="13" t="e">
        <f>E308*E304</f>
        <v>#REF!</v>
      </c>
      <c r="F310" s="13"/>
      <c r="G310" s="13">
        <f>G308*G304</f>
        <v>0</v>
      </c>
      <c r="H310" s="13"/>
      <c r="I310" s="13">
        <f>I308*I304</f>
        <v>170023.6073467772</v>
      </c>
      <c r="J310" s="13"/>
      <c r="K310" s="13">
        <f>K308*K304</f>
        <v>0</v>
      </c>
      <c r="L310" s="13"/>
      <c r="M310" s="13">
        <f>M308*M304</f>
        <v>2811998.840366257</v>
      </c>
      <c r="N310" s="13"/>
      <c r="O310" s="13">
        <f>O308*O304</f>
        <v>17535463.157125477</v>
      </c>
      <c r="P310" s="13"/>
      <c r="Q310" s="13">
        <f>Q308*Q304</f>
        <v>28308485.28085702</v>
      </c>
      <c r="R310" s="13"/>
      <c r="S310" s="13">
        <f>S308*S304</f>
        <v>14702127.43281046</v>
      </c>
      <c r="T310" s="13"/>
      <c r="U310" s="13">
        <f>U308*U304</f>
        <v>6583475.026109999</v>
      </c>
      <c r="V310" s="13"/>
      <c r="W310" s="13">
        <f>W308*W304</f>
        <v>7334979.521112999</v>
      </c>
      <c r="X310" s="13"/>
      <c r="Y310" s="13">
        <f>Y308*Y304</f>
        <v>3474844.95189</v>
      </c>
      <c r="Z310" s="5"/>
      <c r="AA310" s="13">
        <f>AA308*AA304</f>
        <v>4694156.148829999</v>
      </c>
      <c r="AB310" s="5"/>
      <c r="AC310" s="13">
        <f>AC308*AC304</f>
        <v>1513943.1470798398</v>
      </c>
      <c r="AD310" s="13"/>
      <c r="AE310" s="13">
        <f>AE308*AE304</f>
        <v>78840.68155854606</v>
      </c>
      <c r="AF310" s="5"/>
      <c r="AG310" s="13">
        <f>AG308*AG304</f>
        <v>236320.09371100005</v>
      </c>
      <c r="AH310" s="5"/>
      <c r="AI310" s="13">
        <f>+AI302</f>
        <v>6555850.576972686</v>
      </c>
      <c r="AJ310" s="6"/>
      <c r="AK310" s="6"/>
      <c r="AL310" s="95"/>
      <c r="AM310" s="95"/>
    </row>
    <row r="311" spans="1:39" ht="18">
      <c r="A311" s="7">
        <v>20</v>
      </c>
      <c r="B311" s="36" t="s">
        <v>168</v>
      </c>
      <c r="C311" s="152"/>
      <c r="D311" s="152"/>
      <c r="E311" s="153">
        <v>0</v>
      </c>
      <c r="F311" s="13"/>
      <c r="G311" s="153">
        <v>0</v>
      </c>
      <c r="H311" s="13"/>
      <c r="I311" s="153">
        <v>0</v>
      </c>
      <c r="J311" s="13"/>
      <c r="K311" s="153">
        <v>0</v>
      </c>
      <c r="L311" s="13"/>
      <c r="M311" s="153">
        <v>0</v>
      </c>
      <c r="N311" s="13"/>
      <c r="O311" s="153">
        <v>0</v>
      </c>
      <c r="P311" s="13"/>
      <c r="Q311" s="153">
        <v>0</v>
      </c>
      <c r="R311" s="13"/>
      <c r="S311" s="153">
        <v>0</v>
      </c>
      <c r="T311" s="13"/>
      <c r="U311" s="153">
        <v>0</v>
      </c>
      <c r="V311" s="13"/>
      <c r="W311" s="153">
        <v>0</v>
      </c>
      <c r="X311" s="13"/>
      <c r="Y311" s="153">
        <v>0</v>
      </c>
      <c r="Z311" s="5"/>
      <c r="AA311" s="153">
        <v>0</v>
      </c>
      <c r="AB311" s="5"/>
      <c r="AC311" s="153">
        <v>0</v>
      </c>
      <c r="AD311" s="13"/>
      <c r="AE311" s="153">
        <v>0</v>
      </c>
      <c r="AF311" s="153"/>
      <c r="AG311" s="153">
        <v>0</v>
      </c>
      <c r="AH311" s="5"/>
      <c r="AI311" s="153">
        <v>0</v>
      </c>
      <c r="AJ311" s="6"/>
      <c r="AK311" s="6"/>
      <c r="AL311" s="95"/>
      <c r="AM311" s="95"/>
    </row>
    <row r="312" spans="1:39" ht="18">
      <c r="A312" s="7">
        <v>21</v>
      </c>
      <c r="B312" s="36" t="s">
        <v>169</v>
      </c>
      <c r="C312" s="152" t="e">
        <f>SUM(E312:AI312)</f>
        <v>#REF!</v>
      </c>
      <c r="D312" s="152"/>
      <c r="E312" s="13" t="e">
        <f>SUM(E310:E311)</f>
        <v>#REF!</v>
      </c>
      <c r="F312" s="13"/>
      <c r="G312" s="13">
        <f>SUM(G310:G311)</f>
        <v>0</v>
      </c>
      <c r="H312" s="13"/>
      <c r="I312" s="13">
        <f>SUM(I310:I311)</f>
        <v>170023.6073467772</v>
      </c>
      <c r="J312" s="13"/>
      <c r="K312" s="13">
        <f>SUM(K310:K311)</f>
        <v>0</v>
      </c>
      <c r="L312" s="13"/>
      <c r="M312" s="13">
        <f>SUM(M310:M311)</f>
        <v>2811998.840366257</v>
      </c>
      <c r="N312" s="13"/>
      <c r="O312" s="13">
        <f>SUM(O310:O311)</f>
        <v>17535463.157125477</v>
      </c>
      <c r="P312" s="13"/>
      <c r="Q312" s="13">
        <f>SUM(Q310:Q311)</f>
        <v>28308485.28085702</v>
      </c>
      <c r="R312" s="13"/>
      <c r="S312" s="13">
        <f>SUM(S310:S311)</f>
        <v>14702127.43281046</v>
      </c>
      <c r="T312" s="13"/>
      <c r="U312" s="13">
        <f>SUM(U310:U311)</f>
        <v>6583475.026109999</v>
      </c>
      <c r="V312" s="13"/>
      <c r="W312" s="13">
        <f>SUM(W310:W311)</f>
        <v>7334979.521112999</v>
      </c>
      <c r="X312" s="13"/>
      <c r="Y312" s="13">
        <f>SUM(Y310:Y311)</f>
        <v>3474844.95189</v>
      </c>
      <c r="Z312" s="5"/>
      <c r="AA312" s="13">
        <f>SUM(AA310:AA311)</f>
        <v>4694156.148829999</v>
      </c>
      <c r="AB312" s="5"/>
      <c r="AC312" s="13">
        <f>SUM(AC310:AC311)</f>
        <v>1513943.1470798398</v>
      </c>
      <c r="AD312" s="13"/>
      <c r="AE312" s="13">
        <f>SUM(AE310:AE311)</f>
        <v>78840.68155854606</v>
      </c>
      <c r="AF312" s="13"/>
      <c r="AG312" s="13">
        <f>SUM(AG310:AG311)</f>
        <v>236320.09371100005</v>
      </c>
      <c r="AH312" s="5"/>
      <c r="AI312" s="13">
        <f>SUM(AI310:AI311)</f>
        <v>6555850.576972686</v>
      </c>
      <c r="AJ312" s="6"/>
      <c r="AK312" s="6"/>
      <c r="AL312" s="95"/>
      <c r="AM312" s="95"/>
    </row>
    <row r="313" spans="1:43" ht="17.25">
      <c r="A313" s="7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120"/>
      <c r="AO313" s="154"/>
      <c r="AP313" s="154"/>
      <c r="AQ313" s="155"/>
    </row>
    <row r="314" spans="1:42" ht="17.25">
      <c r="A314" s="7">
        <v>22</v>
      </c>
      <c r="B314" s="36" t="s">
        <v>172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120"/>
      <c r="AO314" s="138"/>
      <c r="AP314" s="138"/>
    </row>
    <row r="315" spans="1:38" ht="18">
      <c r="A315" s="7">
        <v>23</v>
      </c>
      <c r="B315" s="36" t="s">
        <v>59</v>
      </c>
      <c r="C315" s="4"/>
      <c r="D315" s="4"/>
      <c r="E315" s="5" t="e">
        <f>TEXT(E$289,"$0.00")&amp;", "&amp;TEXT(E$292,"$0.00")&amp;", "&amp;TEXT(E$295,"$0.00")</f>
        <v>#VALUE!</v>
      </c>
      <c r="F315" s="156"/>
      <c r="G315" s="156">
        <f>G285</f>
        <v>20</v>
      </c>
      <c r="H315" s="156"/>
      <c r="I315" s="156">
        <f>I285</f>
        <v>0</v>
      </c>
      <c r="J315" s="156"/>
      <c r="K315" s="156">
        <f>K285</f>
        <v>35</v>
      </c>
      <c r="L315" s="156"/>
      <c r="M315" s="156">
        <f>M285</f>
        <v>25</v>
      </c>
      <c r="N315" s="156"/>
      <c r="O315" s="156">
        <f>O285</f>
        <v>35</v>
      </c>
      <c r="P315" s="156"/>
      <c r="Q315" s="156">
        <f>Q285</f>
        <v>50</v>
      </c>
      <c r="R315" s="156"/>
      <c r="S315" s="156">
        <f>S285</f>
        <v>150</v>
      </c>
      <c r="T315" s="156"/>
      <c r="U315" s="156">
        <f>U285</f>
        <v>250</v>
      </c>
      <c r="V315" s="156"/>
      <c r="W315" s="156">
        <f>W285</f>
        <v>300</v>
      </c>
      <c r="X315" s="156"/>
      <c r="Y315" s="156">
        <f>Y285</f>
        <v>300</v>
      </c>
      <c r="Z315" s="5"/>
      <c r="AA315" s="156">
        <f>AA285</f>
        <v>475</v>
      </c>
      <c r="AB315" s="5"/>
      <c r="AC315" s="156">
        <f>AC285</f>
        <v>475</v>
      </c>
      <c r="AD315" s="156"/>
      <c r="AE315" s="156">
        <f>AE285</f>
        <v>45</v>
      </c>
      <c r="AF315" s="5"/>
      <c r="AG315" s="156">
        <f>AG285</f>
        <v>150</v>
      </c>
      <c r="AH315" s="5"/>
      <c r="AI315" s="156"/>
      <c r="AJ315" s="30"/>
      <c r="AK315" s="30"/>
      <c r="AL315" s="126"/>
    </row>
    <row r="316" spans="1:42" ht="18">
      <c r="A316" s="7">
        <v>24</v>
      </c>
      <c r="B316" s="36" t="s">
        <v>167</v>
      </c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157"/>
      <c r="V316" s="4"/>
      <c r="W316" s="4"/>
      <c r="X316" s="4"/>
      <c r="Y316" s="4"/>
      <c r="Z316" s="5"/>
      <c r="AA316" s="4"/>
      <c r="AB316" s="5"/>
      <c r="AC316" s="4"/>
      <c r="AD316" s="4"/>
      <c r="AE316" s="4"/>
      <c r="AF316" s="5"/>
      <c r="AG316" s="4"/>
      <c r="AH316" s="5"/>
      <c r="AI316" s="4"/>
      <c r="AJ316" s="4"/>
      <c r="AK316" s="4"/>
      <c r="AL316" s="137"/>
      <c r="AO316" s="138"/>
      <c r="AP316" s="138"/>
    </row>
    <row r="317" spans="1:38" ht="18">
      <c r="A317" s="7">
        <v>25</v>
      </c>
      <c r="B317" s="158" t="s">
        <v>60</v>
      </c>
      <c r="C317" s="4"/>
      <c r="D317" s="4"/>
      <c r="E317" s="82" t="e">
        <f>100*E308</f>
        <v>#REF!</v>
      </c>
      <c r="F317" s="82"/>
      <c r="G317" s="82">
        <f>100*G308</f>
        <v>0</v>
      </c>
      <c r="H317" s="82"/>
      <c r="I317" s="82">
        <f>100*I308</f>
        <v>18.859</v>
      </c>
      <c r="J317" s="82"/>
      <c r="K317" s="82">
        <f>100*K308</f>
        <v>0</v>
      </c>
      <c r="L317" s="82"/>
      <c r="M317" s="82">
        <f>100*M308</f>
        <v>33.894000000000005</v>
      </c>
      <c r="N317" s="82"/>
      <c r="O317" s="82">
        <f>100*O308</f>
        <v>26.8</v>
      </c>
      <c r="P317" s="82"/>
      <c r="Q317" s="82">
        <f>100*Q308</f>
        <v>22.746</v>
      </c>
      <c r="R317" s="82"/>
      <c r="S317" s="82">
        <f>100*S308</f>
        <v>19.67</v>
      </c>
      <c r="T317" s="82"/>
      <c r="U317" s="82">
        <f>100*U308</f>
        <v>15.215</v>
      </c>
      <c r="V317" s="82"/>
      <c r="W317" s="82">
        <f>100*W308</f>
        <v>11.321</v>
      </c>
      <c r="X317" s="82"/>
      <c r="Y317" s="82">
        <f>100*Y308</f>
        <v>7.131</v>
      </c>
      <c r="Z317" s="5"/>
      <c r="AA317" s="82">
        <f>100*AA308</f>
        <v>3.4909999999999997</v>
      </c>
      <c r="AB317" s="5"/>
      <c r="AC317" s="82">
        <f>100*AC308</f>
        <v>0.996</v>
      </c>
      <c r="AD317" s="82"/>
      <c r="AE317" s="82">
        <f>100*AE308</f>
        <v>18.392</v>
      </c>
      <c r="AF317" s="5"/>
      <c r="AG317" s="82">
        <f>100*AG308</f>
        <v>14.934</v>
      </c>
      <c r="AH317" s="5"/>
      <c r="AI317" s="82"/>
      <c r="AJ317" s="159"/>
      <c r="AK317" s="159"/>
      <c r="AL317" s="160"/>
    </row>
    <row r="318" spans="1:42" ht="18">
      <c r="A318" s="7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161"/>
      <c r="V318" s="4"/>
      <c r="W318" s="4"/>
      <c r="X318" s="4"/>
      <c r="Y318" s="4"/>
      <c r="Z318" s="5"/>
      <c r="AA318" s="4"/>
      <c r="AB318" s="5"/>
      <c r="AC318" s="4"/>
      <c r="AD318" s="4"/>
      <c r="AE318" s="4"/>
      <c r="AF318" s="5"/>
      <c r="AG318" s="4"/>
      <c r="AH318" s="5"/>
      <c r="AI318" s="4"/>
      <c r="AJ318" s="4"/>
      <c r="AK318" s="4"/>
      <c r="AL318" s="137"/>
      <c r="AP318" s="155"/>
    </row>
    <row r="319" spans="1:38" s="12" customFormat="1" ht="19.5">
      <c r="A319" s="7">
        <v>26</v>
      </c>
      <c r="B319" s="158" t="s">
        <v>61</v>
      </c>
      <c r="C319" s="4"/>
      <c r="D319" s="4"/>
      <c r="E319" s="162">
        <v>117.955</v>
      </c>
      <c r="F319" s="163"/>
      <c r="G319" s="162">
        <f>+$E319</f>
        <v>117.955</v>
      </c>
      <c r="H319" s="163"/>
      <c r="I319" s="162">
        <v>111.71</v>
      </c>
      <c r="J319" s="82"/>
      <c r="K319" s="162">
        <f>+$I319</f>
        <v>111.71</v>
      </c>
      <c r="L319" s="163"/>
      <c r="M319" s="162">
        <f>+$I319</f>
        <v>111.71</v>
      </c>
      <c r="N319" s="163"/>
      <c r="O319" s="162">
        <f>+$I319</f>
        <v>111.71</v>
      </c>
      <c r="P319" s="82"/>
      <c r="Q319" s="162">
        <f>+$I319</f>
        <v>111.71</v>
      </c>
      <c r="R319" s="163"/>
      <c r="S319" s="162">
        <f>+$I319</f>
        <v>111.71</v>
      </c>
      <c r="T319" s="163"/>
      <c r="U319" s="162">
        <f>+$I319</f>
        <v>111.71</v>
      </c>
      <c r="V319" s="82"/>
      <c r="W319" s="162">
        <f>+$I319</f>
        <v>111.71</v>
      </c>
      <c r="X319" s="164"/>
      <c r="Y319" s="162">
        <f>+$I319</f>
        <v>111.71</v>
      </c>
      <c r="Z319" s="164"/>
      <c r="AA319" s="162">
        <f>+$I319</f>
        <v>111.71</v>
      </c>
      <c r="AB319" s="164"/>
      <c r="AC319" s="162">
        <f>+$I319</f>
        <v>111.71</v>
      </c>
      <c r="AD319" s="163"/>
      <c r="AE319" s="162">
        <f>+$I319</f>
        <v>111.71</v>
      </c>
      <c r="AF319" s="163"/>
      <c r="AG319" s="162">
        <v>108.854</v>
      </c>
      <c r="AH319" s="5"/>
      <c r="AI319" s="164"/>
      <c r="AJ319" s="165"/>
      <c r="AK319" s="165"/>
      <c r="AL319" s="160"/>
    </row>
    <row r="320" spans="1:38" ht="18">
      <c r="A320" s="7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5"/>
      <c r="AA320" s="4"/>
      <c r="AB320" s="5"/>
      <c r="AC320" s="4"/>
      <c r="AD320" s="4"/>
      <c r="AE320" s="4"/>
      <c r="AF320" s="5"/>
      <c r="AG320" s="4"/>
      <c r="AH320" s="5"/>
      <c r="AI320" s="4"/>
      <c r="AJ320" s="4"/>
      <c r="AK320" s="4"/>
      <c r="AL320" s="137"/>
    </row>
    <row r="321" spans="1:38" ht="18">
      <c r="A321" s="7">
        <v>27</v>
      </c>
      <c r="B321" s="158" t="s">
        <v>62</v>
      </c>
      <c r="C321" s="4"/>
      <c r="D321" s="4"/>
      <c r="E321" s="82" t="e">
        <f>SUM(E317:E320)</f>
        <v>#REF!</v>
      </c>
      <c r="F321" s="82"/>
      <c r="G321" s="82">
        <f>SUM(G317:G320)</f>
        <v>117.955</v>
      </c>
      <c r="H321" s="82"/>
      <c r="I321" s="82">
        <f>SUM(I317:I320)</f>
        <v>130.569</v>
      </c>
      <c r="J321" s="82"/>
      <c r="K321" s="82">
        <f>SUM(K317:K320)</f>
        <v>111.71</v>
      </c>
      <c r="L321" s="82"/>
      <c r="M321" s="82">
        <f>SUM(M317:M320)</f>
        <v>145.60399999999998</v>
      </c>
      <c r="N321" s="82"/>
      <c r="O321" s="82">
        <f>SUM(O317:O320)</f>
        <v>138.51</v>
      </c>
      <c r="P321" s="82"/>
      <c r="Q321" s="82">
        <f>SUM(Q317:Q320)</f>
        <v>134.456</v>
      </c>
      <c r="R321" s="82"/>
      <c r="S321" s="82">
        <f>SUM(S317:S320)</f>
        <v>131.38</v>
      </c>
      <c r="T321" s="82"/>
      <c r="U321" s="82">
        <f>SUM(U317:U320)</f>
        <v>126.925</v>
      </c>
      <c r="V321" s="82"/>
      <c r="W321" s="82">
        <f>SUM(W317:W320)</f>
        <v>123.03099999999999</v>
      </c>
      <c r="X321" s="82"/>
      <c r="Y321" s="82">
        <f>SUM(Y317:Y320)</f>
        <v>118.841</v>
      </c>
      <c r="Z321" s="5"/>
      <c r="AA321" s="82">
        <f>SUM(AA317:AA320)</f>
        <v>115.201</v>
      </c>
      <c r="AB321" s="5"/>
      <c r="AC321" s="82">
        <f>SUM(AC317:AC320)</f>
        <v>112.70599999999999</v>
      </c>
      <c r="AD321" s="82"/>
      <c r="AE321" s="82">
        <f>SUM(AE317:AE320)</f>
        <v>130.102</v>
      </c>
      <c r="AF321" s="5"/>
      <c r="AG321" s="82">
        <f>SUM(AG317:AG320)</f>
        <v>123.788</v>
      </c>
      <c r="AH321" s="5"/>
      <c r="AI321" s="82"/>
      <c r="AJ321" s="159"/>
      <c r="AK321" s="159"/>
      <c r="AL321" s="160"/>
    </row>
    <row r="322" spans="1:38" ht="17.25">
      <c r="A322" s="7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120"/>
    </row>
    <row r="323" spans="1:82" ht="18">
      <c r="A323" s="7">
        <v>28</v>
      </c>
      <c r="B323" s="36" t="s">
        <v>173</v>
      </c>
      <c r="C323" s="4"/>
      <c r="D323" s="4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7"/>
      <c r="S323" s="166"/>
      <c r="T323" s="166"/>
      <c r="U323" s="166"/>
      <c r="V323" s="166"/>
      <c r="W323" s="166"/>
      <c r="X323" s="166"/>
      <c r="Y323" s="166"/>
      <c r="Z323" s="167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8"/>
      <c r="AK323" s="168"/>
      <c r="AL323" s="169"/>
      <c r="AM323" s="170"/>
      <c r="AN323" s="170"/>
      <c r="AO323" s="170"/>
      <c r="AP323" s="170"/>
      <c r="AQ323" s="170"/>
      <c r="AR323" s="170"/>
      <c r="AS323" s="170"/>
      <c r="AT323" s="170"/>
      <c r="AU323" s="170"/>
      <c r="AV323" s="170"/>
      <c r="AW323" s="170"/>
      <c r="AX323" s="170"/>
      <c r="AY323" s="170"/>
      <c r="AZ323" s="170"/>
      <c r="BA323" s="170"/>
      <c r="BB323" s="170"/>
      <c r="BC323" s="171"/>
      <c r="BD323" s="171"/>
      <c r="BE323" s="171"/>
      <c r="BF323" s="171"/>
      <c r="BG323" s="171"/>
      <c r="BH323" s="171"/>
      <c r="BI323" s="171"/>
      <c r="BJ323" s="171"/>
      <c r="BK323" s="171"/>
      <c r="BL323" s="171"/>
      <c r="BM323" s="171"/>
      <c r="BN323" s="171"/>
      <c r="BO323" s="172"/>
      <c r="BP323" s="172"/>
      <c r="BQ323" s="172"/>
      <c r="BR323" s="172"/>
      <c r="BS323" s="172"/>
      <c r="BT323" s="172"/>
      <c r="BU323" s="172"/>
      <c r="BV323" s="172"/>
      <c r="BW323" s="172"/>
      <c r="BX323" s="172"/>
      <c r="BY323" s="172"/>
      <c r="BZ323" s="172"/>
      <c r="CA323" s="172"/>
      <c r="CB323" s="172"/>
      <c r="CC323" s="172"/>
      <c r="CD323" s="172"/>
    </row>
    <row r="324" spans="1:54" ht="17.25">
      <c r="A324" s="7">
        <v>29</v>
      </c>
      <c r="B324" s="36" t="s">
        <v>59</v>
      </c>
      <c r="C324" s="4"/>
      <c r="D324" s="4"/>
      <c r="E324" s="156">
        <v>10</v>
      </c>
      <c r="F324" s="156"/>
      <c r="G324" s="156">
        <v>17.82</v>
      </c>
      <c r="H324" s="156"/>
      <c r="I324" s="156">
        <f>I285</f>
        <v>0</v>
      </c>
      <c r="J324" s="156"/>
      <c r="K324" s="156">
        <v>27.67</v>
      </c>
      <c r="L324" s="156"/>
      <c r="M324" s="156">
        <v>20</v>
      </c>
      <c r="N324" s="156"/>
      <c r="O324" s="156">
        <v>30</v>
      </c>
      <c r="P324" s="156"/>
      <c r="Q324" s="156">
        <v>35</v>
      </c>
      <c r="R324" s="156"/>
      <c r="S324" s="156">
        <v>45</v>
      </c>
      <c r="T324" s="156"/>
      <c r="U324" s="156">
        <v>85</v>
      </c>
      <c r="V324" s="156"/>
      <c r="W324" s="156">
        <v>150</v>
      </c>
      <c r="X324" s="156"/>
      <c r="Y324" s="156">
        <v>150</v>
      </c>
      <c r="Z324" s="5"/>
      <c r="AA324" s="156">
        <v>225</v>
      </c>
      <c r="AB324" s="5"/>
      <c r="AC324" s="156">
        <v>225</v>
      </c>
      <c r="AD324" s="5"/>
      <c r="AE324" s="156">
        <v>35</v>
      </c>
      <c r="AF324" s="5"/>
      <c r="AG324" s="156">
        <v>100</v>
      </c>
      <c r="AH324" s="5"/>
      <c r="AI324" s="156"/>
      <c r="AJ324" s="30"/>
      <c r="AK324" s="30"/>
      <c r="AL324" s="173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</row>
    <row r="325" spans="1:54" ht="17.25">
      <c r="A325" s="7">
        <v>30</v>
      </c>
      <c r="B325" s="36" t="s">
        <v>167</v>
      </c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157"/>
      <c r="V325" s="4"/>
      <c r="W325" s="4"/>
      <c r="X325" s="4"/>
      <c r="Y325" s="4"/>
      <c r="Z325" s="5"/>
      <c r="AA325" s="4"/>
      <c r="AB325" s="5"/>
      <c r="AC325" s="4"/>
      <c r="AD325" s="5"/>
      <c r="AE325" s="4"/>
      <c r="AF325" s="5"/>
      <c r="AG325" s="4"/>
      <c r="AH325" s="5"/>
      <c r="AI325" s="4"/>
      <c r="AJ325" s="127"/>
      <c r="AK325" s="127"/>
      <c r="AL325" s="173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</row>
    <row r="326" spans="1:54" ht="17.25">
      <c r="A326" s="7">
        <v>31</v>
      </c>
      <c r="B326" s="36" t="s">
        <v>60</v>
      </c>
      <c r="C326" s="4"/>
      <c r="D326" s="4"/>
      <c r="E326" s="82">
        <v>37.667</v>
      </c>
      <c r="F326" s="82"/>
      <c r="G326" s="82">
        <v>0</v>
      </c>
      <c r="H326" s="82"/>
      <c r="I326" s="82">
        <v>12.829</v>
      </c>
      <c r="J326" s="82"/>
      <c r="K326" s="82">
        <v>0</v>
      </c>
      <c r="L326" s="82"/>
      <c r="M326" s="82">
        <v>26.955</v>
      </c>
      <c r="N326" s="82"/>
      <c r="O326" s="82">
        <v>23.045</v>
      </c>
      <c r="P326" s="82"/>
      <c r="Q326" s="82">
        <v>22.267</v>
      </c>
      <c r="R326" s="82"/>
      <c r="S326" s="82">
        <v>19.533</v>
      </c>
      <c r="T326" s="82"/>
      <c r="U326" s="82">
        <v>17.828</v>
      </c>
      <c r="V326" s="82"/>
      <c r="W326" s="82">
        <v>10.041</v>
      </c>
      <c r="X326" s="82"/>
      <c r="Y326" s="82">
        <v>7.227</v>
      </c>
      <c r="Z326" s="5"/>
      <c r="AA326" s="82">
        <v>3.522</v>
      </c>
      <c r="AB326" s="5"/>
      <c r="AC326" s="82">
        <v>1.002</v>
      </c>
      <c r="AD326" s="82"/>
      <c r="AE326" s="82">
        <v>14.013</v>
      </c>
      <c r="AF326" s="5"/>
      <c r="AG326" s="82">
        <v>13.622</v>
      </c>
      <c r="AH326" s="5"/>
      <c r="AI326" s="82"/>
      <c r="AJ326" s="174"/>
      <c r="AK326" s="174"/>
      <c r="AL326" s="173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</row>
    <row r="327" spans="1:54" ht="17.25" hidden="1">
      <c r="A327" s="7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5"/>
      <c r="AA327" s="4"/>
      <c r="AB327" s="5"/>
      <c r="AC327" s="4"/>
      <c r="AD327" s="5"/>
      <c r="AE327" s="4"/>
      <c r="AF327" s="5"/>
      <c r="AG327" s="4"/>
      <c r="AH327" s="5"/>
      <c r="AI327" s="4"/>
      <c r="AJ327" s="127"/>
      <c r="AK327" s="127"/>
      <c r="AL327" s="173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</row>
    <row r="328" spans="1:54" ht="19.5">
      <c r="A328" s="7">
        <v>32</v>
      </c>
      <c r="B328" s="36" t="s">
        <v>61</v>
      </c>
      <c r="C328" s="4"/>
      <c r="D328" s="4"/>
      <c r="E328" s="162">
        <f>+E319</f>
        <v>117.955</v>
      </c>
      <c r="F328" s="163"/>
      <c r="G328" s="162">
        <f>+G319</f>
        <v>117.955</v>
      </c>
      <c r="H328" s="163"/>
      <c r="I328" s="162">
        <f>+I319</f>
        <v>111.71</v>
      </c>
      <c r="J328" s="82"/>
      <c r="K328" s="162">
        <f>+K319</f>
        <v>111.71</v>
      </c>
      <c r="L328" s="163"/>
      <c r="M328" s="162">
        <f>+M319</f>
        <v>111.71</v>
      </c>
      <c r="N328" s="163"/>
      <c r="O328" s="162">
        <f>+O319</f>
        <v>111.71</v>
      </c>
      <c r="P328" s="82"/>
      <c r="Q328" s="162">
        <f>+Q319</f>
        <v>111.71</v>
      </c>
      <c r="R328" s="163"/>
      <c r="S328" s="162">
        <f>+S319</f>
        <v>111.71</v>
      </c>
      <c r="T328" s="163"/>
      <c r="U328" s="162">
        <f>+U319</f>
        <v>111.71</v>
      </c>
      <c r="V328" s="82"/>
      <c r="W328" s="162">
        <f>+W319</f>
        <v>111.71</v>
      </c>
      <c r="X328" s="164"/>
      <c r="Y328" s="164">
        <f>+Y319</f>
        <v>111.71</v>
      </c>
      <c r="Z328" s="164"/>
      <c r="AA328" s="164">
        <f>+AA319</f>
        <v>111.71</v>
      </c>
      <c r="AB328" s="164"/>
      <c r="AC328" s="164">
        <f>+AC319</f>
        <v>111.71</v>
      </c>
      <c r="AD328" s="163"/>
      <c r="AE328" s="162">
        <f>+AE319</f>
        <v>111.71</v>
      </c>
      <c r="AF328" s="163"/>
      <c r="AG328" s="162">
        <f>+AG319</f>
        <v>108.854</v>
      </c>
      <c r="AH328" s="5"/>
      <c r="AI328" s="164"/>
      <c r="AJ328" s="165"/>
      <c r="AK328" s="165"/>
      <c r="AL328" s="173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</row>
    <row r="329" spans="1:54" ht="17.25" hidden="1">
      <c r="A329" s="7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5"/>
      <c r="AA329" s="7"/>
      <c r="AB329" s="5"/>
      <c r="AC329" s="4"/>
      <c r="AD329" s="5"/>
      <c r="AE329" s="4"/>
      <c r="AF329" s="5"/>
      <c r="AG329" s="4"/>
      <c r="AH329" s="5"/>
      <c r="AI329" s="4"/>
      <c r="AJ329" s="175"/>
      <c r="AK329" s="175"/>
      <c r="AL329" s="173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</row>
    <row r="330" spans="1:54" ht="17.25">
      <c r="A330" s="7">
        <v>33</v>
      </c>
      <c r="B330" s="158" t="s">
        <v>62</v>
      </c>
      <c r="C330" s="4"/>
      <c r="D330" s="4"/>
      <c r="E330" s="82">
        <f>SUM(E326:E329)</f>
        <v>155.622</v>
      </c>
      <c r="F330" s="82"/>
      <c r="G330" s="82">
        <f>SUM(G326:G329)</f>
        <v>117.955</v>
      </c>
      <c r="H330" s="82"/>
      <c r="I330" s="82">
        <f>SUM(I326:I329)</f>
        <v>124.53899999999999</v>
      </c>
      <c r="J330" s="82"/>
      <c r="K330" s="82">
        <f>SUM(K326:K329)</f>
        <v>111.71</v>
      </c>
      <c r="L330" s="82"/>
      <c r="M330" s="82">
        <f>SUM(M326:M329)</f>
        <v>138.665</v>
      </c>
      <c r="N330" s="82"/>
      <c r="O330" s="82">
        <f>SUM(O326:O329)</f>
        <v>134.755</v>
      </c>
      <c r="P330" s="82"/>
      <c r="Q330" s="82">
        <f>SUM(Q326:Q329)</f>
        <v>133.977</v>
      </c>
      <c r="R330" s="82"/>
      <c r="S330" s="82">
        <f>SUM(S326:S329)</f>
        <v>131.243</v>
      </c>
      <c r="T330" s="82"/>
      <c r="U330" s="82">
        <f>SUM(U326:U329)</f>
        <v>129.53799999999998</v>
      </c>
      <c r="V330" s="82"/>
      <c r="W330" s="82">
        <f>SUM(W326:W329)</f>
        <v>121.75099999999999</v>
      </c>
      <c r="X330" s="82"/>
      <c r="Y330" s="82">
        <f>SUM(Y326:Y329)</f>
        <v>118.937</v>
      </c>
      <c r="Z330" s="5"/>
      <c r="AA330" s="82">
        <f>SUM(AA326:AA329)</f>
        <v>115.232</v>
      </c>
      <c r="AB330" s="5"/>
      <c r="AC330" s="82">
        <f>SUM(AC326:AC329)</f>
        <v>112.71199999999999</v>
      </c>
      <c r="AD330" s="5"/>
      <c r="AE330" s="82">
        <f>SUM(AE326:AE329)</f>
        <v>125.723</v>
      </c>
      <c r="AF330" s="5"/>
      <c r="AG330" s="82">
        <f>SUM(AG326:AG329)</f>
        <v>122.476</v>
      </c>
      <c r="AH330" s="5"/>
      <c r="AI330" s="82"/>
      <c r="AJ330" s="159"/>
      <c r="AK330" s="159"/>
      <c r="AL330" s="173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</row>
    <row r="331" spans="1:54" ht="17.25" hidden="1">
      <c r="A331" s="7"/>
      <c r="B331" s="158"/>
      <c r="C331" s="4"/>
      <c r="D331" s="4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5"/>
      <c r="AA331" s="82"/>
      <c r="AB331" s="5"/>
      <c r="AC331" s="82"/>
      <c r="AD331" s="5"/>
      <c r="AE331" s="82"/>
      <c r="AF331" s="5"/>
      <c r="AG331" s="82"/>
      <c r="AH331" s="5"/>
      <c r="AI331" s="82"/>
      <c r="AJ331" s="159"/>
      <c r="AK331" s="159"/>
      <c r="AL331" s="173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</row>
    <row r="332" spans="1:54" ht="17.25" hidden="1">
      <c r="A332" s="7"/>
      <c r="B332" s="158"/>
      <c r="C332" s="4"/>
      <c r="D332" s="4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5"/>
      <c r="AA332" s="82"/>
      <c r="AB332" s="5"/>
      <c r="AC332" s="82"/>
      <c r="AD332" s="5"/>
      <c r="AE332" s="82"/>
      <c r="AF332" s="5"/>
      <c r="AG332" s="82"/>
      <c r="AH332" s="5"/>
      <c r="AI332" s="82"/>
      <c r="AJ332" s="159"/>
      <c r="AK332" s="159"/>
      <c r="AL332" s="173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</row>
    <row r="333" spans="1:54" ht="17.25" hidden="1">
      <c r="A333" s="7"/>
      <c r="B333" s="158"/>
      <c r="C333" s="4"/>
      <c r="D333" s="4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5"/>
      <c r="AA333" s="82"/>
      <c r="AB333" s="5"/>
      <c r="AC333" s="82"/>
      <c r="AD333" s="5"/>
      <c r="AE333" s="82"/>
      <c r="AF333" s="5"/>
      <c r="AG333" s="82"/>
      <c r="AH333" s="5"/>
      <c r="AI333" s="82"/>
      <c r="AJ333" s="159"/>
      <c r="AK333" s="159"/>
      <c r="AL333" s="173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</row>
    <row r="334" spans="1:54" ht="17.25" hidden="1">
      <c r="A334" s="7"/>
      <c r="B334" s="158"/>
      <c r="C334" s="4"/>
      <c r="D334" s="4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5"/>
      <c r="AA334" s="82"/>
      <c r="AB334" s="5"/>
      <c r="AC334" s="82"/>
      <c r="AD334" s="5"/>
      <c r="AE334" s="82"/>
      <c r="AF334" s="5"/>
      <c r="AG334" s="82"/>
      <c r="AH334" s="5"/>
      <c r="AI334" s="82"/>
      <c r="AJ334" s="159"/>
      <c r="AK334" s="159"/>
      <c r="AL334" s="173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</row>
    <row r="335" spans="1:54" ht="17.25" hidden="1">
      <c r="A335" s="7"/>
      <c r="B335" s="158"/>
      <c r="C335" s="4"/>
      <c r="D335" s="4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5"/>
      <c r="AA335" s="82"/>
      <c r="AB335" s="5"/>
      <c r="AC335" s="82"/>
      <c r="AD335" s="5"/>
      <c r="AE335" s="82"/>
      <c r="AF335" s="5"/>
      <c r="AG335" s="82"/>
      <c r="AH335" s="5"/>
      <c r="AI335" s="82"/>
      <c r="AJ335" s="159"/>
      <c r="AK335" s="159"/>
      <c r="AL335" s="173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</row>
    <row r="336" spans="1:54" ht="17.25" hidden="1">
      <c r="A336" s="7"/>
      <c r="B336" s="158"/>
      <c r="C336" s="4"/>
      <c r="D336" s="4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5"/>
      <c r="AA336" s="82"/>
      <c r="AB336" s="5"/>
      <c r="AC336" s="82"/>
      <c r="AD336" s="5"/>
      <c r="AE336" s="82"/>
      <c r="AF336" s="5"/>
      <c r="AG336" s="82"/>
      <c r="AH336" s="5"/>
      <c r="AI336" s="82"/>
      <c r="AJ336" s="159"/>
      <c r="AK336" s="159"/>
      <c r="AL336" s="173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</row>
    <row r="337" spans="1:54" ht="17.25" hidden="1">
      <c r="A337" s="7"/>
      <c r="B337" s="158"/>
      <c r="C337" s="4"/>
      <c r="D337" s="4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5"/>
      <c r="AA337" s="82"/>
      <c r="AB337" s="5"/>
      <c r="AC337" s="82"/>
      <c r="AD337" s="5"/>
      <c r="AE337" s="82"/>
      <c r="AF337" s="5"/>
      <c r="AG337" s="82"/>
      <c r="AH337" s="5"/>
      <c r="AI337" s="82"/>
      <c r="AJ337" s="159"/>
      <c r="AK337" s="159"/>
      <c r="AL337" s="173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</row>
    <row r="338" spans="1:54" ht="17.25">
      <c r="A338" s="5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159"/>
      <c r="AK338" s="159"/>
      <c r="AL338" s="173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</row>
    <row r="339" spans="1:54" ht="17.25">
      <c r="A339" s="5"/>
      <c r="B339" s="62" t="s">
        <v>182</v>
      </c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176"/>
      <c r="AK339" s="176"/>
      <c r="AL339" s="173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</row>
    <row r="340" spans="1:54" ht="17.25" hidden="1">
      <c r="A340" s="5"/>
      <c r="B340" s="62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176"/>
      <c r="AK340" s="176"/>
      <c r="AL340" s="173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</row>
    <row r="341" spans="1:54" ht="17.25" hidden="1">
      <c r="A341" s="5"/>
      <c r="B341" s="62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176"/>
      <c r="AK341" s="176"/>
      <c r="AL341" s="173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</row>
    <row r="342" spans="1:54" ht="17.25" hidden="1">
      <c r="A342" s="5"/>
      <c r="B342" s="6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176"/>
      <c r="AK342" s="176"/>
      <c r="AL342" s="173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</row>
    <row r="343" spans="1:54" ht="17.25" hidden="1">
      <c r="A343" s="7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5"/>
      <c r="S343" s="5"/>
      <c r="T343" s="5"/>
      <c r="U343" s="5"/>
      <c r="V343" s="5"/>
      <c r="W343" s="5"/>
      <c r="X343" s="5"/>
      <c r="Y343" s="5"/>
      <c r="Z343" s="5"/>
      <c r="AA343" s="177"/>
      <c r="AB343" s="5"/>
      <c r="AC343" s="10"/>
      <c r="AD343" s="5"/>
      <c r="AE343" s="5"/>
      <c r="AF343" s="5"/>
      <c r="AG343" s="5"/>
      <c r="AH343" s="5"/>
      <c r="AI343" s="5"/>
      <c r="AJ343" s="176"/>
      <c r="AK343" s="176"/>
      <c r="AL343" s="173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</row>
    <row r="344" spans="1:54" ht="25.5" customHeight="1" thickBot="1">
      <c r="A344" s="54"/>
      <c r="B344" s="55" t="s">
        <v>188</v>
      </c>
      <c r="C344" s="56"/>
      <c r="D344" s="56"/>
      <c r="E344" s="54"/>
      <c r="F344" s="54"/>
      <c r="G344" s="54"/>
      <c r="H344" s="54"/>
      <c r="I344" s="16" t="s">
        <v>128</v>
      </c>
      <c r="J344" s="56"/>
      <c r="K344" s="56"/>
      <c r="L344" s="56"/>
      <c r="M344" s="54"/>
      <c r="N344" s="56"/>
      <c r="O344" s="54"/>
      <c r="P344" s="54"/>
      <c r="Q344" s="26" t="s">
        <v>146</v>
      </c>
      <c r="R344" s="56"/>
      <c r="S344" s="16"/>
      <c r="T344" s="54"/>
      <c r="U344" s="54"/>
      <c r="V344" s="54"/>
      <c r="W344" s="34"/>
      <c r="X344" s="34"/>
      <c r="Y344" s="16"/>
      <c r="Z344" s="54"/>
      <c r="AA344" s="54"/>
      <c r="AB344" s="54"/>
      <c r="AC344" s="54"/>
      <c r="AD344" s="54"/>
      <c r="AE344" s="55"/>
      <c r="AF344" s="54"/>
      <c r="AG344" s="26"/>
      <c r="AH344" s="34"/>
      <c r="AI344" s="54"/>
      <c r="AJ344" s="176"/>
      <c r="AK344" s="176"/>
      <c r="AL344" s="173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</row>
    <row r="345" spans="1:54" ht="17.25">
      <c r="A345" s="57"/>
      <c r="B345" s="58" t="s">
        <v>0</v>
      </c>
      <c r="C345" s="59"/>
      <c r="D345" s="59"/>
      <c r="E345" s="57"/>
      <c r="F345" s="57"/>
      <c r="G345" s="57"/>
      <c r="H345" s="57"/>
      <c r="I345" s="17"/>
      <c r="J345" s="59"/>
      <c r="K345" s="59"/>
      <c r="L345" s="59"/>
      <c r="M345" s="60"/>
      <c r="N345" s="59"/>
      <c r="O345" s="57"/>
      <c r="P345" s="57"/>
      <c r="Q345" s="19" t="s">
        <v>1</v>
      </c>
      <c r="R345" s="59"/>
      <c r="S345" s="17"/>
      <c r="T345" s="57"/>
      <c r="U345" s="57"/>
      <c r="V345" s="57"/>
      <c r="W345" s="60"/>
      <c r="X345" s="60"/>
      <c r="Y345" s="17"/>
      <c r="Z345" s="57"/>
      <c r="AA345" s="57"/>
      <c r="AB345" s="57"/>
      <c r="AC345" s="57"/>
      <c r="AD345" s="57"/>
      <c r="AE345" s="59"/>
      <c r="AF345" s="57"/>
      <c r="AG345" s="19"/>
      <c r="AH345" s="60"/>
      <c r="AI345" s="57"/>
      <c r="AJ345" s="176"/>
      <c r="AK345" s="176"/>
      <c r="AL345" s="173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</row>
    <row r="346" spans="1:54" ht="17.25">
      <c r="A346" s="5"/>
      <c r="B346" s="61" t="s">
        <v>67</v>
      </c>
      <c r="C346" s="4"/>
      <c r="D346" s="4"/>
      <c r="E346" s="5"/>
      <c r="F346" s="5"/>
      <c r="G346" s="5"/>
      <c r="H346" s="5"/>
      <c r="I346" s="18" t="s">
        <v>129</v>
      </c>
      <c r="J346" s="4"/>
      <c r="K346" s="4"/>
      <c r="L346" s="62"/>
      <c r="N346" s="4"/>
      <c r="O346" s="5"/>
      <c r="P346" s="5"/>
      <c r="Q346" s="27" t="s">
        <v>109</v>
      </c>
      <c r="R346" s="4"/>
      <c r="S346" s="7"/>
      <c r="T346" s="5"/>
      <c r="U346" s="5"/>
      <c r="V346" s="5"/>
      <c r="Y346" s="18"/>
      <c r="Z346" s="5"/>
      <c r="AA346" s="5"/>
      <c r="AB346" s="5"/>
      <c r="AC346" s="5"/>
      <c r="AD346" s="5"/>
      <c r="AE346" s="62"/>
      <c r="AF346" s="5"/>
      <c r="AG346" s="27"/>
      <c r="AI346" s="5"/>
      <c r="AJ346" s="176"/>
      <c r="AK346" s="176"/>
      <c r="AL346" s="173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</row>
    <row r="347" spans="1:54" ht="17.25">
      <c r="A347" s="5"/>
      <c r="B347" s="61" t="s">
        <v>118</v>
      </c>
      <c r="C347" s="4"/>
      <c r="D347" s="4"/>
      <c r="E347" s="5"/>
      <c r="F347" s="5"/>
      <c r="G347" s="5"/>
      <c r="H347" s="5"/>
      <c r="I347" s="18" t="s">
        <v>130</v>
      </c>
      <c r="J347" s="4"/>
      <c r="K347" s="4"/>
      <c r="L347" s="4"/>
      <c r="N347" s="4"/>
      <c r="O347" s="5"/>
      <c r="P347" s="5"/>
      <c r="Q347" s="27" t="s">
        <v>110</v>
      </c>
      <c r="R347" s="4"/>
      <c r="S347" s="18"/>
      <c r="T347" s="5"/>
      <c r="U347" s="5"/>
      <c r="V347" s="5"/>
      <c r="Y347" s="18"/>
      <c r="Z347" s="5"/>
      <c r="AA347" s="5"/>
      <c r="AB347" s="5"/>
      <c r="AC347" s="5"/>
      <c r="AD347" s="5"/>
      <c r="AE347" s="61"/>
      <c r="AF347" s="5"/>
      <c r="AG347" s="27"/>
      <c r="AI347" s="5"/>
      <c r="AJ347" s="176"/>
      <c r="AK347" s="176"/>
      <c r="AL347" s="173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</row>
    <row r="348" spans="1:54" ht="18" thickBot="1">
      <c r="A348" s="54"/>
      <c r="B348" s="54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4"/>
      <c r="P348" s="54"/>
      <c r="Q348" s="56"/>
      <c r="R348" s="56"/>
      <c r="S348" s="54"/>
      <c r="T348" s="54"/>
      <c r="U348" s="54"/>
      <c r="V348" s="54"/>
      <c r="W348" s="34"/>
      <c r="X348" s="34"/>
      <c r="Y348" s="56"/>
      <c r="Z348" s="54"/>
      <c r="AA348" s="54"/>
      <c r="AB348" s="54"/>
      <c r="AC348" s="54"/>
      <c r="AD348" s="54"/>
      <c r="AE348" s="64"/>
      <c r="AF348" s="54"/>
      <c r="AG348" s="34"/>
      <c r="AH348" s="34"/>
      <c r="AI348" s="54"/>
      <c r="AJ348" s="176"/>
      <c r="AK348" s="176"/>
      <c r="AL348" s="173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</row>
    <row r="349" spans="1:54" ht="25.5" customHeight="1">
      <c r="A349" s="57"/>
      <c r="B349" s="59"/>
      <c r="C349" s="59"/>
      <c r="D349" s="59"/>
      <c r="E349" s="59"/>
      <c r="F349" s="59"/>
      <c r="G349" s="59"/>
      <c r="H349" s="59"/>
      <c r="I349" s="65" t="s">
        <v>2</v>
      </c>
      <c r="J349" s="59"/>
      <c r="K349" s="59"/>
      <c r="L349" s="59"/>
      <c r="M349" s="59"/>
      <c r="N349" s="59"/>
      <c r="O349" s="59"/>
      <c r="P349" s="59"/>
      <c r="Q349" s="59"/>
      <c r="R349" s="59"/>
      <c r="S349" s="57"/>
      <c r="T349" s="57"/>
      <c r="U349" s="57"/>
      <c r="V349" s="57"/>
      <c r="W349" s="60"/>
      <c r="X349" s="57"/>
      <c r="Y349" s="65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176"/>
      <c r="AK349" s="176"/>
      <c r="AL349" s="173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</row>
    <row r="350" spans="1:54" ht="17.25">
      <c r="A350" s="7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5"/>
      <c r="S350" s="5"/>
      <c r="T350" s="5"/>
      <c r="U350" s="5"/>
      <c r="V350" s="5"/>
      <c r="W350" s="5"/>
      <c r="X350" s="5"/>
      <c r="Y350" s="5"/>
      <c r="Z350" s="5"/>
      <c r="AA350" s="177"/>
      <c r="AB350" s="5"/>
      <c r="AC350" s="10"/>
      <c r="AD350" s="5"/>
      <c r="AE350" s="5"/>
      <c r="AF350" s="5"/>
      <c r="AG350" s="5"/>
      <c r="AH350" s="5"/>
      <c r="AI350" s="5"/>
      <c r="AJ350" s="176"/>
      <c r="AK350" s="176"/>
      <c r="AL350" s="173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</row>
    <row r="351" spans="1:54" ht="17.25">
      <c r="A351" s="7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5"/>
      <c r="S351" s="5"/>
      <c r="T351" s="5"/>
      <c r="U351" s="5"/>
      <c r="V351" s="5"/>
      <c r="W351" s="5"/>
      <c r="X351" s="5"/>
      <c r="Y351" s="5"/>
      <c r="Z351" s="5"/>
      <c r="AA351" s="177"/>
      <c r="AB351" s="5"/>
      <c r="AC351" s="10"/>
      <c r="AD351" s="5"/>
      <c r="AE351" s="5"/>
      <c r="AF351" s="5"/>
      <c r="AG351" s="5"/>
      <c r="AH351" s="5"/>
      <c r="AI351" s="5"/>
      <c r="AJ351" s="176"/>
      <c r="AK351" s="176"/>
      <c r="AL351" s="173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</row>
    <row r="352" spans="1:54" ht="17.25">
      <c r="A352" s="67" t="s">
        <v>66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5"/>
      <c r="S352" s="5"/>
      <c r="T352" s="5"/>
      <c r="U352" s="5"/>
      <c r="V352" s="5"/>
      <c r="W352" s="5"/>
      <c r="X352" s="5"/>
      <c r="Y352" s="5"/>
      <c r="Z352" s="5"/>
      <c r="AA352" s="177"/>
      <c r="AB352" s="5"/>
      <c r="AC352" s="10"/>
      <c r="AD352" s="5"/>
      <c r="AE352" s="5"/>
      <c r="AF352" s="5"/>
      <c r="AG352" s="5"/>
      <c r="AH352" s="5"/>
      <c r="AI352" s="5"/>
      <c r="AJ352" s="176"/>
      <c r="AK352" s="176"/>
      <c r="AL352" s="173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</row>
    <row r="353" spans="1:35" s="12" customFormat="1" ht="18" customHeight="1">
      <c r="A353" s="7">
        <v>1</v>
      </c>
      <c r="B353" s="178" t="s">
        <v>112</v>
      </c>
      <c r="C353" s="179"/>
      <c r="D353" s="179"/>
      <c r="E353" s="180"/>
      <c r="F353" s="181"/>
      <c r="G353" s="181" t="s">
        <v>64</v>
      </c>
      <c r="H353" s="181"/>
      <c r="I353" s="182"/>
      <c r="J353" s="180"/>
      <c r="K353" s="180"/>
      <c r="L353" s="180"/>
      <c r="M353" s="182"/>
      <c r="N353" s="4"/>
      <c r="O353" s="181" t="s">
        <v>121</v>
      </c>
      <c r="P353" s="4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177"/>
      <c r="AB353" s="5"/>
      <c r="AC353" s="10"/>
      <c r="AD353" s="5"/>
      <c r="AE353" s="5"/>
      <c r="AF353" s="5"/>
      <c r="AG353" s="5"/>
      <c r="AH353" s="34"/>
      <c r="AI353" s="63"/>
    </row>
    <row r="354" spans="1:35" s="12" customFormat="1" ht="19.5" customHeight="1">
      <c r="A354" s="7"/>
      <c r="B354" s="4"/>
      <c r="C354" s="4"/>
      <c r="D354" s="4"/>
      <c r="E354" s="182"/>
      <c r="F354" s="182"/>
      <c r="G354" s="182"/>
      <c r="H354" s="182"/>
      <c r="I354" s="182"/>
      <c r="J354" s="48"/>
      <c r="K354" s="48"/>
      <c r="L354" s="48"/>
      <c r="M354" s="48"/>
      <c r="N354" s="4"/>
      <c r="O354" s="4"/>
      <c r="P354" s="4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177"/>
      <c r="AB354" s="5"/>
      <c r="AC354" s="10"/>
      <c r="AD354" s="5"/>
      <c r="AE354" s="5"/>
      <c r="AF354" s="5"/>
      <c r="AG354" s="5"/>
      <c r="AH354" s="34"/>
      <c r="AI354" s="63"/>
    </row>
    <row r="355" spans="1:35" s="12" customFormat="1" ht="25.5" customHeight="1">
      <c r="A355" s="7">
        <f>+A353+1</f>
        <v>2</v>
      </c>
      <c r="B355" s="122" t="s">
        <v>113</v>
      </c>
      <c r="C355" s="4"/>
      <c r="D355" s="4"/>
      <c r="E355" s="183">
        <f>+'[1]SCHE-1'!$I175</f>
        <v>35</v>
      </c>
      <c r="F355" s="28"/>
      <c r="G355" s="49">
        <f>+'[1]SCHE-1'!$J175</f>
        <v>1284801</v>
      </c>
      <c r="H355" s="4"/>
      <c r="I355" s="182"/>
      <c r="J355" s="182"/>
      <c r="K355" s="182"/>
      <c r="L355" s="48"/>
      <c r="M355" s="183">
        <f>+'[1]SCHE-1'!$M175</f>
        <v>50</v>
      </c>
      <c r="N355" s="4"/>
      <c r="O355" s="49">
        <f>+'[1]SCHE-1'!$N175</f>
        <v>1835430</v>
      </c>
      <c r="P355" s="4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177"/>
      <c r="AB355" s="5"/>
      <c r="AC355" s="10"/>
      <c r="AD355" s="5"/>
      <c r="AE355" s="5"/>
      <c r="AF355" s="5"/>
      <c r="AG355" s="5"/>
      <c r="AH355" s="34"/>
      <c r="AI355" s="63"/>
    </row>
    <row r="356" spans="1:35" s="12" customFormat="1" ht="25.5" customHeight="1">
      <c r="A356" s="7">
        <f>+A355+1</f>
        <v>3</v>
      </c>
      <c r="B356" s="122" t="s">
        <v>114</v>
      </c>
      <c r="C356" s="4"/>
      <c r="D356" s="4"/>
      <c r="E356" s="183">
        <f>+'[1]SCHE-1'!$I176</f>
        <v>75</v>
      </c>
      <c r="F356" s="28"/>
      <c r="G356" s="49">
        <f>+'[1]SCHE-1'!$J176</f>
        <v>182886</v>
      </c>
      <c r="H356" s="4"/>
      <c r="I356" s="182"/>
      <c r="J356" s="182"/>
      <c r="K356" s="182"/>
      <c r="L356" s="48"/>
      <c r="M356" s="183">
        <v>75</v>
      </c>
      <c r="N356" s="4"/>
      <c r="O356" s="49">
        <f>+'[1]SCHE-1'!$N176*75/65</f>
        <v>182886</v>
      </c>
      <c r="P356" s="4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177"/>
      <c r="AB356" s="5"/>
      <c r="AC356" s="10"/>
      <c r="AD356" s="5"/>
      <c r="AE356" s="5"/>
      <c r="AF356" s="5"/>
      <c r="AG356" s="5"/>
      <c r="AH356" s="34"/>
      <c r="AI356" s="63"/>
    </row>
    <row r="357" spans="1:35" s="12" customFormat="1" ht="25.5" customHeight="1">
      <c r="A357" s="7">
        <f aca="true" t="shared" si="35" ref="A357:A367">+A356+1</f>
        <v>4</v>
      </c>
      <c r="B357" s="122" t="s">
        <v>89</v>
      </c>
      <c r="C357" s="4"/>
      <c r="D357" s="4"/>
      <c r="E357" s="183">
        <f>+'[1]SCHE-1'!$I177</f>
        <v>60</v>
      </c>
      <c r="F357" s="28"/>
      <c r="G357" s="49">
        <f>+'[1]SCHE-1'!$J177</f>
        <v>1059992.824753785</v>
      </c>
      <c r="H357" s="4"/>
      <c r="I357" s="182"/>
      <c r="J357" s="182"/>
      <c r="K357" s="182"/>
      <c r="L357" s="48"/>
      <c r="M357" s="183">
        <f>+'[1]SCHE-1'!$M177</f>
        <v>70</v>
      </c>
      <c r="N357" s="4"/>
      <c r="O357" s="49">
        <f>+'[1]SCHE-1'!$N177</f>
        <v>1236658.2955460825</v>
      </c>
      <c r="P357" s="4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177"/>
      <c r="AB357" s="5"/>
      <c r="AC357" s="10"/>
      <c r="AD357" s="5"/>
      <c r="AE357" s="5"/>
      <c r="AF357" s="5"/>
      <c r="AG357" s="5"/>
      <c r="AH357" s="34"/>
      <c r="AI357" s="63"/>
    </row>
    <row r="358" spans="1:35" s="12" customFormat="1" ht="25.5" customHeight="1">
      <c r="A358" s="7">
        <f t="shared" si="35"/>
        <v>5</v>
      </c>
      <c r="B358" s="122" t="s">
        <v>90</v>
      </c>
      <c r="C358" s="4"/>
      <c r="D358" s="4"/>
      <c r="E358" s="183">
        <f>+'[1]SCHE-1'!$I178</f>
        <v>100</v>
      </c>
      <c r="F358" s="28"/>
      <c r="G358" s="49">
        <f>+'[1]SCHE-1'!$J178</f>
        <v>99124.17903865941</v>
      </c>
      <c r="H358" s="4"/>
      <c r="I358" s="182"/>
      <c r="J358" s="182"/>
      <c r="K358" s="182"/>
      <c r="L358" s="49"/>
      <c r="M358" s="183">
        <v>100</v>
      </c>
      <c r="N358" s="4"/>
      <c r="O358" s="49">
        <f>+'[1]SCHE-1'!$N178*100/90</f>
        <v>99124.17903865942</v>
      </c>
      <c r="P358" s="4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177"/>
      <c r="AB358" s="5"/>
      <c r="AC358" s="10"/>
      <c r="AD358" s="5"/>
      <c r="AE358" s="5"/>
      <c r="AF358" s="5"/>
      <c r="AG358" s="5"/>
      <c r="AH358" s="34"/>
      <c r="AI358" s="63"/>
    </row>
    <row r="359" spans="1:35" s="12" customFormat="1" ht="25.5" customHeight="1">
      <c r="A359" s="7">
        <f t="shared" si="35"/>
        <v>6</v>
      </c>
      <c r="B359" s="64" t="s">
        <v>115</v>
      </c>
      <c r="C359" s="4"/>
      <c r="D359" s="4"/>
      <c r="E359" s="183">
        <f>+'[1]SCHE-1'!$I179</f>
        <v>20</v>
      </c>
      <c r="F359" s="28"/>
      <c r="G359" s="49">
        <f>+'[1]SCHE-1'!$J179</f>
        <v>1385568.9962075555</v>
      </c>
      <c r="H359" s="4"/>
      <c r="I359" s="182"/>
      <c r="J359" s="182"/>
      <c r="K359" s="182"/>
      <c r="L359" s="49"/>
      <c r="M359" s="183">
        <f>+'[1]SCHE-1'!$M179</f>
        <v>20</v>
      </c>
      <c r="N359" s="4"/>
      <c r="O359" s="49">
        <f>+'[1]SCHE-1'!$N179</f>
        <v>1385568.9962075555</v>
      </c>
      <c r="P359" s="4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177"/>
      <c r="AB359" s="5"/>
      <c r="AC359" s="10"/>
      <c r="AD359" s="5"/>
      <c r="AE359" s="5"/>
      <c r="AF359" s="5"/>
      <c r="AG359" s="5"/>
      <c r="AH359" s="34"/>
      <c r="AI359" s="63"/>
    </row>
    <row r="360" spans="1:35" s="12" customFormat="1" ht="25.5" customHeight="1">
      <c r="A360" s="7">
        <f t="shared" si="35"/>
        <v>7</v>
      </c>
      <c r="B360" s="64" t="s">
        <v>116</v>
      </c>
      <c r="C360" s="4"/>
      <c r="D360" s="4"/>
      <c r="E360" s="183">
        <f>+'[1]SCHE-1'!$I180</f>
        <v>20</v>
      </c>
      <c r="F360" s="28"/>
      <c r="G360" s="49">
        <f>+'[1]SCHE-1'!$J180</f>
        <v>436452</v>
      </c>
      <c r="H360" s="4"/>
      <c r="I360" s="182"/>
      <c r="J360" s="182"/>
      <c r="K360" s="182"/>
      <c r="L360" s="49"/>
      <c r="M360" s="183">
        <f>+'[1]SCHE-1'!$M180</f>
        <v>28</v>
      </c>
      <c r="N360" s="4"/>
      <c r="O360" s="49">
        <f>+'[1]SCHE-1'!$N180</f>
        <v>611032.7999999999</v>
      </c>
      <c r="P360" s="4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177"/>
      <c r="AB360" s="5"/>
      <c r="AC360" s="10"/>
      <c r="AD360" s="5"/>
      <c r="AE360" s="5"/>
      <c r="AF360" s="5"/>
      <c r="AG360" s="5"/>
      <c r="AH360" s="34"/>
      <c r="AI360" s="63"/>
    </row>
    <row r="361" spans="1:35" s="12" customFormat="1" ht="25.5" customHeight="1">
      <c r="A361" s="7">
        <f t="shared" si="35"/>
        <v>8</v>
      </c>
      <c r="B361" s="64" t="s">
        <v>92</v>
      </c>
      <c r="C361" s="56"/>
      <c r="D361" s="56"/>
      <c r="E361" s="193" t="str">
        <f>+'[1]SCHE-1'!$I181</f>
        <v>5% or $25</v>
      </c>
      <c r="F361" s="28"/>
      <c r="G361" s="49">
        <f>+'[1]SCHE-1'!$J181</f>
        <v>91903</v>
      </c>
      <c r="H361" s="4"/>
      <c r="I361" s="182"/>
      <c r="J361" s="182"/>
      <c r="K361" s="182"/>
      <c r="L361" s="49"/>
      <c r="M361" s="193" t="str">
        <f>+'[1]SCHE-1'!$M181</f>
        <v>5% or $25</v>
      </c>
      <c r="N361" s="4"/>
      <c r="O361" s="49">
        <f>+'[1]SCHE-1'!$N181</f>
        <v>91903.39999999982</v>
      </c>
      <c r="P361" s="56"/>
      <c r="Q361" s="54"/>
      <c r="R361" s="54"/>
      <c r="S361" s="54"/>
      <c r="T361" s="54"/>
      <c r="U361" s="54"/>
      <c r="V361" s="54"/>
      <c r="W361" s="5"/>
      <c r="X361" s="5"/>
      <c r="Y361" s="5"/>
      <c r="Z361" s="5"/>
      <c r="AA361" s="177"/>
      <c r="AB361" s="5"/>
      <c r="AC361" s="10"/>
      <c r="AD361" s="5"/>
      <c r="AE361" s="5"/>
      <c r="AF361" s="5"/>
      <c r="AG361" s="5"/>
      <c r="AH361" s="34"/>
      <c r="AI361" s="63"/>
    </row>
    <row r="362" spans="1:35" s="12" customFormat="1" ht="25.5" customHeight="1">
      <c r="A362" s="7">
        <f t="shared" si="35"/>
        <v>9</v>
      </c>
      <c r="B362" s="55" t="s">
        <v>94</v>
      </c>
      <c r="C362" s="56"/>
      <c r="D362" s="56"/>
      <c r="E362" s="183">
        <f>+'[1]SCHE-1'!$I182</f>
        <v>144</v>
      </c>
      <c r="F362" s="28"/>
      <c r="G362" s="49">
        <f>+'[1]SCHE-1'!$J182</f>
        <v>507999.9999999981</v>
      </c>
      <c r="H362" s="4"/>
      <c r="I362" s="182"/>
      <c r="J362" s="182"/>
      <c r="K362" s="182"/>
      <c r="L362" s="49"/>
      <c r="M362" s="183">
        <f>+'[1]SCHE-1'!$M182</f>
        <v>144</v>
      </c>
      <c r="N362" s="4"/>
      <c r="O362" s="49">
        <f>+'[1]SCHE-1'!$N182</f>
        <v>507999.9999999981</v>
      </c>
      <c r="P362" s="56"/>
      <c r="Q362" s="54"/>
      <c r="R362" s="54"/>
      <c r="S362" s="54"/>
      <c r="T362" s="54"/>
      <c r="U362" s="54"/>
      <c r="V362" s="54"/>
      <c r="W362" s="5"/>
      <c r="X362" s="5"/>
      <c r="Y362" s="5"/>
      <c r="Z362" s="5"/>
      <c r="AA362" s="177"/>
      <c r="AB362" s="5"/>
      <c r="AC362" s="10"/>
      <c r="AD362" s="5"/>
      <c r="AE362" s="5"/>
      <c r="AF362" s="5"/>
      <c r="AG362" s="5"/>
      <c r="AH362" s="34"/>
      <c r="AI362" s="63"/>
    </row>
    <row r="363" spans="1:35" s="12" customFormat="1" ht="25.5" customHeight="1">
      <c r="A363" s="7">
        <f t="shared" si="35"/>
        <v>10</v>
      </c>
      <c r="B363" s="55" t="s">
        <v>117</v>
      </c>
      <c r="C363" s="56"/>
      <c r="D363" s="56"/>
      <c r="E363" s="193" t="str">
        <f>+'[1]SCHE-1'!$I183</f>
        <v>$142+$0.91 per acct</v>
      </c>
      <c r="F363" s="28"/>
      <c r="G363" s="49">
        <f>+'[1]SCHE-1'!$J183</f>
        <v>176355.99999999924</v>
      </c>
      <c r="H363" s="4"/>
      <c r="I363" s="182"/>
      <c r="J363" s="182"/>
      <c r="K363" s="182"/>
      <c r="L363" s="49"/>
      <c r="M363" s="193" t="str">
        <f>+'[1]SCHE-1'!$M183</f>
        <v>$142+$0.91 per acct</v>
      </c>
      <c r="N363" s="4"/>
      <c r="O363" s="49">
        <f>+'[1]SCHE-1'!$N183</f>
        <v>174093.99999999924</v>
      </c>
      <c r="P363" s="56"/>
      <c r="Q363" s="54"/>
      <c r="R363" s="54"/>
      <c r="S363" s="54"/>
      <c r="T363" s="54"/>
      <c r="U363" s="54"/>
      <c r="V363" s="54"/>
      <c r="W363" s="5"/>
      <c r="X363" s="5"/>
      <c r="Y363" s="5"/>
      <c r="Z363" s="5"/>
      <c r="AA363" s="177"/>
      <c r="AB363" s="5"/>
      <c r="AC363" s="10"/>
      <c r="AD363" s="5"/>
      <c r="AE363" s="5"/>
      <c r="AF363" s="5"/>
      <c r="AG363" s="5"/>
      <c r="AH363" s="34"/>
      <c r="AI363" s="63"/>
    </row>
    <row r="364" spans="1:35" s="12" customFormat="1" ht="25.5" customHeight="1">
      <c r="A364" s="7">
        <f t="shared" si="35"/>
        <v>11</v>
      </c>
      <c r="B364" s="55" t="s">
        <v>97</v>
      </c>
      <c r="C364" s="56"/>
      <c r="D364" s="56"/>
      <c r="E364" s="193" t="str">
        <f>+'[1]SCHE-1'!$I184</f>
        <v>Varies</v>
      </c>
      <c r="F364" s="28"/>
      <c r="G364" s="49">
        <f>+'[1]SCHE-1'!$J184</f>
        <v>862216.8</v>
      </c>
      <c r="H364" s="4"/>
      <c r="I364" s="182"/>
      <c r="J364" s="182"/>
      <c r="K364" s="182"/>
      <c r="L364" s="49"/>
      <c r="M364" s="193" t="str">
        <f>+'[1]SCHE-1'!$M184</f>
        <v>Varies</v>
      </c>
      <c r="N364" s="4"/>
      <c r="O364" s="49">
        <f>+'[1]SCHE-1'!$N184</f>
        <v>862216.8</v>
      </c>
      <c r="P364" s="56"/>
      <c r="Q364" s="54"/>
      <c r="R364" s="54"/>
      <c r="S364" s="54"/>
      <c r="T364" s="54"/>
      <c r="U364" s="54"/>
      <c r="V364" s="54"/>
      <c r="W364" s="5"/>
      <c r="X364" s="5"/>
      <c r="Y364" s="5"/>
      <c r="Z364" s="5"/>
      <c r="AA364" s="177"/>
      <c r="AB364" s="5"/>
      <c r="AC364" s="10"/>
      <c r="AD364" s="5"/>
      <c r="AE364" s="5"/>
      <c r="AF364" s="5"/>
      <c r="AG364" s="5"/>
      <c r="AH364" s="34"/>
      <c r="AI364" s="63"/>
    </row>
    <row r="365" spans="1:35" s="12" customFormat="1" ht="25.5" customHeight="1">
      <c r="A365" s="7">
        <f t="shared" si="35"/>
        <v>12</v>
      </c>
      <c r="B365" s="55" t="s">
        <v>99</v>
      </c>
      <c r="C365" s="56"/>
      <c r="D365" s="56"/>
      <c r="E365" s="193" t="str">
        <f>+'[1]SCHE-1'!$I185</f>
        <v>Varies</v>
      </c>
      <c r="F365" s="28"/>
      <c r="G365" s="49">
        <f>+'[1]SCHE-1'!$J185</f>
        <v>367614.12</v>
      </c>
      <c r="H365" s="4"/>
      <c r="I365" s="182"/>
      <c r="J365" s="182"/>
      <c r="K365" s="182"/>
      <c r="L365" s="48"/>
      <c r="M365" s="193" t="str">
        <f>+'[1]SCHE-1'!$M185</f>
        <v>Varies</v>
      </c>
      <c r="N365" s="4"/>
      <c r="O365" s="49">
        <f>+'[1]SCHE-1'!$N185</f>
        <v>367614.12</v>
      </c>
      <c r="P365" s="56"/>
      <c r="Q365" s="54"/>
      <c r="R365" s="54"/>
      <c r="S365" s="54"/>
      <c r="T365" s="54"/>
      <c r="U365" s="54"/>
      <c r="V365" s="54"/>
      <c r="W365" s="5"/>
      <c r="X365" s="5"/>
      <c r="Y365" s="5"/>
      <c r="Z365" s="5"/>
      <c r="AA365" s="177"/>
      <c r="AB365" s="5"/>
      <c r="AC365" s="10"/>
      <c r="AD365" s="5"/>
      <c r="AE365" s="5"/>
      <c r="AF365" s="5"/>
      <c r="AG365" s="5"/>
      <c r="AH365" s="34"/>
      <c r="AI365" s="63"/>
    </row>
    <row r="366" spans="1:35" s="12" customFormat="1" ht="25.5" customHeight="1">
      <c r="A366" s="7">
        <f t="shared" si="35"/>
        <v>13</v>
      </c>
      <c r="B366" s="55" t="s">
        <v>91</v>
      </c>
      <c r="C366" s="56"/>
      <c r="D366" s="56"/>
      <c r="E366" s="183">
        <f>+'[1]SCHE-1'!$I186</f>
        <v>25</v>
      </c>
      <c r="F366" s="28"/>
      <c r="G366" s="49">
        <f>+'[1]SCHE-1'!$J186</f>
        <v>65755</v>
      </c>
      <c r="H366" s="4"/>
      <c r="I366" s="182"/>
      <c r="J366" s="182"/>
      <c r="K366" s="182"/>
      <c r="L366" s="48"/>
      <c r="M366" s="183">
        <f>+'[1]SCHE-1'!$M186</f>
        <v>20</v>
      </c>
      <c r="N366" s="4"/>
      <c r="O366" s="49">
        <f>+'[1]SCHE-1'!$N186</f>
        <v>52604</v>
      </c>
      <c r="P366" s="56"/>
      <c r="Q366" s="54"/>
      <c r="R366" s="54"/>
      <c r="S366" s="54"/>
      <c r="T366" s="54"/>
      <c r="U366" s="54"/>
      <c r="V366" s="54"/>
      <c r="W366" s="5"/>
      <c r="X366" s="5"/>
      <c r="Y366" s="5"/>
      <c r="Z366" s="5"/>
      <c r="AA366" s="177"/>
      <c r="AB366" s="5"/>
      <c r="AC366" s="10"/>
      <c r="AD366" s="5"/>
      <c r="AE366" s="5"/>
      <c r="AF366" s="5"/>
      <c r="AG366" s="5"/>
      <c r="AH366" s="34"/>
      <c r="AI366" s="63"/>
    </row>
    <row r="367" spans="1:35" s="12" customFormat="1" ht="25.5" customHeight="1">
      <c r="A367" s="7">
        <f t="shared" si="35"/>
        <v>14</v>
      </c>
      <c r="B367" s="55" t="s">
        <v>93</v>
      </c>
      <c r="C367" s="56"/>
      <c r="D367" s="56"/>
      <c r="E367" s="183">
        <f>+'[1]SCHE-1'!$I187</f>
        <v>15</v>
      </c>
      <c r="F367" s="28"/>
      <c r="G367" s="49">
        <f>+'[1]SCHE-1'!$J187</f>
        <v>74028</v>
      </c>
      <c r="H367" s="4"/>
      <c r="I367" s="182"/>
      <c r="J367" s="182"/>
      <c r="K367" s="182"/>
      <c r="L367" s="49"/>
      <c r="M367" s="183">
        <f>+'[1]SCHE-1'!$M187</f>
        <v>25</v>
      </c>
      <c r="N367" s="4"/>
      <c r="O367" s="49">
        <f>+'[1]SCHE-1'!$N187</f>
        <v>123380</v>
      </c>
      <c r="P367" s="56"/>
      <c r="Q367" s="54"/>
      <c r="R367" s="54"/>
      <c r="S367" s="54"/>
      <c r="T367" s="54"/>
      <c r="U367" s="54"/>
      <c r="V367" s="54"/>
      <c r="W367" s="5"/>
      <c r="X367" s="5"/>
      <c r="Y367" s="5"/>
      <c r="Z367" s="5"/>
      <c r="AA367" s="177"/>
      <c r="AB367" s="5"/>
      <c r="AC367" s="10"/>
      <c r="AD367" s="5"/>
      <c r="AE367" s="5"/>
      <c r="AF367" s="5"/>
      <c r="AG367" s="5"/>
      <c r="AH367" s="34"/>
      <c r="AI367" s="63"/>
    </row>
    <row r="368" spans="1:35" s="12" customFormat="1" ht="19.5" customHeight="1">
      <c r="A368" s="184"/>
      <c r="B368" s="55"/>
      <c r="C368" s="56"/>
      <c r="D368" s="56"/>
      <c r="E368" s="183"/>
      <c r="F368" s="28"/>
      <c r="G368" s="49"/>
      <c r="H368" s="4"/>
      <c r="I368" s="182"/>
      <c r="J368" s="182"/>
      <c r="K368" s="182"/>
      <c r="L368" s="48"/>
      <c r="M368" s="183"/>
      <c r="N368" s="4"/>
      <c r="O368" s="49"/>
      <c r="P368" s="56"/>
      <c r="Q368" s="54"/>
      <c r="R368" s="54"/>
      <c r="S368" s="54"/>
      <c r="T368" s="54"/>
      <c r="U368" s="54"/>
      <c r="V368" s="54"/>
      <c r="W368" s="5"/>
      <c r="X368" s="5"/>
      <c r="Y368" s="5"/>
      <c r="Z368" s="5"/>
      <c r="AA368" s="177"/>
      <c r="AB368" s="5"/>
      <c r="AC368" s="10"/>
      <c r="AD368" s="5"/>
      <c r="AE368" s="5"/>
      <c r="AF368" s="5"/>
      <c r="AG368" s="5"/>
      <c r="AH368" s="34"/>
      <c r="AI368" s="63"/>
    </row>
    <row r="369" spans="1:35" s="12" customFormat="1" ht="19.5" customHeight="1">
      <c r="A369" s="184"/>
      <c r="B369" s="182"/>
      <c r="C369" s="56"/>
      <c r="D369" s="56"/>
      <c r="E369" s="185"/>
      <c r="F369" s="185"/>
      <c r="G369" s="50"/>
      <c r="H369" s="4"/>
      <c r="I369" s="182"/>
      <c r="J369" s="182"/>
      <c r="K369" s="182"/>
      <c r="L369" s="49"/>
      <c r="M369" s="185"/>
      <c r="N369" s="4"/>
      <c r="O369" s="49"/>
      <c r="P369" s="56"/>
      <c r="Q369" s="54"/>
      <c r="R369" s="54"/>
      <c r="S369" s="54"/>
      <c r="T369" s="54"/>
      <c r="U369" s="54"/>
      <c r="V369" s="54"/>
      <c r="W369" s="5"/>
      <c r="X369" s="5"/>
      <c r="Y369" s="5"/>
      <c r="Z369" s="5"/>
      <c r="AA369" s="177"/>
      <c r="AB369" s="5"/>
      <c r="AC369" s="10"/>
      <c r="AD369" s="5"/>
      <c r="AE369" s="5"/>
      <c r="AF369" s="5"/>
      <c r="AG369" s="5"/>
      <c r="AH369" s="34"/>
      <c r="AI369" s="63"/>
    </row>
    <row r="370" spans="1:35" s="12" customFormat="1" ht="20.25" customHeight="1" thickBot="1">
      <c r="A370" s="184">
        <f>+A367+1</f>
        <v>15</v>
      </c>
      <c r="B370" s="186" t="s">
        <v>16</v>
      </c>
      <c r="C370" s="4"/>
      <c r="D370" s="4"/>
      <c r="E370" s="4"/>
      <c r="F370" s="4"/>
      <c r="G370" s="187">
        <f>SUM(G355:G369)</f>
        <v>6594697.919999997</v>
      </c>
      <c r="H370" s="4"/>
      <c r="I370" s="182"/>
      <c r="J370" s="182"/>
      <c r="K370" s="182"/>
      <c r="L370" s="49"/>
      <c r="M370" s="185"/>
      <c r="N370" s="4"/>
      <c r="O370" s="187">
        <f>SUM(O355:O369)</f>
        <v>7530512.590792294</v>
      </c>
      <c r="P370" s="56"/>
      <c r="Q370" s="54"/>
      <c r="R370" s="54"/>
      <c r="S370" s="54"/>
      <c r="T370" s="54"/>
      <c r="U370" s="54"/>
      <c r="V370" s="54"/>
      <c r="W370" s="5"/>
      <c r="X370" s="5"/>
      <c r="Y370" s="5"/>
      <c r="Z370" s="5"/>
      <c r="AA370" s="177"/>
      <c r="AB370" s="5"/>
      <c r="AC370" s="10"/>
      <c r="AD370" s="5"/>
      <c r="AE370" s="5"/>
      <c r="AF370" s="5"/>
      <c r="AG370" s="5"/>
      <c r="AH370" s="34"/>
      <c r="AI370" s="63"/>
    </row>
    <row r="371" spans="1:35" s="12" customFormat="1" ht="20.25" customHeight="1" hidden="1" thickTop="1">
      <c r="A371" s="5"/>
      <c r="B371" s="182"/>
      <c r="C371" s="182"/>
      <c r="D371" s="182"/>
      <c r="E371" s="182"/>
      <c r="F371" s="182"/>
      <c r="G371" s="188">
        <f>+G370+750000+480321</f>
        <v>7825018.919999997</v>
      </c>
      <c r="H371" s="189"/>
      <c r="I371" s="188"/>
      <c r="J371" s="188"/>
      <c r="K371" s="188"/>
      <c r="L371" s="51"/>
      <c r="M371" s="189"/>
      <c r="N371" s="189"/>
      <c r="O371" s="188">
        <f>+O370+750000+480321</f>
        <v>8760833.590792295</v>
      </c>
      <c r="P371" s="4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177"/>
      <c r="AB371" s="5"/>
      <c r="AC371" s="10"/>
      <c r="AD371" s="5"/>
      <c r="AE371" s="5"/>
      <c r="AF371" s="5"/>
      <c r="AG371" s="5"/>
      <c r="AH371" s="34"/>
      <c r="AI371" s="63"/>
    </row>
    <row r="372" spans="1:35" s="12" customFormat="1" ht="18" thickTop="1">
      <c r="A372" s="5"/>
      <c r="B372" s="182"/>
      <c r="C372" s="182"/>
      <c r="D372" s="182"/>
      <c r="E372" s="182"/>
      <c r="F372" s="182"/>
      <c r="G372" s="188"/>
      <c r="H372" s="189"/>
      <c r="I372" s="188"/>
      <c r="J372" s="188"/>
      <c r="K372" s="188"/>
      <c r="L372" s="51"/>
      <c r="M372" s="189"/>
      <c r="N372" s="189"/>
      <c r="O372" s="188"/>
      <c r="P372" s="4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177"/>
      <c r="AB372" s="5"/>
      <c r="AC372" s="10"/>
      <c r="AD372" s="5"/>
      <c r="AE372" s="5"/>
      <c r="AF372" s="5"/>
      <c r="AG372" s="5"/>
      <c r="AH372" s="34"/>
      <c r="AI372" s="63"/>
    </row>
    <row r="373" spans="1:35" s="12" customFormat="1" ht="19.5" customHeight="1">
      <c r="A373" s="5"/>
      <c r="B373" s="182"/>
      <c r="C373" s="182"/>
      <c r="D373" s="182"/>
      <c r="E373" s="182"/>
      <c r="F373" s="182"/>
      <c r="G373" s="188"/>
      <c r="H373" s="189"/>
      <c r="I373" s="188"/>
      <c r="J373" s="188"/>
      <c r="K373" s="188"/>
      <c r="L373" s="51"/>
      <c r="M373" s="189"/>
      <c r="N373" s="189"/>
      <c r="O373" s="188"/>
      <c r="P373" s="4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177"/>
      <c r="AB373" s="5"/>
      <c r="AC373" s="10"/>
      <c r="AD373" s="5"/>
      <c r="AE373" s="5"/>
      <c r="AF373" s="5"/>
      <c r="AG373" s="5"/>
      <c r="AH373" s="34"/>
      <c r="AI373" s="63"/>
    </row>
    <row r="374" spans="1:35" s="12" customFormat="1" ht="19.5" customHeight="1">
      <c r="A374" s="5"/>
      <c r="B374" s="182"/>
      <c r="C374" s="182"/>
      <c r="D374" s="182"/>
      <c r="E374" s="182"/>
      <c r="F374" s="182"/>
      <c r="G374" s="188"/>
      <c r="H374" s="189"/>
      <c r="I374" s="188"/>
      <c r="J374" s="188"/>
      <c r="K374" s="188"/>
      <c r="L374" s="51"/>
      <c r="M374" s="189"/>
      <c r="N374" s="189"/>
      <c r="O374" s="188"/>
      <c r="P374" s="4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177"/>
      <c r="AB374" s="5"/>
      <c r="AC374" s="10"/>
      <c r="AD374" s="5"/>
      <c r="AE374" s="5"/>
      <c r="AF374" s="5"/>
      <c r="AG374" s="5"/>
      <c r="AH374" s="34"/>
      <c r="AI374" s="63"/>
    </row>
    <row r="375" spans="1:35" s="12" customFormat="1" ht="19.5" customHeight="1">
      <c r="A375" s="5"/>
      <c r="B375" s="182"/>
      <c r="C375" s="182"/>
      <c r="D375" s="182"/>
      <c r="E375" s="182"/>
      <c r="F375" s="182"/>
      <c r="G375" s="188"/>
      <c r="H375" s="189"/>
      <c r="I375" s="188"/>
      <c r="J375" s="188"/>
      <c r="K375" s="188"/>
      <c r="L375" s="51"/>
      <c r="M375" s="189"/>
      <c r="N375" s="189"/>
      <c r="O375" s="188"/>
      <c r="P375" s="4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177"/>
      <c r="AB375" s="5"/>
      <c r="AC375" s="10"/>
      <c r="AD375" s="5"/>
      <c r="AE375" s="5"/>
      <c r="AF375" s="5"/>
      <c r="AG375" s="5"/>
      <c r="AH375" s="34"/>
      <c r="AI375" s="63"/>
    </row>
    <row r="376" spans="1:35" s="12" customFormat="1" ht="19.5" customHeight="1">
      <c r="A376" s="5"/>
      <c r="B376" s="182"/>
      <c r="C376" s="182"/>
      <c r="D376" s="182"/>
      <c r="E376" s="182"/>
      <c r="F376" s="182"/>
      <c r="G376" s="188"/>
      <c r="H376" s="189"/>
      <c r="I376" s="188"/>
      <c r="J376" s="188"/>
      <c r="K376" s="188"/>
      <c r="L376" s="51"/>
      <c r="M376" s="189"/>
      <c r="N376" s="189"/>
      <c r="O376" s="188"/>
      <c r="P376" s="4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177"/>
      <c r="AB376" s="5"/>
      <c r="AC376" s="10"/>
      <c r="AD376" s="5"/>
      <c r="AE376" s="5"/>
      <c r="AF376" s="5"/>
      <c r="AG376" s="5"/>
      <c r="AH376" s="34"/>
      <c r="AI376" s="63"/>
    </row>
    <row r="377" spans="1:35" s="12" customFormat="1" ht="19.5" customHeight="1">
      <c r="A377" s="5"/>
      <c r="B377" s="182"/>
      <c r="C377" s="182"/>
      <c r="D377" s="182"/>
      <c r="E377" s="182"/>
      <c r="F377" s="182"/>
      <c r="G377" s="188"/>
      <c r="H377" s="189"/>
      <c r="I377" s="188"/>
      <c r="J377" s="188"/>
      <c r="K377" s="188"/>
      <c r="L377" s="51"/>
      <c r="M377" s="189"/>
      <c r="N377" s="189"/>
      <c r="O377" s="188"/>
      <c r="P377" s="4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177"/>
      <c r="AB377" s="5"/>
      <c r="AC377" s="10"/>
      <c r="AD377" s="5"/>
      <c r="AE377" s="5"/>
      <c r="AF377" s="5"/>
      <c r="AG377" s="5"/>
      <c r="AH377" s="34"/>
      <c r="AI377" s="63"/>
    </row>
    <row r="378" spans="1:35" s="12" customFormat="1" ht="19.5" customHeight="1">
      <c r="A378" s="5"/>
      <c r="B378" s="182"/>
      <c r="C378" s="182"/>
      <c r="D378" s="182"/>
      <c r="E378" s="182"/>
      <c r="F378" s="182"/>
      <c r="G378" s="188"/>
      <c r="H378" s="189"/>
      <c r="I378" s="188"/>
      <c r="J378" s="188"/>
      <c r="K378" s="188"/>
      <c r="L378" s="51"/>
      <c r="M378" s="189"/>
      <c r="N378" s="189"/>
      <c r="O378" s="188"/>
      <c r="P378" s="4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177"/>
      <c r="AB378" s="5"/>
      <c r="AC378" s="10"/>
      <c r="AD378" s="5"/>
      <c r="AE378" s="5"/>
      <c r="AF378" s="5"/>
      <c r="AG378" s="5"/>
      <c r="AH378" s="34"/>
      <c r="AI378" s="63"/>
    </row>
    <row r="379" spans="1:35" s="12" customFormat="1" ht="19.5" customHeight="1">
      <c r="A379" s="5"/>
      <c r="B379" s="182"/>
      <c r="C379" s="182"/>
      <c r="D379" s="182"/>
      <c r="E379" s="182"/>
      <c r="F379" s="182"/>
      <c r="G379" s="188"/>
      <c r="H379" s="189"/>
      <c r="I379" s="188"/>
      <c r="J379" s="188"/>
      <c r="K379" s="188"/>
      <c r="L379" s="51"/>
      <c r="M379" s="189"/>
      <c r="N379" s="189"/>
      <c r="O379" s="188"/>
      <c r="P379" s="4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177"/>
      <c r="AB379" s="5"/>
      <c r="AC379" s="10"/>
      <c r="AD379" s="5"/>
      <c r="AE379" s="5"/>
      <c r="AF379" s="5"/>
      <c r="AG379" s="5"/>
      <c r="AH379" s="34"/>
      <c r="AI379" s="63"/>
    </row>
    <row r="380" spans="1:35" s="12" customFormat="1" ht="19.5" customHeight="1">
      <c r="A380" s="5"/>
      <c r="B380" s="182"/>
      <c r="C380" s="182"/>
      <c r="D380" s="182"/>
      <c r="E380" s="182"/>
      <c r="F380" s="182"/>
      <c r="G380" s="188"/>
      <c r="H380" s="189"/>
      <c r="I380" s="188"/>
      <c r="J380" s="188"/>
      <c r="K380" s="188"/>
      <c r="L380" s="51"/>
      <c r="M380" s="189"/>
      <c r="N380" s="189"/>
      <c r="O380" s="188"/>
      <c r="P380" s="4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177"/>
      <c r="AB380" s="5"/>
      <c r="AC380" s="10"/>
      <c r="AD380" s="5"/>
      <c r="AE380" s="5"/>
      <c r="AF380" s="5"/>
      <c r="AG380" s="5"/>
      <c r="AH380" s="34"/>
      <c r="AI380" s="63"/>
    </row>
    <row r="381" spans="1:35" s="12" customFormat="1" ht="19.5" customHeight="1">
      <c r="A381" s="5"/>
      <c r="B381" s="182"/>
      <c r="C381" s="182"/>
      <c r="D381" s="182"/>
      <c r="E381" s="182"/>
      <c r="F381" s="182"/>
      <c r="G381" s="188"/>
      <c r="H381" s="189"/>
      <c r="I381" s="188"/>
      <c r="J381" s="188"/>
      <c r="K381" s="188"/>
      <c r="L381" s="51"/>
      <c r="M381" s="189"/>
      <c r="N381" s="189"/>
      <c r="O381" s="188"/>
      <c r="P381" s="4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177"/>
      <c r="AB381" s="5"/>
      <c r="AC381" s="10"/>
      <c r="AD381" s="5"/>
      <c r="AE381" s="5"/>
      <c r="AF381" s="5"/>
      <c r="AG381" s="5"/>
      <c r="AH381" s="34"/>
      <c r="AI381" s="63"/>
    </row>
    <row r="382" spans="1:35" s="12" customFormat="1" ht="19.5" customHeight="1">
      <c r="A382" s="5"/>
      <c r="B382" s="182"/>
      <c r="C382" s="182"/>
      <c r="D382" s="182"/>
      <c r="E382" s="182"/>
      <c r="F382" s="182"/>
      <c r="G382" s="188"/>
      <c r="H382" s="189"/>
      <c r="I382" s="188"/>
      <c r="J382" s="188"/>
      <c r="K382" s="188"/>
      <c r="L382" s="51"/>
      <c r="M382" s="189"/>
      <c r="N382" s="189"/>
      <c r="O382" s="188"/>
      <c r="P382" s="4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177"/>
      <c r="AB382" s="5"/>
      <c r="AC382" s="10"/>
      <c r="AD382" s="5"/>
      <c r="AE382" s="5"/>
      <c r="AF382" s="5"/>
      <c r="AG382" s="5"/>
      <c r="AH382" s="34"/>
      <c r="AI382" s="63"/>
    </row>
    <row r="383" spans="1:35" s="12" customFormat="1" ht="19.5" customHeight="1">
      <c r="A383" s="5"/>
      <c r="B383" s="182"/>
      <c r="C383" s="182"/>
      <c r="D383" s="182"/>
      <c r="E383" s="182"/>
      <c r="F383" s="182"/>
      <c r="G383" s="188"/>
      <c r="H383" s="189"/>
      <c r="I383" s="188"/>
      <c r="J383" s="188"/>
      <c r="K383" s="188"/>
      <c r="L383" s="51"/>
      <c r="M383" s="189"/>
      <c r="N383" s="189"/>
      <c r="O383" s="188"/>
      <c r="P383" s="4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177"/>
      <c r="AB383" s="5"/>
      <c r="AC383" s="10"/>
      <c r="AD383" s="5"/>
      <c r="AE383" s="5"/>
      <c r="AF383" s="5"/>
      <c r="AG383" s="5"/>
      <c r="AH383" s="34"/>
      <c r="AI383" s="63"/>
    </row>
    <row r="384" spans="1:35" s="12" customFormat="1" ht="19.5" customHeight="1">
      <c r="A384" s="5"/>
      <c r="B384" s="182"/>
      <c r="C384" s="182"/>
      <c r="D384" s="182"/>
      <c r="E384" s="182"/>
      <c r="F384" s="182"/>
      <c r="G384" s="188"/>
      <c r="H384" s="189"/>
      <c r="I384" s="188"/>
      <c r="J384" s="188"/>
      <c r="K384" s="188"/>
      <c r="L384" s="51"/>
      <c r="M384" s="189"/>
      <c r="N384" s="189"/>
      <c r="O384" s="188"/>
      <c r="P384" s="4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177"/>
      <c r="AB384" s="5"/>
      <c r="AC384" s="10"/>
      <c r="AD384" s="5"/>
      <c r="AE384" s="5"/>
      <c r="AF384" s="5"/>
      <c r="AG384" s="5"/>
      <c r="AH384" s="34"/>
      <c r="AI384" s="63"/>
    </row>
    <row r="385" spans="1:35" s="12" customFormat="1" ht="19.5" customHeight="1">
      <c r="A385" s="5"/>
      <c r="B385" s="182"/>
      <c r="C385" s="182"/>
      <c r="D385" s="182"/>
      <c r="E385" s="182"/>
      <c r="F385" s="182"/>
      <c r="G385" s="188"/>
      <c r="H385" s="189"/>
      <c r="I385" s="188"/>
      <c r="J385" s="188"/>
      <c r="K385" s="188"/>
      <c r="L385" s="51"/>
      <c r="M385" s="189"/>
      <c r="N385" s="189"/>
      <c r="O385" s="188"/>
      <c r="P385" s="4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177"/>
      <c r="AB385" s="5"/>
      <c r="AC385" s="10"/>
      <c r="AD385" s="5"/>
      <c r="AE385" s="5"/>
      <c r="AF385" s="5"/>
      <c r="AG385" s="5"/>
      <c r="AH385" s="34"/>
      <c r="AI385" s="63"/>
    </row>
    <row r="386" spans="1:35" s="12" customFormat="1" ht="19.5" customHeight="1">
      <c r="A386" s="5"/>
      <c r="B386" s="182"/>
      <c r="C386" s="182"/>
      <c r="D386" s="182"/>
      <c r="E386" s="182"/>
      <c r="F386" s="182"/>
      <c r="G386" s="188"/>
      <c r="H386" s="189"/>
      <c r="I386" s="188"/>
      <c r="J386" s="188"/>
      <c r="K386" s="188"/>
      <c r="L386" s="51"/>
      <c r="M386" s="189"/>
      <c r="N386" s="189"/>
      <c r="O386" s="188"/>
      <c r="P386" s="4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177"/>
      <c r="AB386" s="5"/>
      <c r="AC386" s="10"/>
      <c r="AD386" s="5"/>
      <c r="AE386" s="5"/>
      <c r="AF386" s="5"/>
      <c r="AG386" s="5"/>
      <c r="AH386" s="34"/>
      <c r="AI386" s="63"/>
    </row>
    <row r="387" spans="1:35" s="12" customFormat="1" ht="19.5" customHeight="1">
      <c r="A387" s="5"/>
      <c r="B387" s="182"/>
      <c r="C387" s="182"/>
      <c r="D387" s="182"/>
      <c r="E387" s="182"/>
      <c r="F387" s="182"/>
      <c r="G387" s="188"/>
      <c r="H387" s="189"/>
      <c r="I387" s="188"/>
      <c r="J387" s="188"/>
      <c r="K387" s="188"/>
      <c r="L387" s="51"/>
      <c r="M387" s="189"/>
      <c r="N387" s="189"/>
      <c r="O387" s="188"/>
      <c r="P387" s="4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177"/>
      <c r="AB387" s="5"/>
      <c r="AC387" s="10"/>
      <c r="AD387" s="5"/>
      <c r="AE387" s="5"/>
      <c r="AF387" s="5"/>
      <c r="AG387" s="5"/>
      <c r="AH387" s="34"/>
      <c r="AI387" s="63"/>
    </row>
    <row r="388" spans="1:35" s="12" customFormat="1" ht="19.5" customHeight="1">
      <c r="A388" s="5"/>
      <c r="B388" s="182"/>
      <c r="C388" s="182"/>
      <c r="D388" s="182"/>
      <c r="E388" s="182"/>
      <c r="F388" s="182"/>
      <c r="G388" s="188"/>
      <c r="H388" s="189"/>
      <c r="I388" s="188"/>
      <c r="J388" s="188"/>
      <c r="K388" s="188"/>
      <c r="L388" s="51"/>
      <c r="M388" s="189"/>
      <c r="N388" s="189"/>
      <c r="O388" s="188"/>
      <c r="P388" s="4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177"/>
      <c r="AB388" s="5"/>
      <c r="AC388" s="10"/>
      <c r="AD388" s="5"/>
      <c r="AE388" s="5"/>
      <c r="AF388" s="5"/>
      <c r="AG388" s="5"/>
      <c r="AH388" s="34"/>
      <c r="AI388" s="63"/>
    </row>
    <row r="389" spans="1:35" s="12" customFormat="1" ht="19.5" customHeight="1">
      <c r="A389" s="5"/>
      <c r="B389" s="182"/>
      <c r="C389" s="182"/>
      <c r="D389" s="182"/>
      <c r="E389" s="182"/>
      <c r="F389" s="182"/>
      <c r="G389" s="188"/>
      <c r="H389" s="189"/>
      <c r="I389" s="188"/>
      <c r="J389" s="188"/>
      <c r="K389" s="188"/>
      <c r="L389" s="51"/>
      <c r="M389" s="189"/>
      <c r="N389" s="189"/>
      <c r="O389" s="188"/>
      <c r="P389" s="4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177"/>
      <c r="AB389" s="5"/>
      <c r="AC389" s="10"/>
      <c r="AD389" s="5"/>
      <c r="AE389" s="5"/>
      <c r="AF389" s="5"/>
      <c r="AG389" s="5"/>
      <c r="AH389" s="34"/>
      <c r="AI389" s="63"/>
    </row>
    <row r="390" spans="1:35" s="12" customFormat="1" ht="19.5" customHeight="1">
      <c r="A390" s="5"/>
      <c r="B390" s="182"/>
      <c r="C390" s="182"/>
      <c r="D390" s="182"/>
      <c r="E390" s="182"/>
      <c r="F390" s="182"/>
      <c r="G390" s="188"/>
      <c r="H390" s="189"/>
      <c r="I390" s="188"/>
      <c r="J390" s="188"/>
      <c r="K390" s="188"/>
      <c r="L390" s="51"/>
      <c r="M390" s="189"/>
      <c r="N390" s="189"/>
      <c r="O390" s="188"/>
      <c r="P390" s="4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177"/>
      <c r="AB390" s="5"/>
      <c r="AC390" s="10"/>
      <c r="AD390" s="5"/>
      <c r="AE390" s="5"/>
      <c r="AF390" s="5"/>
      <c r="AG390" s="5"/>
      <c r="AH390" s="34"/>
      <c r="AI390" s="63"/>
    </row>
    <row r="391" spans="1:35" s="12" customFormat="1" ht="19.5" customHeight="1">
      <c r="A391" s="5"/>
      <c r="B391" s="182"/>
      <c r="C391" s="182"/>
      <c r="D391" s="182"/>
      <c r="E391" s="182"/>
      <c r="F391" s="182"/>
      <c r="G391" s="188"/>
      <c r="H391" s="189"/>
      <c r="I391" s="188"/>
      <c r="J391" s="188"/>
      <c r="K391" s="188"/>
      <c r="L391" s="51"/>
      <c r="M391" s="189"/>
      <c r="N391" s="189"/>
      <c r="O391" s="188"/>
      <c r="P391" s="4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177"/>
      <c r="AB391" s="5"/>
      <c r="AC391" s="10"/>
      <c r="AD391" s="5"/>
      <c r="AE391" s="5"/>
      <c r="AF391" s="5"/>
      <c r="AG391" s="5"/>
      <c r="AH391" s="34"/>
      <c r="AI391" s="63"/>
    </row>
    <row r="392" spans="1:35" s="12" customFormat="1" ht="19.5" customHeight="1">
      <c r="A392" s="5"/>
      <c r="B392" s="182"/>
      <c r="C392" s="182"/>
      <c r="D392" s="182"/>
      <c r="E392" s="182"/>
      <c r="F392" s="182"/>
      <c r="G392" s="188"/>
      <c r="H392" s="189"/>
      <c r="I392" s="188"/>
      <c r="J392" s="188"/>
      <c r="K392" s="188"/>
      <c r="L392" s="51"/>
      <c r="M392" s="189"/>
      <c r="N392" s="189"/>
      <c r="O392" s="188"/>
      <c r="P392" s="4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177"/>
      <c r="AB392" s="5"/>
      <c r="AC392" s="10"/>
      <c r="AD392" s="5"/>
      <c r="AE392" s="5"/>
      <c r="AF392" s="5"/>
      <c r="AG392" s="5"/>
      <c r="AH392" s="34"/>
      <c r="AI392" s="63"/>
    </row>
    <row r="393" spans="1:34" ht="18" customHeight="1">
      <c r="A393" s="5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34"/>
    </row>
    <row r="394" spans="1:38" ht="18" customHeight="1">
      <c r="A394" s="5"/>
      <c r="B394" s="62" t="s">
        <v>183</v>
      </c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5"/>
      <c r="S394" s="5"/>
      <c r="T394" s="5"/>
      <c r="U394" s="5"/>
      <c r="V394" s="5"/>
      <c r="W394" s="5"/>
      <c r="X394" s="5"/>
      <c r="Y394" s="5"/>
      <c r="Z394" s="5"/>
      <c r="AA394" s="177"/>
      <c r="AB394" s="5"/>
      <c r="AC394" s="10"/>
      <c r="AD394" s="5"/>
      <c r="AE394" s="5"/>
      <c r="AF394" s="5"/>
      <c r="AG394" s="5"/>
      <c r="AH394" s="5"/>
      <c r="AI394" s="5"/>
      <c r="AJ394" s="5"/>
      <c r="AK394" s="5"/>
      <c r="AL394" s="120"/>
    </row>
    <row r="395" spans="1:38" ht="18" customHeight="1">
      <c r="A395" s="5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5"/>
      <c r="S395" s="5"/>
      <c r="T395" s="5"/>
      <c r="U395" s="5"/>
      <c r="V395" s="5"/>
      <c r="W395" s="5"/>
      <c r="X395" s="5"/>
      <c r="Y395" s="5"/>
      <c r="Z395" s="5"/>
      <c r="AA395" s="177"/>
      <c r="AB395" s="5"/>
      <c r="AC395" s="10"/>
      <c r="AD395" s="5"/>
      <c r="AE395" s="5"/>
      <c r="AF395" s="5"/>
      <c r="AG395" s="5"/>
      <c r="AH395" s="5"/>
      <c r="AI395" s="5"/>
      <c r="AJ395" s="5"/>
      <c r="AK395" s="5"/>
      <c r="AL395" s="120"/>
    </row>
    <row r="396" spans="1:38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120"/>
    </row>
    <row r="397" ht="13.5">
      <c r="AL397" s="120"/>
    </row>
    <row r="398" ht="13.5">
      <c r="AL398" s="120"/>
    </row>
    <row r="399" ht="13.5">
      <c r="AL399" s="120"/>
    </row>
    <row r="400" ht="13.5">
      <c r="AL400" s="120"/>
    </row>
    <row r="401" ht="13.5">
      <c r="AL401" s="120"/>
    </row>
    <row r="402" ht="13.5">
      <c r="AL402" s="120"/>
    </row>
    <row r="403" ht="13.5">
      <c r="AL403" s="120"/>
    </row>
    <row r="404" ht="13.5">
      <c r="AL404" s="120"/>
    </row>
    <row r="405" ht="13.5">
      <c r="AL405" s="120"/>
    </row>
    <row r="406" ht="13.5">
      <c r="AL406" s="120"/>
    </row>
    <row r="407" ht="13.5">
      <c r="AL407" s="120"/>
    </row>
    <row r="408" ht="13.5">
      <c r="AL408" s="120"/>
    </row>
    <row r="409" ht="13.5">
      <c r="AL409" s="120"/>
    </row>
    <row r="410" ht="13.5">
      <c r="AL410" s="120"/>
    </row>
    <row r="411" ht="13.5">
      <c r="AL411" s="120"/>
    </row>
    <row r="412" ht="13.5">
      <c r="AL412" s="120"/>
    </row>
    <row r="413" ht="13.5">
      <c r="AL413" s="120"/>
    </row>
    <row r="414" ht="13.5">
      <c r="AL414" s="120"/>
    </row>
    <row r="415" ht="13.5">
      <c r="AL415" s="120"/>
    </row>
    <row r="416" ht="13.5">
      <c r="AL416" s="120"/>
    </row>
    <row r="417" ht="13.5">
      <c r="AL417" s="120"/>
    </row>
    <row r="418" ht="13.5">
      <c r="AL418" s="120"/>
    </row>
    <row r="419" ht="13.5">
      <c r="AL419" s="120"/>
    </row>
    <row r="420" ht="13.5">
      <c r="AL420" s="120"/>
    </row>
    <row r="421" ht="13.5">
      <c r="AL421" s="120"/>
    </row>
    <row r="422" ht="13.5">
      <c r="AL422" s="120"/>
    </row>
    <row r="423" ht="13.5">
      <c r="AL423" s="120"/>
    </row>
    <row r="424" ht="13.5">
      <c r="AL424" s="120"/>
    </row>
    <row r="425" ht="13.5">
      <c r="AL425" s="120"/>
    </row>
    <row r="426" ht="13.5">
      <c r="AL426" s="120"/>
    </row>
    <row r="427" ht="13.5">
      <c r="AL427" s="120"/>
    </row>
    <row r="428" ht="13.5">
      <c r="AL428" s="120"/>
    </row>
    <row r="429" ht="13.5">
      <c r="AL429" s="120"/>
    </row>
    <row r="430" ht="13.5">
      <c r="AL430" s="120"/>
    </row>
    <row r="431" ht="13.5">
      <c r="AL431" s="120"/>
    </row>
    <row r="432" ht="13.5">
      <c r="AL432" s="120"/>
    </row>
    <row r="433" ht="13.5">
      <c r="AL433" s="120"/>
    </row>
    <row r="434" ht="13.5">
      <c r="AL434" s="120"/>
    </row>
    <row r="435" ht="13.5">
      <c r="AL435" s="120"/>
    </row>
    <row r="436" ht="13.5">
      <c r="AL436" s="120"/>
    </row>
    <row r="437" ht="13.5">
      <c r="AL437" s="120"/>
    </row>
    <row r="438" ht="13.5">
      <c r="AL438" s="120"/>
    </row>
    <row r="439" ht="13.5">
      <c r="AL439" s="120"/>
    </row>
    <row r="440" ht="13.5">
      <c r="AL440" s="120"/>
    </row>
    <row r="441" ht="13.5">
      <c r="AL441" s="120"/>
    </row>
    <row r="442" ht="13.5">
      <c r="AL442" s="120"/>
    </row>
    <row r="443" ht="13.5">
      <c r="AL443" s="120"/>
    </row>
    <row r="444" ht="13.5">
      <c r="AL444" s="120"/>
    </row>
    <row r="445" ht="13.5">
      <c r="AL445" s="120"/>
    </row>
    <row r="446" ht="13.5">
      <c r="AL446" s="120"/>
    </row>
    <row r="447" ht="13.5">
      <c r="AL447" s="120"/>
    </row>
    <row r="448" ht="13.5">
      <c r="AL448" s="120"/>
    </row>
    <row r="449" ht="13.5">
      <c r="AL449" s="120"/>
    </row>
    <row r="450" ht="13.5">
      <c r="AL450" s="120"/>
    </row>
    <row r="451" ht="13.5">
      <c r="AL451" s="120"/>
    </row>
    <row r="452" ht="13.5">
      <c r="AL452" s="120"/>
    </row>
    <row r="453" ht="13.5">
      <c r="AL453" s="120"/>
    </row>
    <row r="454" ht="13.5">
      <c r="AL454" s="120"/>
    </row>
    <row r="455" ht="13.5">
      <c r="AL455" s="120"/>
    </row>
    <row r="456" ht="13.5">
      <c r="AL456" s="120"/>
    </row>
    <row r="457" ht="13.5">
      <c r="AL457" s="120"/>
    </row>
    <row r="458" ht="13.5">
      <c r="AL458" s="120"/>
    </row>
    <row r="459" ht="13.5">
      <c r="AL459" s="120"/>
    </row>
    <row r="460" ht="13.5">
      <c r="AL460" s="120"/>
    </row>
    <row r="461" ht="13.5">
      <c r="AL461" s="120"/>
    </row>
    <row r="462" ht="13.5">
      <c r="AL462" s="120"/>
    </row>
    <row r="463" ht="13.5">
      <c r="AL463" s="120"/>
    </row>
    <row r="464" ht="13.5">
      <c r="AL464" s="120"/>
    </row>
    <row r="465" ht="13.5">
      <c r="AL465" s="120"/>
    </row>
    <row r="466" ht="13.5">
      <c r="AL466" s="120"/>
    </row>
    <row r="467" ht="13.5">
      <c r="AL467" s="120"/>
    </row>
    <row r="468" ht="13.5">
      <c r="AL468" s="120"/>
    </row>
    <row r="469" ht="13.5">
      <c r="AL469" s="120"/>
    </row>
    <row r="470" ht="13.5">
      <c r="AL470" s="120"/>
    </row>
    <row r="471" ht="13.5">
      <c r="AL471" s="120"/>
    </row>
    <row r="472" ht="13.5">
      <c r="AL472" s="120"/>
    </row>
    <row r="473" ht="13.5">
      <c r="AL473" s="120"/>
    </row>
    <row r="474" ht="13.5">
      <c r="AL474" s="120"/>
    </row>
    <row r="475" ht="13.5">
      <c r="AL475" s="120"/>
    </row>
    <row r="476" ht="13.5">
      <c r="AL476" s="120"/>
    </row>
    <row r="477" ht="13.5">
      <c r="AL477" s="120"/>
    </row>
    <row r="478" ht="13.5">
      <c r="AL478" s="120"/>
    </row>
    <row r="479" ht="13.5">
      <c r="AL479" s="120"/>
    </row>
    <row r="480" ht="13.5">
      <c r="AL480" s="120"/>
    </row>
    <row r="481" ht="13.5">
      <c r="AL481" s="120"/>
    </row>
    <row r="482" ht="13.5">
      <c r="AL482" s="120"/>
    </row>
    <row r="483" ht="13.5">
      <c r="AL483" s="120"/>
    </row>
    <row r="484" ht="13.5">
      <c r="AL484" s="120"/>
    </row>
    <row r="485" ht="13.5">
      <c r="AL485" s="120"/>
    </row>
    <row r="486" ht="13.5">
      <c r="AL486" s="120"/>
    </row>
    <row r="487" ht="13.5">
      <c r="AL487" s="120"/>
    </row>
    <row r="488" ht="13.5">
      <c r="AL488" s="120"/>
    </row>
    <row r="489" ht="13.5">
      <c r="AL489" s="120"/>
    </row>
    <row r="490" ht="13.5">
      <c r="AL490" s="120"/>
    </row>
    <row r="491" ht="13.5">
      <c r="AL491" s="120"/>
    </row>
    <row r="492" ht="13.5">
      <c r="AL492" s="120"/>
    </row>
    <row r="493" ht="13.5">
      <c r="AL493" s="120"/>
    </row>
    <row r="494" ht="13.5">
      <c r="AL494" s="120"/>
    </row>
    <row r="495" ht="13.5">
      <c r="AL495" s="120"/>
    </row>
    <row r="496" ht="13.5">
      <c r="AL496" s="120"/>
    </row>
    <row r="497" ht="13.5">
      <c r="AL497" s="120"/>
    </row>
    <row r="498" ht="13.5">
      <c r="AL498" s="120"/>
    </row>
    <row r="499" ht="13.5">
      <c r="AL499" s="120"/>
    </row>
    <row r="500" ht="13.5">
      <c r="AL500" s="120"/>
    </row>
    <row r="501" ht="13.5">
      <c r="AL501" s="120"/>
    </row>
    <row r="502" ht="13.5">
      <c r="AL502" s="120"/>
    </row>
    <row r="503" ht="13.5">
      <c r="AL503" s="120"/>
    </row>
    <row r="504" ht="13.5">
      <c r="AL504" s="120"/>
    </row>
    <row r="505" ht="13.5">
      <c r="AL505" s="120"/>
    </row>
    <row r="506" ht="13.5">
      <c r="AL506" s="120"/>
    </row>
    <row r="507" ht="13.5">
      <c r="AL507" s="120"/>
    </row>
    <row r="508" ht="13.5">
      <c r="AL508" s="120"/>
    </row>
    <row r="509" ht="13.5">
      <c r="AL509" s="120"/>
    </row>
    <row r="510" ht="13.5">
      <c r="AL510" s="120"/>
    </row>
    <row r="511" ht="13.5">
      <c r="AL511" s="120"/>
    </row>
    <row r="512" ht="13.5">
      <c r="AL512" s="120"/>
    </row>
    <row r="513" ht="13.5">
      <c r="AL513" s="120"/>
    </row>
    <row r="514" ht="13.5">
      <c r="AL514" s="120"/>
    </row>
    <row r="515" ht="13.5">
      <c r="AL515" s="120"/>
    </row>
    <row r="516" ht="13.5">
      <c r="AL516" s="120"/>
    </row>
    <row r="517" ht="13.5">
      <c r="AL517" s="120"/>
    </row>
    <row r="518" ht="13.5">
      <c r="AL518" s="120"/>
    </row>
    <row r="519" ht="13.5">
      <c r="AL519" s="120"/>
    </row>
    <row r="520" ht="13.5">
      <c r="AL520" s="120"/>
    </row>
    <row r="521" ht="13.5">
      <c r="AL521" s="120"/>
    </row>
    <row r="522" ht="13.5">
      <c r="AL522" s="120"/>
    </row>
    <row r="523" ht="13.5">
      <c r="AL523" s="120"/>
    </row>
    <row r="524" ht="13.5">
      <c r="AL524" s="120"/>
    </row>
    <row r="525" ht="13.5">
      <c r="AL525" s="120"/>
    </row>
    <row r="526" ht="13.5">
      <c r="AL526" s="120"/>
    </row>
    <row r="527" ht="13.5">
      <c r="AL527" s="120"/>
    </row>
    <row r="528" ht="13.5">
      <c r="AL528" s="120"/>
    </row>
    <row r="529" ht="13.5">
      <c r="AL529" s="120"/>
    </row>
    <row r="530" ht="13.5">
      <c r="AL530" s="120"/>
    </row>
    <row r="531" ht="13.5">
      <c r="AL531" s="120"/>
    </row>
    <row r="532" ht="13.5">
      <c r="AL532" s="120"/>
    </row>
    <row r="533" ht="13.5">
      <c r="AL533" s="120"/>
    </row>
    <row r="534" ht="13.5">
      <c r="AL534" s="120"/>
    </row>
    <row r="535" ht="13.5">
      <c r="AL535" s="120"/>
    </row>
    <row r="536" ht="13.5">
      <c r="AL536" s="120"/>
    </row>
    <row r="537" ht="13.5">
      <c r="AL537" s="120"/>
    </row>
    <row r="538" ht="13.5">
      <c r="AL538" s="120"/>
    </row>
    <row r="539" ht="13.5">
      <c r="AL539" s="120"/>
    </row>
    <row r="540" ht="13.5">
      <c r="AL540" s="120"/>
    </row>
    <row r="541" ht="13.5">
      <c r="AL541" s="120"/>
    </row>
    <row r="542" ht="13.5">
      <c r="AL542" s="120"/>
    </row>
    <row r="543" ht="13.5">
      <c r="AL543" s="120"/>
    </row>
    <row r="544" ht="13.5">
      <c r="AL544" s="120"/>
    </row>
    <row r="545" ht="13.5">
      <c r="AL545" s="120"/>
    </row>
    <row r="546" ht="13.5">
      <c r="AL546" s="120"/>
    </row>
    <row r="547" ht="13.5">
      <c r="AL547" s="120"/>
    </row>
    <row r="548" ht="13.5">
      <c r="AL548" s="120"/>
    </row>
    <row r="549" ht="13.5">
      <c r="AL549" s="120"/>
    </row>
    <row r="550" ht="13.5">
      <c r="AL550" s="120"/>
    </row>
    <row r="551" ht="13.5">
      <c r="AL551" s="120"/>
    </row>
    <row r="552" ht="13.5">
      <c r="AL552" s="120"/>
    </row>
    <row r="553" ht="13.5">
      <c r="AL553" s="120"/>
    </row>
    <row r="554" ht="13.5">
      <c r="AL554" s="120"/>
    </row>
    <row r="555" ht="13.5">
      <c r="AL555" s="120"/>
    </row>
    <row r="556" ht="13.5">
      <c r="AL556" s="120"/>
    </row>
    <row r="557" ht="13.5">
      <c r="AL557" s="120"/>
    </row>
    <row r="558" ht="13.5">
      <c r="AL558" s="120"/>
    </row>
    <row r="559" ht="13.5">
      <c r="AL559" s="120"/>
    </row>
    <row r="560" ht="13.5">
      <c r="AL560" s="120"/>
    </row>
    <row r="561" ht="13.5">
      <c r="AL561" s="120"/>
    </row>
    <row r="562" ht="13.5">
      <c r="AL562" s="120"/>
    </row>
    <row r="563" ht="13.5">
      <c r="AL563" s="120"/>
    </row>
    <row r="564" ht="13.5">
      <c r="AL564" s="120"/>
    </row>
    <row r="565" ht="13.5">
      <c r="AL565" s="120"/>
    </row>
    <row r="566" ht="13.5">
      <c r="AL566" s="120"/>
    </row>
    <row r="567" ht="13.5">
      <c r="AL567" s="120"/>
    </row>
    <row r="568" ht="13.5">
      <c r="AL568" s="120"/>
    </row>
    <row r="569" ht="13.5">
      <c r="AL569" s="120"/>
    </row>
    <row r="570" ht="13.5">
      <c r="AL570" s="120"/>
    </row>
    <row r="571" ht="13.5">
      <c r="AL571" s="120"/>
    </row>
    <row r="572" ht="13.5">
      <c r="AL572" s="120"/>
    </row>
    <row r="573" ht="13.5">
      <c r="AL573" s="120"/>
    </row>
    <row r="574" ht="13.5">
      <c r="AL574" s="120"/>
    </row>
    <row r="575" ht="13.5">
      <c r="AL575" s="120"/>
    </row>
    <row r="576" ht="13.5">
      <c r="AL576" s="120"/>
    </row>
    <row r="577" ht="13.5">
      <c r="AL577" s="120"/>
    </row>
    <row r="578" ht="13.5">
      <c r="AL578" s="120"/>
    </row>
    <row r="579" ht="13.5">
      <c r="AL579" s="120"/>
    </row>
    <row r="580" ht="13.5">
      <c r="AL580" s="120"/>
    </row>
    <row r="581" ht="13.5">
      <c r="AL581" s="120"/>
    </row>
    <row r="582" ht="13.5">
      <c r="AL582" s="120"/>
    </row>
    <row r="583" ht="13.5">
      <c r="AL583" s="120"/>
    </row>
    <row r="584" ht="13.5">
      <c r="AL584" s="120"/>
    </row>
    <row r="585" ht="13.5">
      <c r="AL585" s="120"/>
    </row>
    <row r="586" ht="13.5">
      <c r="AL586" s="120"/>
    </row>
    <row r="587" ht="13.5">
      <c r="AL587" s="120"/>
    </row>
    <row r="588" ht="13.5">
      <c r="AL588" s="120"/>
    </row>
    <row r="589" ht="13.5">
      <c r="AL589" s="120"/>
    </row>
    <row r="590" ht="13.5">
      <c r="AL590" s="120"/>
    </row>
    <row r="591" ht="13.5">
      <c r="AL591" s="120"/>
    </row>
    <row r="592" ht="13.5">
      <c r="AL592" s="120"/>
    </row>
    <row r="593" ht="13.5">
      <c r="AL593" s="120"/>
    </row>
    <row r="594" ht="13.5">
      <c r="AL594" s="120"/>
    </row>
    <row r="595" ht="13.5">
      <c r="AL595" s="120"/>
    </row>
    <row r="596" ht="13.5">
      <c r="AL596" s="120"/>
    </row>
    <row r="597" ht="13.5">
      <c r="AL597" s="120"/>
    </row>
    <row r="598" ht="13.5">
      <c r="AL598" s="120"/>
    </row>
    <row r="599" ht="13.5">
      <c r="AL599" s="120"/>
    </row>
    <row r="600" ht="13.5">
      <c r="AL600" s="120"/>
    </row>
    <row r="601" ht="13.5">
      <c r="AL601" s="120"/>
    </row>
    <row r="602" ht="13.5">
      <c r="AL602" s="120"/>
    </row>
    <row r="603" ht="13.5">
      <c r="AL603" s="120"/>
    </row>
    <row r="604" ht="13.5">
      <c r="AL604" s="120"/>
    </row>
    <row r="605" ht="13.5">
      <c r="AL605" s="120"/>
    </row>
    <row r="606" ht="13.5">
      <c r="AL606" s="120"/>
    </row>
    <row r="607" ht="13.5">
      <c r="AL607" s="120"/>
    </row>
    <row r="608" ht="13.5">
      <c r="AL608" s="120"/>
    </row>
    <row r="609" ht="13.5">
      <c r="AL609" s="120"/>
    </row>
    <row r="610" ht="13.5">
      <c r="AL610" s="120"/>
    </row>
    <row r="611" ht="13.5">
      <c r="AL611" s="120"/>
    </row>
    <row r="612" ht="13.5">
      <c r="AL612" s="120"/>
    </row>
    <row r="613" ht="13.5">
      <c r="AL613" s="120"/>
    </row>
    <row r="614" ht="13.5">
      <c r="AL614" s="120"/>
    </row>
    <row r="615" ht="13.5">
      <c r="AL615" s="120"/>
    </row>
    <row r="616" ht="13.5">
      <c r="AL616" s="120"/>
    </row>
    <row r="617" ht="13.5">
      <c r="AL617" s="120"/>
    </row>
    <row r="618" ht="13.5">
      <c r="AL618" s="120"/>
    </row>
    <row r="619" ht="13.5">
      <c r="AL619" s="120"/>
    </row>
    <row r="620" ht="13.5">
      <c r="AL620" s="120"/>
    </row>
    <row r="621" ht="13.5">
      <c r="AL621" s="120"/>
    </row>
    <row r="622" ht="13.5">
      <c r="AL622" s="120"/>
    </row>
    <row r="623" ht="13.5">
      <c r="AL623" s="120"/>
    </row>
    <row r="624" ht="13.5">
      <c r="AL624" s="120"/>
    </row>
    <row r="625" ht="13.5">
      <c r="AL625" s="120"/>
    </row>
    <row r="626" ht="13.5">
      <c r="AL626" s="120"/>
    </row>
    <row r="627" ht="13.5">
      <c r="AL627" s="120"/>
    </row>
    <row r="628" ht="13.5">
      <c r="AL628" s="120"/>
    </row>
    <row r="629" ht="13.5">
      <c r="AL629" s="120"/>
    </row>
    <row r="630" ht="13.5">
      <c r="AL630" s="120"/>
    </row>
    <row r="631" ht="13.5">
      <c r="AL631" s="120"/>
    </row>
    <row r="632" ht="13.5">
      <c r="AL632" s="120"/>
    </row>
    <row r="633" ht="13.5">
      <c r="AL633" s="120"/>
    </row>
    <row r="634" ht="13.5">
      <c r="AL634" s="120"/>
    </row>
    <row r="635" ht="13.5">
      <c r="AL635" s="120"/>
    </row>
    <row r="636" ht="13.5">
      <c r="AL636" s="120"/>
    </row>
    <row r="637" ht="13.5">
      <c r="AL637" s="120"/>
    </row>
    <row r="638" ht="13.5">
      <c r="AL638" s="120"/>
    </row>
    <row r="639" ht="13.5">
      <c r="AL639" s="120"/>
    </row>
    <row r="640" ht="13.5">
      <c r="AL640" s="120"/>
    </row>
    <row r="641" ht="13.5">
      <c r="AL641" s="120"/>
    </row>
    <row r="642" ht="13.5">
      <c r="AL642" s="120"/>
    </row>
    <row r="643" ht="13.5">
      <c r="AL643" s="120"/>
    </row>
    <row r="644" ht="13.5">
      <c r="AL644" s="120"/>
    </row>
    <row r="645" ht="13.5">
      <c r="AL645" s="120"/>
    </row>
    <row r="646" ht="13.5">
      <c r="AL646" s="120"/>
    </row>
    <row r="647" ht="13.5">
      <c r="AL647" s="120"/>
    </row>
    <row r="648" ht="13.5">
      <c r="AL648" s="120"/>
    </row>
    <row r="649" ht="13.5">
      <c r="AL649" s="120"/>
    </row>
    <row r="650" ht="13.5">
      <c r="AL650" s="120"/>
    </row>
    <row r="651" ht="13.5">
      <c r="AL651" s="120"/>
    </row>
    <row r="652" ht="13.5">
      <c r="AL652" s="120"/>
    </row>
    <row r="653" ht="13.5">
      <c r="AL653" s="120"/>
    </row>
    <row r="654" ht="13.5">
      <c r="AL654" s="120"/>
    </row>
    <row r="655" ht="13.5">
      <c r="AL655" s="120"/>
    </row>
    <row r="656" ht="13.5">
      <c r="AL656" s="120"/>
    </row>
    <row r="657" ht="13.5">
      <c r="AL657" s="120"/>
    </row>
    <row r="658" ht="13.5">
      <c r="AL658" s="120"/>
    </row>
    <row r="659" ht="13.5">
      <c r="AL659" s="120"/>
    </row>
    <row r="660" ht="13.5">
      <c r="AL660" s="120"/>
    </row>
    <row r="661" ht="13.5">
      <c r="AL661" s="120"/>
    </row>
    <row r="662" ht="13.5">
      <c r="AL662" s="120"/>
    </row>
    <row r="663" ht="13.5">
      <c r="AL663" s="120"/>
    </row>
    <row r="664" ht="13.5">
      <c r="AL664" s="120"/>
    </row>
    <row r="665" ht="13.5">
      <c r="AL665" s="120"/>
    </row>
    <row r="666" ht="13.5">
      <c r="AL666" s="120"/>
    </row>
    <row r="667" ht="13.5">
      <c r="AL667" s="120"/>
    </row>
    <row r="668" ht="13.5">
      <c r="AL668" s="120"/>
    </row>
    <row r="669" ht="13.5">
      <c r="AL669" s="120"/>
    </row>
    <row r="670" ht="13.5">
      <c r="AL670" s="120"/>
    </row>
    <row r="671" ht="13.5">
      <c r="AL671" s="120"/>
    </row>
    <row r="672" ht="13.5">
      <c r="AL672" s="120"/>
    </row>
    <row r="673" ht="13.5">
      <c r="AL673" s="120"/>
    </row>
    <row r="674" ht="13.5">
      <c r="AL674" s="120"/>
    </row>
    <row r="675" ht="13.5">
      <c r="AL675" s="120"/>
    </row>
    <row r="676" ht="13.5">
      <c r="AL676" s="120"/>
    </row>
    <row r="677" ht="13.5">
      <c r="AL677" s="120"/>
    </row>
    <row r="678" ht="13.5">
      <c r="AL678" s="120"/>
    </row>
    <row r="679" ht="13.5">
      <c r="AL679" s="120"/>
    </row>
    <row r="680" ht="13.5">
      <c r="AL680" s="120"/>
    </row>
    <row r="681" ht="13.5">
      <c r="AL681" s="120"/>
    </row>
    <row r="682" ht="13.5">
      <c r="AL682" s="120"/>
    </row>
    <row r="683" ht="13.5">
      <c r="AL683" s="120"/>
    </row>
    <row r="684" ht="13.5">
      <c r="AL684" s="120"/>
    </row>
    <row r="685" ht="13.5">
      <c r="AL685" s="120"/>
    </row>
    <row r="686" ht="13.5">
      <c r="AL686" s="120"/>
    </row>
    <row r="687" ht="13.5">
      <c r="AL687" s="120"/>
    </row>
    <row r="688" ht="13.5">
      <c r="AL688" s="120"/>
    </row>
  </sheetData>
  <sheetProtection/>
  <printOptions/>
  <pageMargins left="0.75" right="0.75" top="1" bottom="0.5" header="0.5" footer="0.25"/>
  <pageSetup fitToHeight="9" fitToWidth="2" horizontalDpi="600" verticalDpi="600" orientation="landscape" pageOrder="overThenDown" scale="45" r:id="rId1"/>
  <rowBreaks count="6" manualBreakCount="6">
    <brk id="57" max="34" man="1"/>
    <brk id="106" max="34" man="1"/>
    <brk id="162" max="34" man="1"/>
    <brk id="219" max="34" man="1"/>
    <brk id="268" max="34" man="1"/>
    <brk id="343" max="34" man="1"/>
  </rowBreaks>
  <colBreaks count="1" manualBreakCount="1">
    <brk id="20" max="3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Chesapeake Utilities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Bates</dc:creator>
  <cp:keywords/>
  <dc:description/>
  <cp:lastModifiedBy>Floyd, Kandi M.</cp:lastModifiedBy>
  <cp:lastPrinted>2009-05-27T14:37:42Z</cp:lastPrinted>
  <dcterms:created xsi:type="dcterms:W3CDTF">1999-12-29T18:31:26Z</dcterms:created>
  <dcterms:modified xsi:type="dcterms:W3CDTF">2018-04-25T15:20:59Z</dcterms:modified>
  <cp:category/>
  <cp:version/>
  <cp:contentType/>
  <cp:contentStatus/>
</cp:coreProperties>
</file>