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34" yWindow="120" windowWidth="15163" windowHeight="8734" activeTab="0"/>
  </bookViews>
  <sheets>
    <sheet name="SCHH-2" sheetId="1" r:id="rId1"/>
    <sheet name="H-2 Reclass-Workpaper" sheetId="2" r:id="rId2"/>
    <sheet name="Print Macros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Regression_Int" localSheetId="1" hidden="1">1</definedName>
    <definedName name="_Regression_Int" localSheetId="0" hidden="1">1</definedName>
    <definedName name="Page1" localSheetId="1">'H-2 Reclass-Workpaper'!#REF!</definedName>
    <definedName name="Page1">'SCHH-2'!$A$1:$U$56</definedName>
    <definedName name="Page1a">'[1]SCHH-2'!$A$1:$AA$53</definedName>
    <definedName name="_xlnm.Print_Area" localSheetId="1">'H-2 Reclass-Workpaper'!$A$1:$AO$60</definedName>
    <definedName name="_xlnm.Print_Area" localSheetId="0">'SCHH-2'!$A$1:$AI$377</definedName>
    <definedName name="Print_Area_MI" localSheetId="1">'H-2 Reclass-Workpaper'!#REF!</definedName>
    <definedName name="Print_Area_MI" localSheetId="0">'SCHH-2'!$B$334:$AQ$392</definedName>
    <definedName name="_xlnm.Print_Titles" localSheetId="0">'SCHH-2'!$A:$D</definedName>
  </definedNames>
  <calcPr fullCalcOnLoad="1"/>
</workbook>
</file>

<file path=xl/sharedStrings.xml><?xml version="1.0" encoding="utf-8"?>
<sst xmlns="http://schemas.openxmlformats.org/spreadsheetml/2006/main" count="656" uniqueCount="227">
  <si>
    <t>FLORIDA PUBLIC SERVICE COMMISSION</t>
  </si>
  <si>
    <t>TYPE OF DATA SHOWN:</t>
  </si>
  <si>
    <t>SUMMARY:</t>
  </si>
  <si>
    <t>TOTAL</t>
  </si>
  <si>
    <t>CUSTOMER</t>
  </si>
  <si>
    <t>CAPACITY</t>
  </si>
  <si>
    <t>COMMODITY</t>
  </si>
  <si>
    <t>REVENUE</t>
  </si>
  <si>
    <t>ATTRITION</t>
  </si>
  <si>
    <t>O&amp;M</t>
  </si>
  <si>
    <t>AMORTIZATION OF OTHER GAS PLANT</t>
  </si>
  <si>
    <t>AMORTIZATION OF LIMITED TERM INVESTMENT</t>
  </si>
  <si>
    <t>AMORTIZATION OF ACQUISITION ADJUSTMENT</t>
  </si>
  <si>
    <t>AMORTIZATION OF CONVERSION COSTS</t>
  </si>
  <si>
    <t>TAXES OTHER THAN INCOME TAXES</t>
  </si>
  <si>
    <t>RETURN</t>
  </si>
  <si>
    <t>INCOME TAXES</t>
  </si>
  <si>
    <t>REVENUE CREDITED TO COST OF SERVICE</t>
  </si>
  <si>
    <t>TOTAL COST OF SERVICE</t>
  </si>
  <si>
    <t>RATE BASE</t>
  </si>
  <si>
    <t>KNOWN DIRECT &amp; SPECIAL ASSIGNMENTS:</t>
  </si>
  <si>
    <t xml:space="preserve">   RATE BASE ITEMS(PLANT-ACC.DEP):</t>
  </si>
  <si>
    <t>381-382 METERS</t>
  </si>
  <si>
    <t>383-384 HOUSE REGULATORS</t>
  </si>
  <si>
    <t>385 INDUSTRIAL MEAS.&amp; REG.EQ.</t>
  </si>
  <si>
    <t>376 MAINS</t>
  </si>
  <si>
    <t>380 SERVICES</t>
  </si>
  <si>
    <t>378 MEAS.&amp; REG.STA.EQ.-GEN.</t>
  </si>
  <si>
    <t>876 MEAS.&amp; REG.STA.EQ.IND.</t>
  </si>
  <si>
    <t>878 METER &amp; HOUSE REG.</t>
  </si>
  <si>
    <t>890 MAINT.OF MEAS.&amp; REG.STA.EQ.-IND.</t>
  </si>
  <si>
    <t>893 MAINT.OF METERS AND HOUSE REG.</t>
  </si>
  <si>
    <t>874 MAINS AND SERVICES</t>
  </si>
  <si>
    <t>887 MAINT. OF MAINS</t>
  </si>
  <si>
    <t>CUSTOMER COSTS</t>
  </si>
  <si>
    <t xml:space="preserve">   Weighting</t>
  </si>
  <si>
    <t xml:space="preserve">   Weighted No. of Customers</t>
  </si>
  <si>
    <t xml:space="preserve">   Allocation Factors</t>
  </si>
  <si>
    <t>CAPACITY COSTS</t>
  </si>
  <si>
    <t>COMMODITY COSTS</t>
  </si>
  <si>
    <t>REVENUE-RELATED COSTS</t>
  </si>
  <si>
    <t xml:space="preserve">   Customer</t>
  </si>
  <si>
    <t xml:space="preserve">     Meters</t>
  </si>
  <si>
    <t xml:space="preserve">     House Regulators</t>
  </si>
  <si>
    <t xml:space="preserve">     Services</t>
  </si>
  <si>
    <t xml:space="preserve">     All Other</t>
  </si>
  <si>
    <t xml:space="preserve">     Total</t>
  </si>
  <si>
    <t xml:space="preserve">   Capacity</t>
  </si>
  <si>
    <t xml:space="preserve">     Industrial Meas.&amp; Reg. Sta. Eq.</t>
  </si>
  <si>
    <t xml:space="preserve">     Meas.&amp;Reg.Sta.Eq.-Gen.</t>
  </si>
  <si>
    <t xml:space="preserve">   Commodity</t>
  </si>
  <si>
    <t xml:space="preserve">     Account #</t>
  </si>
  <si>
    <t>RECAP SCHEDULES;  H-2 p.1</t>
  </si>
  <si>
    <t>OPERATIONS AND MAINTENANCE EXPENSE:</t>
  </si>
  <si>
    <t xml:space="preserve">     878 Meters and House Regulators</t>
  </si>
  <si>
    <t xml:space="preserve">     893 Maint. of Meters &amp; House Reg.</t>
  </si>
  <si>
    <t xml:space="preserve">     874 Mains &amp; Services</t>
  </si>
  <si>
    <t xml:space="preserve">     892 Maint. of Services</t>
  </si>
  <si>
    <t xml:space="preserve">         All Other</t>
  </si>
  <si>
    <t xml:space="preserve">     876 Measuring &amp; Reg. Sta. Eq.- I</t>
  </si>
  <si>
    <t xml:space="preserve">     890 Maint. of Meas.&amp; Reg.Sta.Eq.-I</t>
  </si>
  <si>
    <t xml:space="preserve">     874 Mains and Services</t>
  </si>
  <si>
    <t xml:space="preserve">     887 Maint. of Mains</t>
  </si>
  <si>
    <t xml:space="preserve">   TOTAL O&amp;M</t>
  </si>
  <si>
    <t>DEPRECIATION EXPENSE:</t>
  </si>
  <si>
    <t xml:space="preserve">   Total</t>
  </si>
  <si>
    <t>AMORT OF LIMITED TERM INVEST.</t>
  </si>
  <si>
    <t>AMORT. OF ACQUISITION ADJ.:</t>
  </si>
  <si>
    <t>AMORT. OF CONVERSION COSTS:</t>
  </si>
  <si>
    <t>RECAP SCHEDULES:  H-2 p.1</t>
  </si>
  <si>
    <t>TAXES OTHER THAN INCOME TAXES:</t>
  </si>
  <si>
    <t xml:space="preserve">     Subtotal</t>
  </si>
  <si>
    <t xml:space="preserve">   Revenue</t>
  </si>
  <si>
    <t>RETURN (NOI)</t>
  </si>
  <si>
    <t>REVENUE CREDITED TO COS:</t>
  </si>
  <si>
    <t>TOTAL COST OF SERVICE:</t>
  </si>
  <si>
    <t>SUMMARY</t>
  </si>
  <si>
    <t>RB</t>
  </si>
  <si>
    <t>DEPRECIATION</t>
  </si>
  <si>
    <t>AMORTIZATION EXPENSES</t>
  </si>
  <si>
    <t>TAXES OTHER THAN INCOME - OTHER</t>
  </si>
  <si>
    <t>TAXES OTHER THAN INCOME - REV. RELATED</t>
  </si>
  <si>
    <t>INCOME TAXES TOTAL</t>
  </si>
  <si>
    <t>TOTAL COST - CUSTOMER</t>
  </si>
  <si>
    <t>TOTAL COST - CAPACITY</t>
  </si>
  <si>
    <t>TOTAL COST - COMMODITY</t>
  </si>
  <si>
    <t>TOTAL COST - REVENUE</t>
  </si>
  <si>
    <t>NO. OF CUSTOMERS</t>
  </si>
  <si>
    <t>ANNUAL SALES</t>
  </si>
  <si>
    <t>COST OF SERVICE STUDY</t>
  </si>
  <si>
    <t xml:space="preserve">  O &amp; M ITEMS</t>
  </si>
  <si>
    <t xml:space="preserve">     General Plant</t>
  </si>
  <si>
    <t>LINE NO.</t>
  </si>
  <si>
    <t>COMPANY:  PEOPLES GAS SYSTEM</t>
  </si>
  <si>
    <t>COMMERCIAL</t>
  </si>
  <si>
    <t>(50,000 - 249,999)</t>
  </si>
  <si>
    <t>(250,000 - 499,999)</t>
  </si>
  <si>
    <t>(500,000 - 999,999)</t>
  </si>
  <si>
    <t>(1,000,000 - 3,999,999)</t>
  </si>
  <si>
    <t>(4,000,000 - 50,000,000)</t>
  </si>
  <si>
    <t>( &gt; 50,000,000)</t>
  </si>
  <si>
    <t>RESIDENTIAL</t>
  </si>
  <si>
    <t>STREET</t>
  </si>
  <si>
    <t>SMALL GENERAL</t>
  </si>
  <si>
    <t>GENERAL</t>
  </si>
  <si>
    <t>INTERRUPTIBLE</t>
  </si>
  <si>
    <t>VEHICLE</t>
  </si>
  <si>
    <t>WHOLESALE</t>
  </si>
  <si>
    <t>SPECIAL</t>
  </si>
  <si>
    <t>(1)</t>
  </si>
  <si>
    <t>LIGHTING</t>
  </si>
  <si>
    <t>SERVICE</t>
  </si>
  <si>
    <t>SERVICE 1</t>
  </si>
  <si>
    <t>SERVICE 2</t>
  </si>
  <si>
    <t>SERVICE 3</t>
  </si>
  <si>
    <t>SERVICE 4</t>
  </si>
  <si>
    <t>SERVICE 5</t>
  </si>
  <si>
    <t>LARGE VOLUME</t>
  </si>
  <si>
    <t>GAS SALES</t>
  </si>
  <si>
    <t>CONTRACTS</t>
  </si>
  <si>
    <t>INTERRUPTIBLE SERVICE</t>
  </si>
  <si>
    <t xml:space="preserve"> COST OF SERVICE</t>
  </si>
  <si>
    <t>EXPLANATION:  FULLY ALLOCATED EMBEDDED COST</t>
  </si>
  <si>
    <t>COST OF SERVICE</t>
  </si>
  <si>
    <t>DEVELOPMENT OF ALLOCATION FACTORS</t>
  </si>
  <si>
    <t>ALLOCATION OF RATE BASE TO CUSTOMER CLASSES</t>
  </si>
  <si>
    <t>Peak &amp; Avg. Month Sales Vol.(therms)</t>
  </si>
  <si>
    <t>Customer Related Rate Base</t>
  </si>
  <si>
    <t>Capacity Related Rate Base</t>
  </si>
  <si>
    <t>Commodity Related Rate Base</t>
  </si>
  <si>
    <t>892 MAINT. OF SERVICES</t>
  </si>
  <si>
    <t>AMORTIZATION OF ENVIRONMENTAL</t>
  </si>
  <si>
    <t>AMORT. OF ENVIRONMENTAL</t>
  </si>
  <si>
    <t xml:space="preserve">RETURN </t>
  </si>
  <si>
    <t>SUPPORTING SCHEDULES:  H-3 p.5</t>
  </si>
  <si>
    <t>AMORT. OF LEASEHOLD / OTHER</t>
  </si>
  <si>
    <t>CONDOMINIUM</t>
  </si>
  <si>
    <t>WITNESS:  D. YARDLEY</t>
  </si>
  <si>
    <t xml:space="preserve">DOCKET NO.:  080318-GU   </t>
  </si>
  <si>
    <t>(2,000 - 9,999)</t>
  </si>
  <si>
    <t>(10,000 - 49,999)</t>
  </si>
  <si>
    <t>SMALL</t>
  </si>
  <si>
    <t>GENERATOR</t>
  </si>
  <si>
    <t>(1 - 1,999)</t>
  </si>
  <si>
    <t>RECLASS WORKPAPER</t>
  </si>
  <si>
    <t>IMPACT ON ALLOCATION FACTORS</t>
  </si>
  <si>
    <t>No. of Customers</t>
  </si>
  <si>
    <t xml:space="preserve">  CURRENT Total</t>
  </si>
  <si>
    <t>Residential Reclass</t>
  </si>
  <si>
    <t>Condo Sales Reclass</t>
  </si>
  <si>
    <t>Condo Transport Reclass</t>
  </si>
  <si>
    <t>GS-1 Sales Reclass</t>
  </si>
  <si>
    <t>GS-1 Transport Reclass</t>
  </si>
  <si>
    <t xml:space="preserve">    Total Reclass</t>
  </si>
  <si>
    <t xml:space="preserve">  NEW Total</t>
  </si>
  <si>
    <t>Annual Sales</t>
  </si>
  <si>
    <t>Revenues</t>
  </si>
  <si>
    <t>Cust. Charge</t>
  </si>
  <si>
    <t>Delivery Charge</t>
  </si>
  <si>
    <t>Peak and Average</t>
  </si>
  <si>
    <t>Small Customer Peak &amp; Avg. Month Sales Vol.(therms)</t>
  </si>
  <si>
    <t xml:space="preserve">   Allocation Factor</t>
  </si>
  <si>
    <t>Industrial Measuring and Regulating</t>
  </si>
  <si>
    <t xml:space="preserve">     Mains - Large Diameter</t>
  </si>
  <si>
    <t xml:space="preserve">     Mains - Small Diameter</t>
  </si>
  <si>
    <t xml:space="preserve">     Mains - Direct Assignment</t>
  </si>
  <si>
    <t>Res.</t>
  </si>
  <si>
    <t>Comm.</t>
  </si>
  <si>
    <t>Custs</t>
  </si>
  <si>
    <t>&gt;= GS5</t>
  </si>
  <si>
    <t>Off-System Sales</t>
  </si>
  <si>
    <t>Res Customers</t>
  </si>
  <si>
    <t>Comm Customers</t>
  </si>
  <si>
    <t>&gt;=GS5 Customers</t>
  </si>
  <si>
    <t xml:space="preserve">     Meters - Direct</t>
  </si>
  <si>
    <t xml:space="preserve">     Services - Direct</t>
  </si>
  <si>
    <t xml:space="preserve">  DIRECT CONNECT ADJUSTMENT</t>
  </si>
  <si>
    <t xml:space="preserve">  Peak and Average w/o Direct Connect</t>
  </si>
  <si>
    <t>Peak &amp; Avg. Month Sales Vol. - No Direct Connect</t>
  </si>
  <si>
    <t xml:space="preserve">     904 Uncollectible Accounts</t>
  </si>
  <si>
    <t xml:space="preserve">     911-916 Sales Expense</t>
  </si>
  <si>
    <t>904 UNCOLLECTIBLE ACCOUNTS</t>
  </si>
  <si>
    <t>911-916 SALES EXPENSE</t>
  </si>
  <si>
    <t>Sales Expense</t>
  </si>
  <si>
    <t xml:space="preserve">     876, 890 Ind Meas and Regulating</t>
  </si>
  <si>
    <t>Small and Medium Customer Peak &amp; Avg. Month Sales Vol.(therms)</t>
  </si>
  <si>
    <t xml:space="preserve">     Mains - Medium Diameter</t>
  </si>
  <si>
    <t>AT EXISTING RATES</t>
  </si>
  <si>
    <t>AT PROPOSED RATES</t>
  </si>
  <si>
    <t>PROJECTED TEST YEAR: 12/31/09</t>
  </si>
  <si>
    <t>PAGE 1 OF 11</t>
  </si>
  <si>
    <t>EXPLANATION:  FULLY ALLOCATED</t>
  </si>
  <si>
    <t>EMBEDDED COST OF SERVICE STUDY</t>
  </si>
  <si>
    <t>GAIN ON SALE OF PROPERTY</t>
  </si>
  <si>
    <t>(500,000 +)</t>
  </si>
  <si>
    <t>SMALL INTERRUPTIBLE</t>
  </si>
  <si>
    <t>NATURAL GAS</t>
  </si>
  <si>
    <t>VEHICLE SALES</t>
  </si>
  <si>
    <t>PAGE 2 OF 11</t>
  </si>
  <si>
    <t>PAGE 3 OF 11</t>
  </si>
  <si>
    <t>PAGE 4 OF 11</t>
  </si>
  <si>
    <t>PAGE 5 OF 11</t>
  </si>
  <si>
    <t>PAGE 6 OF 11</t>
  </si>
  <si>
    <t>PAGE 7 OF 11</t>
  </si>
  <si>
    <t>PAGE 8 OF 11</t>
  </si>
  <si>
    <t>PAGE 9 OF 11</t>
  </si>
  <si>
    <t>PAGE 10 OF 11</t>
  </si>
  <si>
    <t>PAGE 11 OF 11</t>
  </si>
  <si>
    <t>ALLOCATION OF EXPENSES TO CUSTOMER CLASSES</t>
  </si>
  <si>
    <t>ALLOCATION OF COST OF SERVICE TO CUSTOMER CLASSES</t>
  </si>
  <si>
    <t>ALLOCATED COST OF SERVICE SUMMARY</t>
  </si>
  <si>
    <t>Existing Revenues (After Reclassification)</t>
  </si>
  <si>
    <t xml:space="preserve">   Annual Therms (After Reclassification)</t>
  </si>
  <si>
    <t>January Peak Therms</t>
  </si>
  <si>
    <t>PEAK MONTH - JANUARY SALES</t>
  </si>
  <si>
    <t xml:space="preserve">   Weighted No. of Customers - (No Direct Assignment)</t>
  </si>
  <si>
    <t xml:space="preserve">   Revenue Assessments</t>
  </si>
  <si>
    <t>(50,000,000 +)</t>
  </si>
  <si>
    <t>Rate Base</t>
  </si>
  <si>
    <t>RECAP SCHEDULES:  H-2 p.2-7</t>
  </si>
  <si>
    <t>SUPPORTING SCHEDULES:  E-4, E-7</t>
  </si>
  <si>
    <t>RECAP SCHEDULES:  H-2 p.4-9</t>
  </si>
  <si>
    <t>SUPPORTING SCHEDULES:  H-2 p.2-3</t>
  </si>
  <si>
    <t>SUPPORTING SCHEDULES:  H-2 p.2-9</t>
  </si>
  <si>
    <t>RECAP SCHEDULES:  H-1 p.1</t>
  </si>
  <si>
    <t>SCHEDULE H-2 (Revised - 5/06/09)</t>
  </si>
  <si>
    <t>PROJECTED TEST YEAR:  12/31/09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</si>
</sst>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0000_)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_(* #,##0.000_);_(* \(#,##0.000\);_(* &quot;-&quot;??_);_(@_)"/>
    <numFmt numFmtId="171" formatCode="#,##0.000000000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_(* #,##0.000000_);_(* \(#,##0.000000\);_(* &quot;-&quot;??????_);_(@_)"/>
    <numFmt numFmtId="177" formatCode="#,##0.0"/>
    <numFmt numFmtId="178" formatCode="#,##0.000"/>
    <numFmt numFmtId="179" formatCode="#,##0.0000"/>
    <numFmt numFmtId="180" formatCode="#,##0.00000"/>
    <numFmt numFmtId="181" formatCode="0.0000%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_(* #,##0.0_);_(* \(#,##0.0\);_(* &quot;-&quot;?_);_(@_)"/>
    <numFmt numFmtId="190" formatCode="0.0_)"/>
    <numFmt numFmtId="191" formatCode="0.00_)"/>
  </numFmts>
  <fonts count="39">
    <font>
      <sz val="12"/>
      <name val="Helv"/>
      <family val="0"/>
    </font>
    <font>
      <sz val="10"/>
      <name val="Arial"/>
      <family val="0"/>
    </font>
    <font>
      <sz val="12"/>
      <color indexed="10"/>
      <name val="Helv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u val="single"/>
      <sz val="12"/>
      <name val="Arial"/>
      <family val="2"/>
    </font>
    <font>
      <b/>
      <sz val="12"/>
      <color indexed="12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2"/>
      <name val="Arial"/>
      <family val="2"/>
    </font>
    <font>
      <u val="singleAccounting"/>
      <sz val="12"/>
      <name val="Arial"/>
      <family val="2"/>
    </font>
    <font>
      <u val="singleAccounting"/>
      <sz val="12"/>
      <color indexed="12"/>
      <name val="Arial"/>
      <family val="2"/>
    </font>
    <font>
      <sz val="12"/>
      <color indexed="62"/>
      <name val="Arial"/>
      <family val="2"/>
    </font>
    <font>
      <b/>
      <sz val="12"/>
      <name val="Helv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9"/>
      <name val="Helv"/>
      <family val="0"/>
    </font>
    <font>
      <sz val="9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8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 quotePrefix="1">
      <alignment horizontal="center"/>
    </xf>
    <xf numFmtId="168" fontId="1" fillId="0" borderId="10" xfId="42" applyNumberFormat="1" applyFont="1" applyFill="1" applyBorder="1" applyAlignment="1" quotePrefix="1">
      <alignment horizontal="center"/>
    </xf>
    <xf numFmtId="164" fontId="1" fillId="0" borderId="10" xfId="0" applyFont="1" applyFill="1" applyBorder="1" applyAlignment="1">
      <alignment horizontal="center"/>
    </xf>
    <xf numFmtId="164" fontId="1" fillId="0" borderId="10" xfId="0" applyFont="1" applyFill="1" applyBorder="1" applyAlignment="1" applyProtection="1">
      <alignment horizontal="center"/>
      <protection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8" fontId="3" fillId="0" borderId="0" xfId="42" applyNumberFormat="1" applyFont="1" applyFill="1" applyAlignment="1">
      <alignment/>
    </xf>
    <xf numFmtId="164" fontId="4" fillId="0" borderId="0" xfId="0" applyFont="1" applyFill="1" applyAlignment="1">
      <alignment/>
    </xf>
    <xf numFmtId="164" fontId="3" fillId="0" borderId="0" xfId="0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 horizontal="left"/>
      <protection locked="0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164" fontId="3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164" fontId="3" fillId="0" borderId="10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168" fontId="5" fillId="0" borderId="0" xfId="42" applyNumberFormat="1" applyFont="1" applyFill="1" applyAlignment="1" applyProtection="1">
      <alignment/>
      <protection locked="0"/>
    </xf>
    <xf numFmtId="10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 horizontal="right"/>
      <protection locked="0"/>
    </xf>
    <xf numFmtId="166" fontId="5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164" fontId="5" fillId="0" borderId="0" xfId="0" applyFont="1" applyFill="1" applyAlignment="1" applyProtection="1">
      <alignment horizontal="right"/>
      <protection locked="0"/>
    </xf>
    <xf numFmtId="164" fontId="5" fillId="0" borderId="0" xfId="0" applyFont="1" applyFill="1" applyAlignment="1" applyProtection="1">
      <alignment/>
      <protection locked="0"/>
    </xf>
    <xf numFmtId="164" fontId="5" fillId="0" borderId="0" xfId="0" applyFont="1" applyFill="1" applyAlignment="1" applyProtection="1" quotePrefix="1">
      <alignment horizontal="left"/>
      <protection locked="0"/>
    </xf>
    <xf numFmtId="164" fontId="5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43" fontId="5" fillId="0" borderId="0" xfId="42" applyFont="1" applyFill="1" applyAlignment="1">
      <alignment/>
    </xf>
    <xf numFmtId="168" fontId="5" fillId="0" borderId="0" xfId="42" applyNumberFormat="1" applyFont="1" applyFill="1" applyAlignment="1">
      <alignment/>
    </xf>
    <xf numFmtId="168" fontId="4" fillId="0" borderId="0" xfId="42" applyNumberFormat="1" applyFont="1" applyFill="1" applyAlignment="1">
      <alignment/>
    </xf>
    <xf numFmtId="10" fontId="5" fillId="0" borderId="0" xfId="59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 horizontal="left"/>
      <protection locked="0"/>
    </xf>
    <xf numFmtId="164" fontId="3" fillId="0" borderId="0" xfId="0" applyFont="1" applyFill="1" applyBorder="1" applyAlignment="1">
      <alignment horizontal="center"/>
    </xf>
    <xf numFmtId="10" fontId="3" fillId="0" borderId="0" xfId="59" applyNumberFormat="1" applyFont="1" applyFill="1" applyAlignment="1">
      <alignment/>
    </xf>
    <xf numFmtId="10" fontId="5" fillId="0" borderId="0" xfId="59" applyNumberFormat="1" applyFont="1" applyFill="1" applyAlignment="1">
      <alignment/>
    </xf>
    <xf numFmtId="168" fontId="3" fillId="0" borderId="0" xfId="42" applyNumberFormat="1" applyFont="1" applyFill="1" applyAlignment="1" applyProtection="1">
      <alignment/>
      <protection locked="0"/>
    </xf>
    <xf numFmtId="166" fontId="5" fillId="0" borderId="0" xfId="59" applyNumberFormat="1" applyFont="1" applyFill="1" applyAlignment="1" applyProtection="1">
      <alignment/>
      <protection locked="0"/>
    </xf>
    <xf numFmtId="166" fontId="3" fillId="0" borderId="0" xfId="59" applyNumberFormat="1" applyFont="1" applyFill="1" applyAlignment="1">
      <alignment/>
    </xf>
    <xf numFmtId="168" fontId="5" fillId="0" borderId="0" xfId="42" applyNumberFormat="1" applyFont="1" applyFill="1" applyBorder="1" applyAlignment="1" applyProtection="1">
      <alignment/>
      <protection locked="0"/>
    </xf>
    <xf numFmtId="164" fontId="7" fillId="0" borderId="0" xfId="0" applyFont="1" applyFill="1" applyAlignment="1" applyProtection="1">
      <alignment horizontal="left"/>
      <protection locked="0"/>
    </xf>
    <xf numFmtId="166" fontId="5" fillId="0" borderId="0" xfId="0" applyNumberFormat="1" applyFont="1" applyFill="1" applyBorder="1" applyAlignment="1" applyProtection="1" quotePrefix="1">
      <alignment horizontal="left"/>
      <protection/>
    </xf>
    <xf numFmtId="164" fontId="5" fillId="0" borderId="0" xfId="0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164" fontId="3" fillId="0" borderId="11" xfId="0" applyFont="1" applyFill="1" applyBorder="1" applyAlignment="1">
      <alignment/>
    </xf>
    <xf numFmtId="164" fontId="3" fillId="0" borderId="0" xfId="0" applyFont="1" applyFill="1" applyAlignment="1" applyProtection="1">
      <alignment horizontal="center"/>
      <protection/>
    </xf>
    <xf numFmtId="164" fontId="3" fillId="0" borderId="0" xfId="0" applyFont="1" applyFill="1" applyAlignment="1" applyProtection="1" quotePrefix="1">
      <alignment horizontal="left"/>
      <protection/>
    </xf>
    <xf numFmtId="164" fontId="3" fillId="0" borderId="12" xfId="0" applyFont="1" applyFill="1" applyBorder="1" applyAlignment="1">
      <alignment/>
    </xf>
    <xf numFmtId="164" fontId="3" fillId="0" borderId="12" xfId="0" applyFont="1" applyFill="1" applyBorder="1" applyAlignment="1" applyProtection="1">
      <alignment horizontal="left"/>
      <protection/>
    </xf>
    <xf numFmtId="3" fontId="3" fillId="0" borderId="12" xfId="0" applyNumberFormat="1" applyFont="1" applyFill="1" applyBorder="1" applyAlignment="1">
      <alignment/>
    </xf>
    <xf numFmtId="3" fontId="3" fillId="0" borderId="0" xfId="0" applyNumberFormat="1" applyFont="1" applyFill="1" applyAlignment="1" applyProtection="1">
      <alignment horizontal="left"/>
      <protection/>
    </xf>
    <xf numFmtId="3" fontId="3" fillId="0" borderId="0" xfId="0" applyNumberFormat="1" applyFont="1" applyFill="1" applyAlignment="1" applyProtection="1">
      <alignment horizontal="center"/>
      <protection/>
    </xf>
    <xf numFmtId="168" fontId="0" fillId="0" borderId="0" xfId="42" applyNumberFormat="1" applyFont="1" applyFill="1" applyAlignment="1">
      <alignment/>
    </xf>
    <xf numFmtId="164" fontId="3" fillId="0" borderId="0" xfId="0" applyFont="1" applyFill="1" applyBorder="1" applyAlignment="1" applyProtection="1">
      <alignment horizontal="left"/>
      <protection/>
    </xf>
    <xf numFmtId="164" fontId="3" fillId="0" borderId="0" xfId="0" applyFont="1" applyFill="1" applyBorder="1" applyAlignment="1">
      <alignment/>
    </xf>
    <xf numFmtId="164" fontId="5" fillId="0" borderId="0" xfId="0" applyFont="1" applyFill="1" applyAlignment="1" applyProtection="1">
      <alignment horizontal="centerContinuous"/>
      <protection locked="0"/>
    </xf>
    <xf numFmtId="164" fontId="3" fillId="0" borderId="0" xfId="0" applyFont="1" applyFill="1" applyAlignment="1">
      <alignment horizontal="centerContinuous"/>
    </xf>
    <xf numFmtId="3" fontId="3" fillId="0" borderId="0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0" fontId="3" fillId="0" borderId="12" xfId="0" applyNumberFormat="1" applyFont="1" applyFill="1" applyBorder="1" applyAlignment="1">
      <alignment/>
    </xf>
    <xf numFmtId="164" fontId="3" fillId="0" borderId="0" xfId="0" applyFont="1" applyFill="1" applyAlignment="1" applyProtection="1">
      <alignment horizontal="fill"/>
      <protection/>
    </xf>
    <xf numFmtId="164" fontId="1" fillId="0" borderId="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68" fontId="5" fillId="0" borderId="0" xfId="42" applyNumberFormat="1" applyFont="1" applyFill="1" applyBorder="1" applyAlignment="1">
      <alignment/>
    </xf>
    <xf numFmtId="43" fontId="5" fillId="0" borderId="0" xfId="42" applyFont="1" applyFill="1" applyBorder="1" applyAlignment="1">
      <alignment/>
    </xf>
    <xf numFmtId="10" fontId="5" fillId="0" borderId="0" xfId="59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43" fontId="3" fillId="0" borderId="0" xfId="42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68" fontId="1" fillId="0" borderId="10" xfId="42" applyNumberFormat="1" applyFont="1" applyFill="1" applyBorder="1" applyAlignment="1">
      <alignment horizontal="center"/>
    </xf>
    <xf numFmtId="168" fontId="3" fillId="0" borderId="0" xfId="42" applyNumberFormat="1" applyFont="1" applyFill="1" applyBorder="1" applyAlignment="1" applyProtection="1">
      <alignment/>
      <protection/>
    </xf>
    <xf numFmtId="168" fontId="3" fillId="0" borderId="0" xfId="42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horizontal="right"/>
      <protection locked="0"/>
    </xf>
    <xf numFmtId="43" fontId="3" fillId="0" borderId="0" xfId="42" applyFont="1" applyFill="1" applyAlignment="1" applyProtection="1">
      <alignment horizontal="right"/>
      <protection locked="0"/>
    </xf>
    <xf numFmtId="43" fontId="3" fillId="0" borderId="0" xfId="42" applyFont="1" applyFill="1" applyAlignment="1" applyProtection="1">
      <alignment/>
      <protection locked="0"/>
    </xf>
    <xf numFmtId="43" fontId="3" fillId="0" borderId="0" xfId="42" applyFont="1" applyFill="1" applyAlignment="1">
      <alignment/>
    </xf>
    <xf numFmtId="164" fontId="27" fillId="0" borderId="0" xfId="0" applyFont="1" applyFill="1" applyAlignment="1" applyProtection="1">
      <alignment horizontal="left"/>
      <protection locked="0"/>
    </xf>
    <xf numFmtId="43" fontId="3" fillId="0" borderId="0" xfId="42" applyNumberFormat="1" applyFont="1" applyFill="1" applyAlignment="1" applyProtection="1">
      <alignment/>
      <protection locked="0"/>
    </xf>
    <xf numFmtId="43" fontId="3" fillId="0" borderId="0" xfId="42" applyNumberFormat="1" applyFont="1" applyFill="1" applyAlignment="1">
      <alignment/>
    </xf>
    <xf numFmtId="168" fontId="28" fillId="0" borderId="0" xfId="42" applyNumberFormat="1" applyFont="1" applyFill="1" applyAlignment="1" applyProtection="1">
      <alignment/>
      <protection locked="0"/>
    </xf>
    <xf numFmtId="168" fontId="28" fillId="0" borderId="0" xfId="42" applyNumberFormat="1" applyFont="1" applyFill="1" applyAlignment="1">
      <alignment/>
    </xf>
    <xf numFmtId="168" fontId="29" fillId="0" borderId="0" xfId="42" applyNumberFormat="1" applyFont="1" applyFill="1" applyAlignment="1">
      <alignment/>
    </xf>
    <xf numFmtId="170" fontId="3" fillId="0" borderId="0" xfId="42" applyNumberFormat="1" applyFont="1" applyFill="1" applyAlignment="1" applyProtection="1">
      <alignment/>
      <protection locked="0"/>
    </xf>
    <xf numFmtId="181" fontId="3" fillId="0" borderId="0" xfId="59" applyNumberFormat="1" applyFont="1" applyFill="1" applyAlignment="1" applyProtection="1">
      <alignment/>
      <protection locked="0"/>
    </xf>
    <xf numFmtId="167" fontId="3" fillId="0" borderId="0" xfId="42" applyNumberFormat="1" applyFont="1" applyFill="1" applyAlignment="1" applyProtection="1">
      <alignment/>
      <protection locked="0"/>
    </xf>
    <xf numFmtId="188" fontId="3" fillId="0" borderId="0" xfId="44" applyNumberFormat="1" applyFont="1" applyFill="1" applyAlignment="1" applyProtection="1">
      <alignment/>
      <protection locked="0"/>
    </xf>
    <xf numFmtId="44" fontId="5" fillId="0" borderId="0" xfId="44" applyNumberFormat="1" applyFont="1" applyFill="1" applyBorder="1" applyAlignment="1">
      <alignment/>
    </xf>
    <xf numFmtId="184" fontId="3" fillId="0" borderId="0" xfId="44" applyNumberFormat="1" applyFont="1" applyFill="1" applyAlignment="1" applyProtection="1">
      <alignment/>
      <protection locked="0"/>
    </xf>
    <xf numFmtId="172" fontId="3" fillId="0" borderId="0" xfId="42" applyNumberFormat="1" applyFont="1" applyFill="1" applyAlignment="1" applyProtection="1">
      <alignment/>
      <protection locked="0"/>
    </xf>
    <xf numFmtId="168" fontId="0" fillId="0" borderId="0" xfId="42" applyNumberFormat="1" applyFont="1" applyFill="1" applyAlignment="1">
      <alignment/>
    </xf>
    <xf numFmtId="10" fontId="3" fillId="0" borderId="0" xfId="59" applyNumberFormat="1" applyFont="1" applyFill="1" applyBorder="1" applyAlignment="1" applyProtection="1">
      <alignment/>
      <protection/>
    </xf>
    <xf numFmtId="10" fontId="3" fillId="0" borderId="0" xfId="59" applyNumberFormat="1" applyFont="1" applyFill="1" applyAlignment="1" applyProtection="1">
      <alignment/>
      <protection locked="0"/>
    </xf>
    <xf numFmtId="188" fontId="3" fillId="0" borderId="0" xfId="44" applyNumberFormat="1" applyFont="1" applyFill="1" applyAlignment="1">
      <alignment/>
    </xf>
    <xf numFmtId="188" fontId="28" fillId="0" borderId="0" xfId="44" applyNumberFormat="1" applyFont="1" applyFill="1" applyAlignment="1">
      <alignment/>
    </xf>
    <xf numFmtId="168" fontId="30" fillId="0" borderId="0" xfId="42" applyNumberFormat="1" applyFont="1" applyFill="1" applyAlignment="1" applyProtection="1">
      <alignment/>
      <protection locked="0"/>
    </xf>
    <xf numFmtId="168" fontId="3" fillId="0" borderId="0" xfId="0" applyNumberFormat="1" applyFont="1" applyFill="1" applyAlignment="1">
      <alignment/>
    </xf>
    <xf numFmtId="164" fontId="3" fillId="0" borderId="13" xfId="0" applyFont="1" applyFill="1" applyBorder="1" applyAlignment="1">
      <alignment/>
    </xf>
    <xf numFmtId="164" fontId="3" fillId="0" borderId="13" xfId="0" applyFont="1" applyFill="1" applyBorder="1" applyAlignment="1" applyProtection="1">
      <alignment horizontal="left"/>
      <protection/>
    </xf>
    <xf numFmtId="164" fontId="3" fillId="0" borderId="13" xfId="0" applyFont="1" applyFill="1" applyBorder="1" applyAlignment="1" applyProtection="1">
      <alignment horizontal="center"/>
      <protection/>
    </xf>
    <xf numFmtId="164" fontId="3" fillId="0" borderId="10" xfId="0" applyFont="1" applyFill="1" applyBorder="1" applyAlignment="1">
      <alignment/>
    </xf>
    <xf numFmtId="164" fontId="3" fillId="0" borderId="10" xfId="0" applyFont="1" applyFill="1" applyBorder="1" applyAlignment="1" applyProtection="1">
      <alignment horizontal="left"/>
      <protection/>
    </xf>
    <xf numFmtId="164" fontId="3" fillId="0" borderId="10" xfId="0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left"/>
      <protection/>
    </xf>
    <xf numFmtId="164" fontId="3" fillId="0" borderId="0" xfId="0" applyFont="1" applyFill="1" applyBorder="1" applyAlignment="1" applyProtection="1" quotePrefix="1">
      <alignment horizontal="left"/>
      <protection/>
    </xf>
    <xf numFmtId="164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164" fontId="31" fillId="0" borderId="0" xfId="0" applyFont="1" applyFill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32" fillId="0" borderId="0" xfId="0" applyFont="1" applyFill="1" applyBorder="1" applyAlignment="1">
      <alignment horizontal="center"/>
    </xf>
    <xf numFmtId="168" fontId="32" fillId="0" borderId="0" xfId="42" applyNumberFormat="1" applyFont="1" applyFill="1" applyBorder="1" applyAlignment="1" quotePrefix="1">
      <alignment horizontal="center"/>
    </xf>
    <xf numFmtId="168" fontId="32" fillId="0" borderId="0" xfId="42" applyNumberFormat="1" applyFont="1" applyFill="1" applyBorder="1" applyAlignment="1">
      <alignment horizontal="center"/>
    </xf>
    <xf numFmtId="164" fontId="32" fillId="0" borderId="0" xfId="0" applyFont="1" applyFill="1" applyBorder="1" applyAlignment="1" applyProtection="1">
      <alignment horizontal="center"/>
      <protection/>
    </xf>
    <xf numFmtId="191" fontId="0" fillId="0" borderId="0" xfId="0" applyNumberFormat="1" applyFill="1" applyAlignment="1">
      <alignment/>
    </xf>
    <xf numFmtId="164" fontId="0" fillId="0" borderId="10" xfId="0" applyFont="1" applyFill="1" applyBorder="1" applyAlignment="1">
      <alignment/>
    </xf>
    <xf numFmtId="164" fontId="0" fillId="0" borderId="13" xfId="0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Alignment="1" applyProtection="1">
      <alignment horizontal="center"/>
      <protection locked="0"/>
    </xf>
    <xf numFmtId="164" fontId="3" fillId="0" borderId="0" xfId="0" applyFont="1" applyFill="1" applyBorder="1" applyAlignment="1" applyProtection="1">
      <alignment horizontal="left"/>
      <protection locked="0"/>
    </xf>
    <xf numFmtId="164" fontId="3" fillId="0" borderId="0" xfId="0" applyFont="1" applyFill="1" applyAlignment="1" applyProtection="1">
      <alignment horizontal="left"/>
      <protection locked="0"/>
    </xf>
    <xf numFmtId="164" fontId="3" fillId="0" borderId="0" xfId="0" applyFont="1" applyFill="1" applyAlignment="1" applyProtection="1">
      <alignment/>
      <protection locked="0"/>
    </xf>
    <xf numFmtId="164" fontId="1" fillId="0" borderId="0" xfId="0" applyFont="1" applyFill="1" applyAlignment="1" quotePrefix="1">
      <alignment horizontal="center"/>
    </xf>
    <xf numFmtId="164" fontId="1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164" fontId="1" fillId="0" borderId="10" xfId="0" applyFont="1" applyFill="1" applyBorder="1" applyAlignment="1">
      <alignment horizontal="center"/>
    </xf>
    <xf numFmtId="164" fontId="33" fillId="0" borderId="0" xfId="0" applyFont="1" applyFill="1" applyAlignment="1" applyProtection="1">
      <alignment horizontal="left"/>
      <protection locked="0"/>
    </xf>
    <xf numFmtId="168" fontId="3" fillId="0" borderId="0" xfId="42" applyNumberFormat="1" applyFont="1" applyFill="1" applyBorder="1" applyAlignment="1" applyProtection="1">
      <alignment/>
      <protection locked="0"/>
    </xf>
    <xf numFmtId="10" fontId="3" fillId="0" borderId="0" xfId="59" applyNumberFormat="1" applyFont="1" applyFill="1" applyBorder="1" applyAlignment="1" applyProtection="1">
      <alignment/>
      <protection locked="0"/>
    </xf>
    <xf numFmtId="168" fontId="3" fillId="0" borderId="0" xfId="59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164" fontId="1" fillId="0" borderId="0" xfId="0" applyFont="1" applyFill="1" applyAlignment="1" applyProtection="1">
      <alignment horizontal="left"/>
      <protection locked="0"/>
    </xf>
    <xf numFmtId="164" fontId="1" fillId="0" borderId="0" xfId="0" applyFont="1" applyFill="1" applyAlignment="1" applyProtection="1" quotePrefix="1">
      <alignment horizontal="left"/>
      <protection locked="0"/>
    </xf>
    <xf numFmtId="10" fontId="3" fillId="0" borderId="0" xfId="0" applyNumberFormat="1" applyFont="1" applyFill="1" applyBorder="1" applyAlignment="1" applyProtection="1">
      <alignment/>
      <protection locked="0"/>
    </xf>
    <xf numFmtId="10" fontId="3" fillId="0" borderId="0" xfId="0" applyNumberFormat="1" applyFont="1" applyFill="1" applyAlignment="1" applyProtection="1">
      <alignment/>
      <protection locked="0"/>
    </xf>
    <xf numFmtId="164" fontId="3" fillId="0" borderId="0" xfId="0" applyFont="1" applyFill="1" applyAlignment="1" applyProtection="1">
      <alignment horizontal="right"/>
      <protection locked="0"/>
    </xf>
    <xf numFmtId="164" fontId="3" fillId="0" borderId="0" xfId="0" applyFont="1" applyFill="1" applyBorder="1" applyAlignment="1" applyProtection="1">
      <alignment horizontal="right"/>
      <protection locked="0"/>
    </xf>
    <xf numFmtId="168" fontId="3" fillId="0" borderId="0" xfId="42" applyNumberFormat="1" applyFont="1" applyFill="1" applyAlignment="1">
      <alignment horizontal="right"/>
    </xf>
    <xf numFmtId="168" fontId="3" fillId="0" borderId="0" xfId="42" applyNumberFormat="1" applyFont="1" applyFill="1" applyBorder="1" applyAlignment="1">
      <alignment horizontal="right"/>
    </xf>
    <xf numFmtId="173" fontId="3" fillId="0" borderId="0" xfId="42" applyNumberFormat="1" applyFont="1" applyFill="1" applyBorder="1" applyAlignment="1" applyProtection="1">
      <alignment/>
      <protection locked="0"/>
    </xf>
    <xf numFmtId="168" fontId="3" fillId="0" borderId="14" xfId="42" applyNumberFormat="1" applyFont="1" applyFill="1" applyBorder="1" applyAlignment="1" applyProtection="1">
      <alignment/>
      <protection locked="0"/>
    </xf>
    <xf numFmtId="164" fontId="3" fillId="0" borderId="0" xfId="0" applyFont="1" applyFill="1" applyAlignment="1" applyProtection="1" quotePrefix="1">
      <alignment horizontal="left"/>
      <protection locked="0"/>
    </xf>
    <xf numFmtId="168" fontId="3" fillId="0" borderId="12" xfId="42" applyNumberFormat="1" applyFont="1" applyFill="1" applyBorder="1" applyAlignment="1" applyProtection="1">
      <alignment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43" fontId="3" fillId="0" borderId="0" xfId="42" applyFont="1" applyFill="1" applyBorder="1" applyAlignment="1" applyProtection="1">
      <alignment/>
      <protection locked="0"/>
    </xf>
    <xf numFmtId="164" fontId="3" fillId="0" borderId="10" xfId="0" applyFont="1" applyFill="1" applyBorder="1" applyAlignment="1" applyProtection="1">
      <alignment horizontal="left"/>
      <protection locked="0"/>
    </xf>
    <xf numFmtId="164" fontId="34" fillId="0" borderId="0" xfId="0" applyFont="1" applyFill="1" applyAlignment="1" applyProtection="1">
      <alignment horizontal="left"/>
      <protection locked="0"/>
    </xf>
    <xf numFmtId="168" fontId="3" fillId="0" borderId="12" xfId="42" applyNumberFormat="1" applyFont="1" applyFill="1" applyBorder="1" applyAlignment="1">
      <alignment/>
    </xf>
    <xf numFmtId="164" fontId="35" fillId="0" borderId="0" xfId="0" applyFont="1" applyFill="1" applyAlignment="1" applyProtection="1">
      <alignment horizontal="left"/>
      <protection locked="0"/>
    </xf>
    <xf numFmtId="168" fontId="33" fillId="0" borderId="0" xfId="42" applyNumberFormat="1" applyFont="1" applyFill="1" applyAlignment="1" applyProtection="1">
      <alignment/>
      <protection locked="0"/>
    </xf>
    <xf numFmtId="164" fontId="36" fillId="0" borderId="0" xfId="0" applyFont="1" applyFill="1" applyAlignment="1">
      <alignment horizontal="center"/>
    </xf>
    <xf numFmtId="164" fontId="36" fillId="0" borderId="0" xfId="0" applyFont="1" applyFill="1" applyAlignment="1" applyProtection="1">
      <alignment horizontal="left"/>
      <protection locked="0"/>
    </xf>
    <xf numFmtId="3" fontId="36" fillId="0" borderId="0" xfId="0" applyNumberFormat="1" applyFont="1" applyFill="1" applyAlignment="1">
      <alignment/>
    </xf>
    <xf numFmtId="166" fontId="36" fillId="0" borderId="0" xfId="59" applyNumberFormat="1" applyFont="1" applyFill="1" applyAlignment="1" applyProtection="1">
      <alignment/>
      <protection locked="0"/>
    </xf>
    <xf numFmtId="164" fontId="36" fillId="0" borderId="0" xfId="0" applyFont="1" applyFill="1" applyAlignment="1">
      <alignment/>
    </xf>
    <xf numFmtId="164" fontId="36" fillId="0" borderId="0" xfId="0" applyFont="1" applyFill="1" applyBorder="1" applyAlignment="1">
      <alignment/>
    </xf>
    <xf numFmtId="164" fontId="37" fillId="0" borderId="0" xfId="0" applyFont="1" applyFill="1" applyAlignment="1">
      <alignment/>
    </xf>
    <xf numFmtId="168" fontId="36" fillId="0" borderId="0" xfId="42" applyNumberFormat="1" applyFont="1" applyFill="1" applyAlignment="1" applyProtection="1">
      <alignment/>
      <protection locked="0"/>
    </xf>
    <xf numFmtId="168" fontId="36" fillId="0" borderId="0" xfId="42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Alignment="1" applyProtection="1">
      <alignment/>
      <protection locked="0"/>
    </xf>
    <xf numFmtId="164" fontId="38" fillId="0" borderId="0" xfId="0" applyFont="1" applyFill="1" applyAlignment="1" applyProtection="1">
      <alignment/>
      <protection locked="0"/>
    </xf>
    <xf numFmtId="3" fontId="36" fillId="0" borderId="0" xfId="0" applyNumberFormat="1" applyFont="1" applyFill="1" applyAlignment="1" applyProtection="1">
      <alignment/>
      <protection locked="0"/>
    </xf>
    <xf numFmtId="43" fontId="36" fillId="0" borderId="0" xfId="42" applyFont="1" applyFill="1" applyBorder="1" applyAlignment="1" applyProtection="1">
      <alignment/>
      <protection locked="0"/>
    </xf>
    <xf numFmtId="43" fontId="36" fillId="0" borderId="0" xfId="42" applyFont="1" applyFill="1" applyBorder="1" applyAlignment="1">
      <alignment/>
    </xf>
    <xf numFmtId="168" fontId="38" fillId="0" borderId="0" xfId="42" applyNumberFormat="1" applyFont="1" applyFill="1" applyAlignment="1" applyProtection="1">
      <alignment/>
      <protection locked="0"/>
    </xf>
    <xf numFmtId="164" fontId="38" fillId="0" borderId="0" xfId="0" applyFont="1" applyFill="1" applyAlignment="1" applyProtection="1">
      <alignment horizontal="left"/>
      <protection locked="0"/>
    </xf>
    <xf numFmtId="174" fontId="4" fillId="0" borderId="0" xfId="42" applyNumberFormat="1" applyFont="1" applyFill="1" applyAlignment="1" applyProtection="1">
      <alignment/>
      <protection locked="0"/>
    </xf>
    <xf numFmtId="164" fontId="3" fillId="0" borderId="11" xfId="0" applyFont="1" applyFill="1" applyBorder="1" applyAlignment="1" applyProtection="1">
      <alignment horizontal="left"/>
      <protection locked="0"/>
    </xf>
    <xf numFmtId="3" fontId="33" fillId="0" borderId="0" xfId="0" applyNumberFormat="1" applyFont="1" applyFill="1" applyAlignment="1" applyProtection="1">
      <alignment/>
      <protection locked="0"/>
    </xf>
    <xf numFmtId="188" fontId="3" fillId="24" borderId="15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scr\Desktop\Dans%20folder\SCH-H2%20d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\Documents\Desktop%20Sync\TECO%20-%20Peoples%20Gas\Cost%20Allocation%20Study\Rate%20Class%20matri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Rate%20Case%202008\PGS%20Templates\PGS%20E%20schedules\SCH-E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Rate%20Case%202008\PGS%20Templates\PGS%20E%20schedules\SCH-E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wkmf\Local%20Settings\Temporary%20Internet%20Files\Content.Outlook\ITOJ3WQP\SCH-H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wkmf\Local%20Settings\Temporary%20Internet%20Files\Content.Outlook\ITOJ3WQP\SCH-H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wkmf\Local%20Settings\Temporary%20Internet%20Files\Content.Outlook\ITOJ3WQP\5-5-09%20PSC%20adjust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H-2"/>
      <sheetName val="H-2 Reclass-Workpaper"/>
      <sheetName val="Print Macros"/>
    </sheetNames>
    <sheetDataSet>
      <sheetData sheetId="0">
        <row r="1">
          <cell r="B1" t="str">
            <v>SCHEDULE H-2</v>
          </cell>
          <cell r="W1" t="str">
            <v>PAGE 1 OF 6</v>
          </cell>
        </row>
        <row r="2">
          <cell r="B2" t="str">
            <v>FLORIDA PUBLIC SERVICE COMMISSION</v>
          </cell>
          <cell r="M2" t="str">
            <v> COST OF SERVICE</v>
          </cell>
        </row>
        <row r="3">
          <cell r="B3" t="str">
            <v>COMPANY:  PEOPLES GAS SYSTEM</v>
          </cell>
          <cell r="M3" t="str">
            <v>EXPLANATION:  FULLY ALLOCATED EMBEDDED COST</v>
          </cell>
          <cell r="W3" t="str">
            <v>TYPE OF DATA SHOWN:</v>
          </cell>
        </row>
        <row r="4">
          <cell r="B4" t="str">
            <v>DOCKET NO.:  080318-GU   </v>
          </cell>
          <cell r="M4" t="str">
            <v>OF SERVICE STUDY  (SUMMARY)</v>
          </cell>
          <cell r="W4" t="str">
            <v>PROJECTED TEST YEAR:      12/31/09</v>
          </cell>
        </row>
        <row r="5">
          <cell r="W5" t="str">
            <v>WITNESS:  D. YARDLEY</v>
          </cell>
        </row>
        <row r="11">
          <cell r="A11" t="str">
            <v>LINE NO.</v>
          </cell>
          <cell r="B11" t="str">
            <v>SUMMARY:</v>
          </cell>
          <cell r="E11" t="str">
            <v>TOTAL</v>
          </cell>
          <cell r="M11" t="str">
            <v>CUSTOMER</v>
          </cell>
          <cell r="O11" t="str">
            <v>CAPACITY</v>
          </cell>
          <cell r="S11" t="str">
            <v>COMMODITY</v>
          </cell>
          <cell r="W11" t="str">
            <v>REVENUE</v>
          </cell>
        </row>
        <row r="12">
          <cell r="A12">
            <v>1</v>
          </cell>
          <cell r="B12" t="str">
            <v>ATTRITION</v>
          </cell>
          <cell r="E12">
            <v>0</v>
          </cell>
          <cell r="M12">
            <v>0</v>
          </cell>
          <cell r="O12">
            <v>0</v>
          </cell>
          <cell r="S12">
            <v>0</v>
          </cell>
          <cell r="W12">
            <v>0</v>
          </cell>
        </row>
        <row r="13">
          <cell r="A13">
            <v>2</v>
          </cell>
          <cell r="B13" t="str">
            <v>O&amp;M</v>
          </cell>
          <cell r="E13">
            <v>73538879.48714302</v>
          </cell>
          <cell r="M13">
            <v>51891062.08870122</v>
          </cell>
          <cell r="O13">
            <v>21647817.39844182</v>
          </cell>
          <cell r="S13">
            <v>0</v>
          </cell>
          <cell r="W13">
            <v>0</v>
          </cell>
        </row>
        <row r="14">
          <cell r="A14">
            <v>3</v>
          </cell>
          <cell r="B14" t="str">
            <v>DEP.</v>
          </cell>
          <cell r="E14">
            <v>41967130.39821072</v>
          </cell>
          <cell r="M14">
            <v>14500872.598729411</v>
          </cell>
          <cell r="O14">
            <v>27466257.808967955</v>
          </cell>
          <cell r="S14">
            <v>0</v>
          </cell>
          <cell r="W14">
            <v>0</v>
          </cell>
        </row>
        <row r="15">
          <cell r="A15">
            <v>4</v>
          </cell>
          <cell r="B15" t="str">
            <v>AMORTIZATION OF OTHER GAS PLANT</v>
          </cell>
          <cell r="E15">
            <v>1040506.0399999999</v>
          </cell>
          <cell r="M15">
            <v>0</v>
          </cell>
          <cell r="O15">
            <v>1040978.72</v>
          </cell>
          <cell r="S15">
            <v>0</v>
          </cell>
          <cell r="W15">
            <v>0</v>
          </cell>
        </row>
        <row r="16">
          <cell r="A16">
            <v>5</v>
          </cell>
          <cell r="B16" t="str">
            <v>AMORTIZATION OF ENVIRONMENTAL</v>
          </cell>
          <cell r="E16">
            <v>640000</v>
          </cell>
          <cell r="M16">
            <v>0</v>
          </cell>
          <cell r="O16">
            <v>640000</v>
          </cell>
          <cell r="S16">
            <v>0</v>
          </cell>
          <cell r="W16">
            <v>0</v>
          </cell>
        </row>
        <row r="17">
          <cell r="A17">
            <v>6</v>
          </cell>
          <cell r="B17" t="str">
            <v>AMORTIZATION OF LIMITED TERM INVESTMENT</v>
          </cell>
          <cell r="E17">
            <v>472.6799999999999</v>
          </cell>
          <cell r="M17">
            <v>0</v>
          </cell>
          <cell r="O17">
            <v>0</v>
          </cell>
          <cell r="S17">
            <v>0</v>
          </cell>
          <cell r="W17">
            <v>0</v>
          </cell>
        </row>
        <row r="18">
          <cell r="A18">
            <v>7</v>
          </cell>
          <cell r="B18" t="str">
            <v>AMORTIZATION OF ACQUISITION ADJUSTMENT</v>
          </cell>
          <cell r="E18">
            <v>156624</v>
          </cell>
          <cell r="M18">
            <v>0</v>
          </cell>
          <cell r="O18">
            <v>156624</v>
          </cell>
          <cell r="S18">
            <v>0</v>
          </cell>
          <cell r="W18">
            <v>0</v>
          </cell>
        </row>
        <row r="19">
          <cell r="A19">
            <v>8</v>
          </cell>
          <cell r="B19" t="str">
            <v>AMORTIZATION OF CONVERSION COSTS</v>
          </cell>
          <cell r="E19">
            <v>0</v>
          </cell>
          <cell r="M19">
            <v>0</v>
          </cell>
          <cell r="O19">
            <v>0</v>
          </cell>
          <cell r="S19">
            <v>0</v>
          </cell>
          <cell r="W19">
            <v>0</v>
          </cell>
        </row>
        <row r="20">
          <cell r="A20">
            <v>9</v>
          </cell>
          <cell r="B20" t="str">
            <v>TAXES OTHER THAN INCOME TAXES</v>
          </cell>
          <cell r="E20">
            <v>10823933.170899078</v>
          </cell>
          <cell r="M20">
            <v>3378844.590947627</v>
          </cell>
          <cell r="O20">
            <v>6399905.660817685</v>
          </cell>
          <cell r="S20">
            <v>0</v>
          </cell>
          <cell r="W20">
            <v>1045182.9213442489</v>
          </cell>
        </row>
        <row r="21">
          <cell r="A21">
            <v>10</v>
          </cell>
          <cell r="B21" t="str">
            <v>RETURN</v>
          </cell>
          <cell r="E21">
            <v>50055863</v>
          </cell>
          <cell r="M21">
            <v>16928153.748976212</v>
          </cell>
          <cell r="O21">
            <v>33127709.262569666</v>
          </cell>
          <cell r="S21">
            <v>0</v>
          </cell>
          <cell r="W21">
            <v>0</v>
          </cell>
        </row>
        <row r="22">
          <cell r="A22">
            <v>11</v>
          </cell>
          <cell r="B22" t="str">
            <v>INCOME TAXES</v>
          </cell>
          <cell r="E22">
            <v>19573890.569092106</v>
          </cell>
          <cell r="M22">
            <v>6619600.765233568</v>
          </cell>
          <cell r="O22">
            <v>12954289.80837345</v>
          </cell>
          <cell r="S22">
            <v>0</v>
          </cell>
          <cell r="W22">
            <v>0</v>
          </cell>
        </row>
        <row r="23">
          <cell r="A23">
            <v>12</v>
          </cell>
          <cell r="B23" t="str">
            <v>REVENUE CREDITED TO COST OF SERVICE</v>
          </cell>
          <cell r="E23">
            <v>0</v>
          </cell>
          <cell r="M23">
            <v>0</v>
          </cell>
          <cell r="O23">
            <v>0</v>
          </cell>
          <cell r="S23">
            <v>0</v>
          </cell>
          <cell r="W23">
            <v>0</v>
          </cell>
        </row>
        <row r="24">
          <cell r="A24">
            <v>13</v>
          </cell>
          <cell r="B24" t="str">
            <v>TOTAL COST OF SERVICE</v>
          </cell>
          <cell r="E24">
            <v>197797299.3453449</v>
          </cell>
          <cell r="M24">
            <v>93318533.79258803</v>
          </cell>
          <cell r="O24">
            <v>103433582.65917057</v>
          </cell>
          <cell r="S24">
            <v>0</v>
          </cell>
          <cell r="W24">
            <v>1045182.9213442489</v>
          </cell>
        </row>
        <row r="25">
          <cell r="A25">
            <v>14</v>
          </cell>
          <cell r="B25" t="str">
            <v>RATE BASE</v>
          </cell>
          <cell r="E25">
            <v>563599433.6974366</v>
          </cell>
          <cell r="M25">
            <v>190601006.44885755</v>
          </cell>
          <cell r="O25">
            <v>372998427.3785788</v>
          </cell>
          <cell r="S25">
            <v>0</v>
          </cell>
          <cell r="W25">
            <v>0</v>
          </cell>
        </row>
        <row r="27">
          <cell r="A27">
            <v>15</v>
          </cell>
          <cell r="B27" t="str">
            <v>KNOWN DIRECT &amp; SPECIAL ASSIGNMENTS:</v>
          </cell>
        </row>
        <row r="29">
          <cell r="A29">
            <v>16</v>
          </cell>
          <cell r="B29" t="str">
            <v>   RATE BASE ITEMS(PLANT-ACC.DEP):</v>
          </cell>
        </row>
        <row r="30">
          <cell r="A30">
            <v>17</v>
          </cell>
          <cell r="B30" t="str">
            <v>381-382 METERS</v>
          </cell>
          <cell r="E30">
            <v>52392755.73692308</v>
          </cell>
          <cell r="M30">
            <v>52392755.73692308</v>
          </cell>
          <cell r="O30">
            <v>0</v>
          </cell>
          <cell r="S30">
            <v>0</v>
          </cell>
          <cell r="W30">
            <v>0</v>
          </cell>
        </row>
        <row r="31">
          <cell r="A31">
            <v>18</v>
          </cell>
          <cell r="B31" t="str">
            <v>383-384 HOUSE REGULATORS</v>
          </cell>
          <cell r="E31">
            <v>16073220.197692307</v>
          </cell>
          <cell r="M31">
            <v>16073220.197692307</v>
          </cell>
          <cell r="O31">
            <v>0</v>
          </cell>
          <cell r="S31">
            <v>0</v>
          </cell>
          <cell r="W31">
            <v>0</v>
          </cell>
        </row>
        <row r="32">
          <cell r="A32">
            <v>19</v>
          </cell>
          <cell r="B32" t="str">
            <v>385 INDUSTRIAL MEAS.&amp; REG.EQ.</v>
          </cell>
          <cell r="E32">
            <v>5665904.940769236</v>
          </cell>
          <cell r="M32">
            <v>0</v>
          </cell>
          <cell r="O32">
            <v>5665904.940769236</v>
          </cell>
          <cell r="S32">
            <v>0</v>
          </cell>
          <cell r="W32">
            <v>0</v>
          </cell>
        </row>
        <row r="33">
          <cell r="A33">
            <v>20</v>
          </cell>
          <cell r="B33" t="str">
            <v>376 MAINS</v>
          </cell>
          <cell r="E33">
            <v>320764179.1069234</v>
          </cell>
          <cell r="M33">
            <v>0</v>
          </cell>
          <cell r="O33">
            <v>320764179.1069234</v>
          </cell>
          <cell r="S33">
            <v>0</v>
          </cell>
          <cell r="W33">
            <v>0</v>
          </cell>
        </row>
        <row r="34">
          <cell r="A34">
            <v>21</v>
          </cell>
          <cell r="B34" t="str">
            <v>380 SERVICES</v>
          </cell>
          <cell r="E34">
            <v>110383151.00230762</v>
          </cell>
          <cell r="M34">
            <v>110383151.00230762</v>
          </cell>
          <cell r="O34">
            <v>0</v>
          </cell>
          <cell r="S34">
            <v>0</v>
          </cell>
          <cell r="W34">
            <v>0</v>
          </cell>
        </row>
        <row r="35">
          <cell r="A35">
            <v>22</v>
          </cell>
          <cell r="B35" t="str">
            <v>378 MEAS.&amp; REG.STA.EQ.-GEN.</v>
          </cell>
          <cell r="E35">
            <v>4718680.2046153825</v>
          </cell>
          <cell r="M35">
            <v>0</v>
          </cell>
          <cell r="O35">
            <v>4718680.204615382</v>
          </cell>
          <cell r="S35">
            <v>0</v>
          </cell>
          <cell r="W35">
            <v>0</v>
          </cell>
        </row>
        <row r="37">
          <cell r="A37">
            <v>23</v>
          </cell>
          <cell r="B37" t="str">
            <v>  O &amp; M ITEMS</v>
          </cell>
        </row>
        <row r="38">
          <cell r="A38">
            <v>24</v>
          </cell>
          <cell r="B38" t="str">
            <v>892 MAINT. OF SERVICES</v>
          </cell>
          <cell r="E38">
            <v>630097.2658663499</v>
          </cell>
          <cell r="M38">
            <v>630097.2658663499</v>
          </cell>
          <cell r="O38">
            <v>0</v>
          </cell>
          <cell r="S38">
            <v>0</v>
          </cell>
          <cell r="W38">
            <v>0</v>
          </cell>
        </row>
        <row r="39">
          <cell r="A39">
            <v>25</v>
          </cell>
          <cell r="B39" t="str">
            <v>876 MEAS.&amp; REG.STA.EQ.IND.</v>
          </cell>
          <cell r="E39">
            <v>-4062.2332799999986</v>
          </cell>
          <cell r="M39">
            <v>0</v>
          </cell>
          <cell r="O39">
            <v>-4062.2332799999986</v>
          </cell>
          <cell r="S39">
            <v>0</v>
          </cell>
          <cell r="W39">
            <v>0</v>
          </cell>
        </row>
        <row r="40">
          <cell r="A40">
            <v>26</v>
          </cell>
          <cell r="B40" t="str">
            <v>878 METER &amp; HOUSE REG.</v>
          </cell>
          <cell r="E40">
            <v>3093303.72349818</v>
          </cell>
          <cell r="M40">
            <v>3093303.72349818</v>
          </cell>
          <cell r="O40">
            <v>0</v>
          </cell>
          <cell r="S40">
            <v>0</v>
          </cell>
          <cell r="W40">
            <v>0</v>
          </cell>
        </row>
        <row r="41">
          <cell r="A41">
            <v>27</v>
          </cell>
          <cell r="B41" t="str">
            <v>890 MAINT.OF MEAS.&amp; REG.STA.EQ.-IND.</v>
          </cell>
          <cell r="E41">
            <v>459123.2023674</v>
          </cell>
          <cell r="M41">
            <v>0</v>
          </cell>
          <cell r="O41">
            <v>459123.2023674</v>
          </cell>
          <cell r="S41">
            <v>0</v>
          </cell>
          <cell r="W41">
            <v>0</v>
          </cell>
        </row>
        <row r="42">
          <cell r="A42">
            <v>28</v>
          </cell>
          <cell r="B42" t="str">
            <v>893 MAINT.OF METERS AND HOUSE REG.</v>
          </cell>
          <cell r="E42">
            <v>457928.32182849</v>
          </cell>
          <cell r="M42">
            <v>457928.32182849</v>
          </cell>
          <cell r="O42">
            <v>0</v>
          </cell>
          <cell r="S42">
            <v>0</v>
          </cell>
          <cell r="W42">
            <v>0</v>
          </cell>
        </row>
        <row r="43">
          <cell r="A43">
            <v>29</v>
          </cell>
          <cell r="B43" t="str">
            <v>874 MAINS AND SERVICES</v>
          </cell>
          <cell r="E43">
            <v>6596577.85089246</v>
          </cell>
          <cell r="M43">
            <v>1860825.0807338809</v>
          </cell>
          <cell r="O43">
            <v>4735752.770158579</v>
          </cell>
          <cell r="S43">
            <v>0</v>
          </cell>
          <cell r="W43">
            <v>0</v>
          </cell>
        </row>
        <row r="44">
          <cell r="A44">
            <v>30</v>
          </cell>
          <cell r="B44" t="str">
            <v>887 MAINT. OF MAINS</v>
          </cell>
          <cell r="E44">
            <v>2522843.61551217</v>
          </cell>
          <cell r="M44">
            <v>0</v>
          </cell>
          <cell r="O44">
            <v>2522843.61551217</v>
          </cell>
          <cell r="S44">
            <v>0</v>
          </cell>
          <cell r="W44">
            <v>0</v>
          </cell>
        </row>
        <row r="53">
          <cell r="B53" t="str">
            <v>SUPPORTING SCHEDULES:  H-3 p.5</v>
          </cell>
          <cell r="W53" t="str">
            <v>RECAP SCHEDULES:  H-2 p.2-4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d 05 2008"/>
      <sheetName val="Plan 2009"/>
      <sheetName val="Data"/>
      <sheetName val="6-30-08  2009 Bills"/>
      <sheetName val="6-30-08 Total Company 01"/>
    </sheetNames>
    <sheetDataSet>
      <sheetData sheetId="1">
        <row r="5">
          <cell r="K5">
            <v>25.78453038674033</v>
          </cell>
          <cell r="L5">
            <v>1065.5548696853348</v>
          </cell>
          <cell r="M5">
            <v>2.0381679389312977</v>
          </cell>
          <cell r="N5">
            <v>101.0825929166833</v>
          </cell>
        </row>
        <row r="6">
          <cell r="K6">
            <v>11.900552486187845</v>
          </cell>
          <cell r="L6">
            <v>2224.273006665562</v>
          </cell>
          <cell r="M6">
            <v>5.095419847328245</v>
          </cell>
          <cell r="N6">
            <v>903.7973013726976</v>
          </cell>
        </row>
        <row r="7">
          <cell r="K7">
            <v>90.24585635359117</v>
          </cell>
          <cell r="L7">
            <v>119006.75764249588</v>
          </cell>
          <cell r="M7">
            <v>20.38167938931298</v>
          </cell>
          <cell r="N7">
            <v>24862.353834252455</v>
          </cell>
        </row>
        <row r="8">
          <cell r="I8">
            <v>843.6243093922652</v>
          </cell>
          <cell r="J8">
            <v>3021680.6862824876</v>
          </cell>
          <cell r="K8">
            <v>194.37569060773478</v>
          </cell>
          <cell r="L8">
            <v>1072798.3137175126</v>
          </cell>
          <cell r="M8">
            <v>143.6908396946565</v>
          </cell>
          <cell r="N8">
            <v>765227.9315711184</v>
          </cell>
        </row>
        <row r="9">
          <cell r="I9">
            <v>107.29834254143647</v>
          </cell>
          <cell r="J9">
            <v>2015808.4222022179</v>
          </cell>
          <cell r="K9">
            <v>35.70165745856353</v>
          </cell>
          <cell r="L9">
            <v>656868.577797782</v>
          </cell>
          <cell r="M9">
            <v>87.6412213740458</v>
          </cell>
          <cell r="N9">
            <v>1743243.6402841713</v>
          </cell>
        </row>
        <row r="10">
          <cell r="I10">
            <v>10.00828729281768</v>
          </cell>
          <cell r="J10">
            <v>818803.4770341415</v>
          </cell>
          <cell r="K10">
            <v>0.9917127071823204</v>
          </cell>
          <cell r="L10">
            <v>60063.52296585848</v>
          </cell>
          <cell r="M10">
            <v>8.15267175572519</v>
          </cell>
          <cell r="N10">
            <v>669560.1944161681</v>
          </cell>
        </row>
        <row r="14">
          <cell r="K14">
            <v>359</v>
          </cell>
          <cell r="L14">
            <v>1912027</v>
          </cell>
          <cell r="M14">
            <v>267</v>
          </cell>
          <cell r="N14">
            <v>3203899</v>
          </cell>
        </row>
        <row r="21">
          <cell r="I21">
            <v>3838.168803418803</v>
          </cell>
          <cell r="J21">
            <v>4048006.8846866963</v>
          </cell>
          <cell r="M21">
            <v>1275.9166666666667</v>
          </cell>
          <cell r="N21">
            <v>1452169.7788684624</v>
          </cell>
        </row>
        <row r="22">
          <cell r="I22">
            <v>5970.333333333333</v>
          </cell>
          <cell r="J22">
            <v>26285177</v>
          </cell>
          <cell r="M22">
            <v>6176.166666666667</v>
          </cell>
          <cell r="N22">
            <v>36491525</v>
          </cell>
        </row>
        <row r="23">
          <cell r="I23">
            <v>607.3258286706708</v>
          </cell>
          <cell r="J23">
            <v>10612964.474301333</v>
          </cell>
          <cell r="M23">
            <v>2017.6959385113264</v>
          </cell>
          <cell r="N23">
            <v>31260176.422672912</v>
          </cell>
        </row>
        <row r="28">
          <cell r="I28">
            <v>10415.827965422808</v>
          </cell>
          <cell r="J28">
            <v>40946148.35898803</v>
          </cell>
          <cell r="M28">
            <v>9469.77927184466</v>
          </cell>
          <cell r="N28">
            <v>69203871.20154136</v>
          </cell>
        </row>
      </sheetData>
      <sheetData sheetId="3">
        <row r="5">
          <cell r="O5">
            <v>307080.42919651285</v>
          </cell>
        </row>
        <row r="6">
          <cell r="O6">
            <v>716</v>
          </cell>
        </row>
        <row r="7">
          <cell r="O7">
            <v>359</v>
          </cell>
        </row>
        <row r="8">
          <cell r="O8">
            <v>267</v>
          </cell>
        </row>
        <row r="9">
          <cell r="O9">
            <v>733</v>
          </cell>
        </row>
        <row r="10">
          <cell r="O10">
            <v>59</v>
          </cell>
        </row>
        <row r="11">
          <cell r="O11">
            <v>4864.997863247863</v>
          </cell>
        </row>
        <row r="12">
          <cell r="O12">
            <v>447</v>
          </cell>
        </row>
        <row r="13">
          <cell r="O13">
            <v>10415.764665820525</v>
          </cell>
        </row>
        <row r="14">
          <cell r="O14">
            <v>9469.518624157174</v>
          </cell>
        </row>
        <row r="15">
          <cell r="O15">
            <v>562.6741713293292</v>
          </cell>
        </row>
        <row r="16">
          <cell r="O16">
            <v>2645.3040614886736</v>
          </cell>
        </row>
        <row r="17">
          <cell r="O17">
            <v>109.33666666666666</v>
          </cell>
        </row>
        <row r="18">
          <cell r="O18">
            <v>699.218</v>
          </cell>
        </row>
        <row r="19">
          <cell r="O19">
            <v>5</v>
          </cell>
        </row>
        <row r="20">
          <cell r="O20">
            <v>118</v>
          </cell>
        </row>
        <row r="21">
          <cell r="O21">
            <v>9.5</v>
          </cell>
        </row>
        <row r="22">
          <cell r="O22">
            <v>95</v>
          </cell>
        </row>
        <row r="23">
          <cell r="O23">
            <v>31</v>
          </cell>
        </row>
        <row r="24">
          <cell r="O24">
            <v>32</v>
          </cell>
        </row>
        <row r="25">
          <cell r="O25">
            <v>4</v>
          </cell>
        </row>
        <row r="26">
          <cell r="O26">
            <v>11</v>
          </cell>
        </row>
        <row r="27">
          <cell r="O27">
            <v>9</v>
          </cell>
        </row>
        <row r="28">
          <cell r="O28">
            <v>2</v>
          </cell>
        </row>
        <row r="29">
          <cell r="O29">
            <v>26</v>
          </cell>
        </row>
        <row r="30">
          <cell r="O30">
            <v>14</v>
          </cell>
        </row>
        <row r="31">
          <cell r="O31">
            <v>3</v>
          </cell>
        </row>
        <row r="32">
          <cell r="O32">
            <v>7</v>
          </cell>
        </row>
      </sheetData>
      <sheetData sheetId="4">
        <row r="5">
          <cell r="B5">
            <v>13540982.630906796</v>
          </cell>
          <cell r="N5">
            <v>68269865.93287581</v>
          </cell>
          <cell r="AE5">
            <v>0.002637931141678651</v>
          </cell>
        </row>
        <row r="6">
          <cell r="B6">
            <v>0</v>
          </cell>
          <cell r="N6">
            <v>0</v>
          </cell>
        </row>
        <row r="7">
          <cell r="B7">
            <v>312404.4328118691</v>
          </cell>
          <cell r="N7">
            <v>1912027.2122512807</v>
          </cell>
          <cell r="AE7">
            <v>0</v>
          </cell>
        </row>
        <row r="8">
          <cell r="B8">
            <v>542206.2765174811</v>
          </cell>
          <cell r="N8">
            <v>3197722.4412921024</v>
          </cell>
          <cell r="AE8">
            <v>-0.0019279341807306727</v>
          </cell>
        </row>
        <row r="9">
          <cell r="B9">
            <v>0</v>
          </cell>
          <cell r="N9">
            <v>0</v>
          </cell>
        </row>
        <row r="10">
          <cell r="B10">
            <v>0</v>
          </cell>
          <cell r="N10">
            <v>0</v>
          </cell>
        </row>
        <row r="11">
          <cell r="B11">
            <v>295189.4519123259</v>
          </cell>
          <cell r="N11">
            <v>2186378.736441321</v>
          </cell>
        </row>
        <row r="12">
          <cell r="B12">
            <v>35840.887787507454</v>
          </cell>
          <cell r="N12">
            <v>355683.7353339638</v>
          </cell>
        </row>
        <row r="13">
          <cell r="B13">
            <v>4640512.061582832</v>
          </cell>
          <cell r="N13">
            <v>40695812.202099696</v>
          </cell>
          <cell r="AE13">
            <v>-0.006113821381123041</v>
          </cell>
        </row>
        <row r="14">
          <cell r="B14">
            <v>7666382.219653256</v>
          </cell>
          <cell r="N14">
            <v>69171003.1279286</v>
          </cell>
          <cell r="AE14">
            <v>-0.00047496286422288314</v>
          </cell>
        </row>
        <row r="15">
          <cell r="B15">
            <v>1215076.6220410476</v>
          </cell>
          <cell r="N15">
            <v>11145405.944295987</v>
          </cell>
        </row>
        <row r="16">
          <cell r="B16">
            <v>7065931.713794086</v>
          </cell>
          <cell r="N16">
            <v>64846684.746667236</v>
          </cell>
        </row>
        <row r="17">
          <cell r="B17">
            <v>685301.1218941817</v>
          </cell>
          <cell r="N17">
            <v>7397444.714474097</v>
          </cell>
        </row>
        <row r="18">
          <cell r="B18">
            <v>6401805.734326253</v>
          </cell>
          <cell r="N18">
            <v>65713893.06629774</v>
          </cell>
        </row>
        <row r="19">
          <cell r="B19">
            <v>102745.97814306631</v>
          </cell>
          <cell r="N19">
            <v>1611736.4</v>
          </cell>
        </row>
        <row r="20">
          <cell r="B20">
            <v>3785854.5049170284</v>
          </cell>
          <cell r="N20">
            <v>41657898.99999999</v>
          </cell>
        </row>
        <row r="21">
          <cell r="B21">
            <v>146368.21032681604</v>
          </cell>
          <cell r="N21">
            <v>2292275.3</v>
          </cell>
        </row>
        <row r="22">
          <cell r="B22">
            <v>5880815.091213087</v>
          </cell>
          <cell r="N22">
            <v>63265639.99999999</v>
          </cell>
        </row>
        <row r="23">
          <cell r="B23">
            <v>8976.671048683707</v>
          </cell>
          <cell r="N23">
            <v>147383.67815400532</v>
          </cell>
        </row>
        <row r="24">
          <cell r="B24">
            <v>73194.54828433038</v>
          </cell>
          <cell r="N24">
            <v>754167.8746683988</v>
          </cell>
        </row>
        <row r="25">
          <cell r="B25">
            <v>3671.8814212184757</v>
          </cell>
          <cell r="N25">
            <v>45236.38142121848</v>
          </cell>
        </row>
        <row r="26">
          <cell r="B26">
            <v>32503.25416666667</v>
          </cell>
          <cell r="N26">
            <v>383431.9611111111</v>
          </cell>
        </row>
        <row r="27">
          <cell r="B27">
            <v>38499.06666666668</v>
          </cell>
          <cell r="N27">
            <v>440200.3833333333</v>
          </cell>
        </row>
        <row r="28">
          <cell r="B28">
            <v>61245.6</v>
          </cell>
          <cell r="N28">
            <v>1142229.5999999996</v>
          </cell>
        </row>
        <row r="29">
          <cell r="B29">
            <v>4256556.672922276</v>
          </cell>
          <cell r="N29">
            <v>48728719</v>
          </cell>
        </row>
        <row r="30">
          <cell r="B30">
            <v>12241373.68572075</v>
          </cell>
          <cell r="N30">
            <v>134464513</v>
          </cell>
        </row>
        <row r="31">
          <cell r="B31">
            <v>6402662.396711641</v>
          </cell>
          <cell r="N31">
            <v>152002324.00399998</v>
          </cell>
        </row>
        <row r="32">
          <cell r="B32">
            <v>10121527.866333429</v>
          </cell>
          <cell r="N32">
            <v>299401991.9996</v>
          </cell>
        </row>
        <row r="42">
          <cell r="D42">
            <v>19230138.125313114</v>
          </cell>
        </row>
        <row r="43">
          <cell r="D43">
            <v>0</v>
          </cell>
        </row>
        <row r="44">
          <cell r="D44">
            <v>471740.03383280913</v>
          </cell>
        </row>
        <row r="45">
          <cell r="D45">
            <v>808683.1466251563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477387.6799491027</v>
          </cell>
        </row>
        <row r="49">
          <cell r="D49">
            <v>65481.19906533777</v>
          </cell>
        </row>
        <row r="50">
          <cell r="D50">
            <v>8031829.74509114</v>
          </cell>
        </row>
        <row r="51">
          <cell r="D51">
            <v>13430632.480313972</v>
          </cell>
        </row>
        <row r="52">
          <cell r="D52">
            <v>2143860.4507323797</v>
          </cell>
        </row>
        <row r="53">
          <cell r="D53">
            <v>12469822.10934969</v>
          </cell>
        </row>
        <row r="54">
          <cell r="D54">
            <v>1301754.8481003563</v>
          </cell>
        </row>
        <row r="55">
          <cell r="D55">
            <v>11877963.489851065</v>
          </cell>
        </row>
        <row r="56">
          <cell r="D56">
            <v>237057.34480973298</v>
          </cell>
        </row>
        <row r="57">
          <cell r="D57">
            <v>7257346.088250361</v>
          </cell>
        </row>
        <row r="58">
          <cell r="D58">
            <v>337391.1519934827</v>
          </cell>
        </row>
        <row r="59">
          <cell r="D59">
            <v>11152951.757879753</v>
          </cell>
        </row>
        <row r="60">
          <cell r="D60">
            <v>21258.644228184152</v>
          </cell>
        </row>
        <row r="61">
          <cell r="D61">
            <v>136041.87117336362</v>
          </cell>
        </row>
        <row r="62">
          <cell r="D62">
            <v>7441.579872986682</v>
          </cell>
        </row>
        <row r="63">
          <cell r="D63">
            <v>64455.917592592596</v>
          </cell>
        </row>
        <row r="64">
          <cell r="D64">
            <v>75182.43194444446</v>
          </cell>
        </row>
        <row r="65">
          <cell r="D65">
            <v>156431.39999999997</v>
          </cell>
        </row>
        <row r="66">
          <cell r="D66">
            <v>5124865.751563903</v>
          </cell>
        </row>
        <row r="67">
          <cell r="D67">
            <v>14265719.504763521</v>
          </cell>
        </row>
        <row r="68">
          <cell r="D68">
            <v>14267525.932844575</v>
          </cell>
        </row>
        <row r="69">
          <cell r="D69">
            <v>27480547.966550022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-1"/>
      <sheetName val="SCNew"/>
      <sheetName val="Fuel Rev"/>
      <sheetName val="Unbilled Fuel"/>
      <sheetName val="Actual 2007"/>
      <sheetName val="Plan 2009"/>
      <sheetName val="Plan 2009 New"/>
      <sheetName val="SO Hist"/>
      <sheetName val="SC"/>
    </sheetNames>
    <sheetDataSet>
      <sheetData sheetId="0">
        <row r="91">
          <cell r="C91">
            <v>63643430.01892853</v>
          </cell>
          <cell r="E91">
            <v>0</v>
          </cell>
          <cell r="F91">
            <v>153109.44</v>
          </cell>
          <cell r="G91">
            <v>115660.04871158625</v>
          </cell>
          <cell r="H91">
            <v>262975.68</v>
          </cell>
          <cell r="I91">
            <v>1944156.4328567716</v>
          </cell>
          <cell r="J91">
            <v>32238886.17771726</v>
          </cell>
          <cell r="K91">
            <v>18230013.95314589</v>
          </cell>
          <cell r="L91">
            <v>14717457.128718164</v>
          </cell>
          <cell r="M91">
            <v>7839570.599112001</v>
          </cell>
          <cell r="N91">
            <v>6691955.805273</v>
          </cell>
          <cell r="O91">
            <v>3568424.5221300004</v>
          </cell>
          <cell r="P91">
            <v>4773640.14786</v>
          </cell>
          <cell r="Q91">
            <v>1531163.2865200804</v>
          </cell>
          <cell r="R91">
            <v>66369.29483905534</v>
          </cell>
          <cell r="S91">
            <v>228758.61232966665</v>
          </cell>
          <cell r="T91">
            <v>6555854.985208858</v>
          </cell>
        </row>
        <row r="142">
          <cell r="C142">
            <v>4448652.082592917</v>
          </cell>
          <cell r="D142">
            <v>27140448.797301374</v>
          </cell>
          <cell r="E142">
            <v>30376835.18073396</v>
          </cell>
          <cell r="G142">
            <v>901551.5528224041</v>
          </cell>
          <cell r="I142">
            <v>8296450.228259446</v>
          </cell>
          <cell r="J142">
            <v>65430832.67584133</v>
          </cell>
          <cell r="K142">
            <v>124454784.49334837</v>
          </cell>
          <cell r="L142">
            <v>74743911.70722145</v>
          </cell>
          <cell r="M142">
            <v>43269635.39999999</v>
          </cell>
          <cell r="N142">
            <v>64790915.29999999</v>
          </cell>
          <cell r="O142">
            <v>48728719</v>
          </cell>
          <cell r="P142">
            <v>134464513</v>
          </cell>
          <cell r="Q142">
            <v>152002324.00399998</v>
          </cell>
          <cell r="R142">
            <v>428668.34253232955</v>
          </cell>
          <cell r="S142">
            <v>1582429.9833333336</v>
          </cell>
          <cell r="T142">
            <v>300168991.9996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E-7"/>
      <sheetName val="SCH-E7"/>
    </sheetNames>
    <sheetDataSet>
      <sheetData sheetId="0">
        <row r="39">
          <cell r="E39">
            <v>1</v>
          </cell>
          <cell r="G39">
            <v>1</v>
          </cell>
          <cell r="K39">
            <v>0.6657929226736566</v>
          </cell>
          <cell r="M39">
            <v>2.2083879423328963</v>
          </cell>
          <cell r="O39">
            <v>2.2083879423328963</v>
          </cell>
          <cell r="Q39">
            <v>3.54521625163827</v>
          </cell>
          <cell r="S39">
            <v>5.740498034076015</v>
          </cell>
          <cell r="U39">
            <v>11.697247706422019</v>
          </cell>
        </row>
        <row r="97">
          <cell r="G97">
            <v>14.102228047182175</v>
          </cell>
          <cell r="I97">
            <v>16.00262123197903</v>
          </cell>
          <cell r="K97">
            <v>16.00262123197903</v>
          </cell>
          <cell r="M97">
            <v>25.557011795543907</v>
          </cell>
          <cell r="O97">
            <v>33.42070773263434</v>
          </cell>
          <cell r="Q97">
            <v>12.496723460026212</v>
          </cell>
          <cell r="S97">
            <v>12.496723460026212</v>
          </cell>
          <cell r="U97">
            <v>33.42070773263434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CHH-1"/>
    </sheetNames>
    <sheetDataSet>
      <sheetData sheetId="0">
        <row r="355">
          <cell r="B355" t="str">
            <v>CONNECTION CHARGE-RESIDENTIAL</v>
          </cell>
          <cell r="G355">
            <v>1284801</v>
          </cell>
          <cell r="O355">
            <v>1835430</v>
          </cell>
        </row>
        <row r="356">
          <cell r="B356" t="str">
            <v>CONNECTION CHARGE-COMMERCIAL</v>
          </cell>
          <cell r="G356">
            <v>182886</v>
          </cell>
          <cell r="O356">
            <v>182886</v>
          </cell>
        </row>
        <row r="357">
          <cell r="B357" t="str">
            <v>RECONNECTION CHARGE-RESIDENTIAL</v>
          </cell>
          <cell r="G357">
            <v>1059992.824753785</v>
          </cell>
          <cell r="O357">
            <v>1236658.2955460825</v>
          </cell>
        </row>
        <row r="358">
          <cell r="B358" t="str">
            <v>RECONNECTION CHARGE-COMMERCIAL</v>
          </cell>
          <cell r="G358">
            <v>99124.17903865941</v>
          </cell>
          <cell r="O358">
            <v>99124.17903865942</v>
          </cell>
        </row>
        <row r="359">
          <cell r="B359" t="str">
            <v>COLLECTION IN LIEU OF DISCONNECT</v>
          </cell>
          <cell r="G359">
            <v>1385568.9962075555</v>
          </cell>
          <cell r="O359">
            <v>1385568.9962075555</v>
          </cell>
        </row>
        <row r="360">
          <cell r="B360" t="str">
            <v>CHANGE OF ACCOUNT</v>
          </cell>
          <cell r="G360">
            <v>436452</v>
          </cell>
          <cell r="O360">
            <v>611032.7999999999</v>
          </cell>
        </row>
        <row r="361">
          <cell r="B361" t="str">
            <v>RETURN CHECK CHARGE</v>
          </cell>
          <cell r="G361">
            <v>91903</v>
          </cell>
          <cell r="O361">
            <v>91903.39999999982</v>
          </cell>
        </row>
        <row r="362">
          <cell r="B362" t="str">
            <v>IT ADMINISTRATION CHARGE</v>
          </cell>
          <cell r="G362">
            <v>507999.9999999981</v>
          </cell>
          <cell r="O362">
            <v>507999.9999999981</v>
          </cell>
        </row>
        <row r="363">
          <cell r="B363" t="str">
            <v>POOL MANAGER CHARGES</v>
          </cell>
          <cell r="G363">
            <v>176355.99999999924</v>
          </cell>
          <cell r="O363">
            <v>174093.99999999924</v>
          </cell>
        </row>
        <row r="364">
          <cell r="B364" t="str">
            <v>FORFEITED DISCOUNTS</v>
          </cell>
          <cell r="G364">
            <v>862216.8</v>
          </cell>
          <cell r="O364">
            <v>862216.8</v>
          </cell>
        </row>
        <row r="365">
          <cell r="B365" t="str">
            <v>OTHER REVENUE (RENT)</v>
          </cell>
          <cell r="G365">
            <v>367614.12</v>
          </cell>
          <cell r="O365">
            <v>367614.12</v>
          </cell>
        </row>
        <row r="366">
          <cell r="B366" t="str">
            <v>TEMPORARY DISCONNECT CHARGE</v>
          </cell>
          <cell r="G366">
            <v>65755</v>
          </cell>
          <cell r="O366">
            <v>52604</v>
          </cell>
        </row>
        <row r="367">
          <cell r="B367" t="str">
            <v>FAILED TRIP CHARGE</v>
          </cell>
          <cell r="G367">
            <v>74028</v>
          </cell>
          <cell r="O367">
            <v>123380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HH-3"/>
      <sheetName val="Macro"/>
    </sheetNames>
    <sheetDataSet>
      <sheetData sheetId="0">
        <row r="30">
          <cell r="E30">
            <v>24436902.969265744</v>
          </cell>
        </row>
        <row r="89">
          <cell r="E89">
            <v>-11376651.93131837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H256">
            <v>0</v>
          </cell>
        </row>
        <row r="257">
          <cell r="C257">
            <v>72124723.48714302</v>
          </cell>
          <cell r="D257">
            <v>52093856.8456831</v>
          </cell>
          <cell r="E257">
            <v>20030866.64145994</v>
          </cell>
          <cell r="F257">
            <v>0</v>
          </cell>
        </row>
        <row r="258">
          <cell r="C258">
            <v>41853490.39821072</v>
          </cell>
          <cell r="D258">
            <v>14949490.736604176</v>
          </cell>
          <cell r="E258">
            <v>26903999.671113048</v>
          </cell>
        </row>
        <row r="259">
          <cell r="C259">
            <v>1040978.72</v>
          </cell>
          <cell r="D259">
            <v>0</v>
          </cell>
          <cell r="E259">
            <v>1040978.72</v>
          </cell>
        </row>
        <row r="260">
          <cell r="C260">
            <v>640000</v>
          </cell>
          <cell r="D260">
            <v>0</v>
          </cell>
          <cell r="E260">
            <v>640000</v>
          </cell>
        </row>
        <row r="261">
          <cell r="C261">
            <v>0</v>
          </cell>
          <cell r="D261">
            <v>0</v>
          </cell>
          <cell r="E261">
            <v>0</v>
          </cell>
        </row>
        <row r="262">
          <cell r="C262">
            <v>156624</v>
          </cell>
          <cell r="D262">
            <v>0</v>
          </cell>
          <cell r="E262">
            <v>156624</v>
          </cell>
        </row>
        <row r="263">
          <cell r="C263">
            <v>0</v>
          </cell>
          <cell r="D263">
            <v>0</v>
          </cell>
          <cell r="E263">
            <v>0</v>
          </cell>
        </row>
        <row r="264">
          <cell r="C264">
            <v>10831433.170899078</v>
          </cell>
          <cell r="D264">
            <v>3492835.003255436</v>
          </cell>
          <cell r="E264">
            <v>6285915.248520516</v>
          </cell>
          <cell r="H264">
            <v>1052682.921344249</v>
          </cell>
        </row>
        <row r="265">
          <cell r="C265">
            <v>-480321.33785999997</v>
          </cell>
          <cell r="D265">
            <v>-480321.33785999997</v>
          </cell>
          <cell r="E265">
            <v>0</v>
          </cell>
          <cell r="F265">
            <v>0</v>
          </cell>
          <cell r="H265">
            <v>0</v>
          </cell>
        </row>
        <row r="266">
          <cell r="C266">
            <v>47671804</v>
          </cell>
          <cell r="D266">
            <v>16671013.075499583</v>
          </cell>
          <cell r="E266">
            <v>31000790.935550403</v>
          </cell>
          <cell r="F266">
            <v>0</v>
          </cell>
        </row>
        <row r="267">
          <cell r="C267">
            <v>16720164.233336622</v>
          </cell>
          <cell r="D267">
            <v>5847105.692884105</v>
          </cell>
          <cell r="E267">
            <v>10873058.54432813</v>
          </cell>
          <cell r="F267">
            <v>0</v>
          </cell>
        </row>
        <row r="268">
          <cell r="C268">
            <v>-9746215.372888427</v>
          </cell>
          <cell r="D268">
            <v>-9746215.372888427</v>
          </cell>
          <cell r="E268">
            <v>0</v>
          </cell>
          <cell r="F268">
            <v>0</v>
          </cell>
          <cell r="H268">
            <v>0</v>
          </cell>
        </row>
        <row r="269">
          <cell r="C269">
            <v>190558896.67172945</v>
          </cell>
          <cell r="D269">
            <v>92573980.01606639</v>
          </cell>
          <cell r="E269">
            <v>96932233.76097202</v>
          </cell>
          <cell r="F269">
            <v>0</v>
          </cell>
          <cell r="H269">
            <v>1052682.921344249</v>
          </cell>
        </row>
        <row r="270">
          <cell r="C270">
            <v>560844755.0174366</v>
          </cell>
          <cell r="D270">
            <v>196129566.3201889</v>
          </cell>
          <cell r="E270">
            <v>364715188.82724756</v>
          </cell>
          <cell r="F270">
            <v>0</v>
          </cell>
        </row>
        <row r="275">
          <cell r="C275">
            <v>52392755.73692308</v>
          </cell>
          <cell r="D275">
            <v>52392755.73692308</v>
          </cell>
        </row>
        <row r="276">
          <cell r="C276">
            <v>16073220.197692307</v>
          </cell>
          <cell r="D276">
            <v>16073220.197692307</v>
          </cell>
        </row>
        <row r="277">
          <cell r="C277">
            <v>5665904.940769236</v>
          </cell>
          <cell r="D277">
            <v>5665904.940769236</v>
          </cell>
          <cell r="E277">
            <v>0</v>
          </cell>
        </row>
        <row r="278">
          <cell r="C278">
            <v>318009500.1069234</v>
          </cell>
          <cell r="D278">
            <v>0</v>
          </cell>
          <cell r="E278">
            <v>318009500.1069234</v>
          </cell>
          <cell r="F278">
            <v>0</v>
          </cell>
        </row>
        <row r="279">
          <cell r="C279">
            <v>110383151.00230762</v>
          </cell>
          <cell r="D279">
            <v>110383151.00230762</v>
          </cell>
        </row>
        <row r="280">
          <cell r="C280">
            <v>4718680.2046153825</v>
          </cell>
          <cell r="D280">
            <v>0</v>
          </cell>
          <cell r="E280">
            <v>4718680.204615382</v>
          </cell>
          <cell r="F280">
            <v>0</v>
          </cell>
        </row>
        <row r="283">
          <cell r="C283">
            <v>630097.2658663499</v>
          </cell>
          <cell r="D283">
            <v>630097.2658663499</v>
          </cell>
          <cell r="E283">
            <v>0</v>
          </cell>
          <cell r="F283">
            <v>0</v>
          </cell>
          <cell r="H283">
            <v>0</v>
          </cell>
        </row>
        <row r="284">
          <cell r="C284">
            <v>-4062.2332799999986</v>
          </cell>
          <cell r="D284">
            <v>-4062.2332799999986</v>
          </cell>
          <cell r="E284">
            <v>0</v>
          </cell>
          <cell r="F284">
            <v>0</v>
          </cell>
          <cell r="H284">
            <v>0</v>
          </cell>
        </row>
        <row r="285">
          <cell r="C285">
            <v>3093303.72349818</v>
          </cell>
          <cell r="D285">
            <v>3093303.72349818</v>
          </cell>
          <cell r="E285">
            <v>0</v>
          </cell>
          <cell r="F285">
            <v>0</v>
          </cell>
        </row>
        <row r="286">
          <cell r="C286">
            <v>459123.2023674</v>
          </cell>
          <cell r="D286">
            <v>459123.2023674</v>
          </cell>
          <cell r="E286">
            <v>0</v>
          </cell>
        </row>
        <row r="287">
          <cell r="C287">
            <v>457928.32182849</v>
          </cell>
          <cell r="D287">
            <v>457928.32182849</v>
          </cell>
          <cell r="E287">
            <v>0</v>
          </cell>
          <cell r="F287">
            <v>0</v>
          </cell>
        </row>
        <row r="288">
          <cell r="C288">
            <v>6596577.85089246</v>
          </cell>
          <cell r="D288">
            <v>1865591.7567252892</v>
          </cell>
          <cell r="E288">
            <v>4730986.094167171</v>
          </cell>
          <cell r="F288">
            <v>0</v>
          </cell>
        </row>
        <row r="289">
          <cell r="C289">
            <v>2272843.61551217</v>
          </cell>
          <cell r="D289">
            <v>0</v>
          </cell>
          <cell r="E289">
            <v>2272843.61551217</v>
          </cell>
          <cell r="F289">
            <v>0</v>
          </cell>
        </row>
        <row r="290">
          <cell r="C290">
            <v>1573000</v>
          </cell>
          <cell r="D290">
            <v>1573000</v>
          </cell>
          <cell r="E290">
            <v>0</v>
          </cell>
          <cell r="F290">
            <v>0</v>
          </cell>
          <cell r="H290">
            <v>0</v>
          </cell>
        </row>
        <row r="291">
          <cell r="C291">
            <v>5815707.0115013495</v>
          </cell>
          <cell r="D291">
            <v>5815707.0115013495</v>
          </cell>
          <cell r="E291">
            <v>0</v>
          </cell>
          <cell r="F291">
            <v>0</v>
          </cell>
          <cell r="H29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3">
          <cell r="P13">
            <v>1500000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J889"/>
  <sheetViews>
    <sheetView tabSelected="1" view="pageBreakPreview" zoomScale="75" zoomScaleNormal="75" zoomScaleSheetLayoutView="75" zoomScalePageLayoutView="0" workbookViewId="0" topLeftCell="A100">
      <selection activeCell="C428" sqref="C428"/>
    </sheetView>
  </sheetViews>
  <sheetFormatPr defaultColWidth="5.77734375" defaultRowHeight="15.75"/>
  <cols>
    <col min="1" max="1" width="9.88671875" style="124" customWidth="1"/>
    <col min="2" max="2" width="43.21484375" style="124" customWidth="1"/>
    <col min="3" max="3" width="16.6640625" style="124" customWidth="1"/>
    <col min="4" max="4" width="0.9921875" style="124" customWidth="1"/>
    <col min="5" max="5" width="15.3359375" style="124" customWidth="1"/>
    <col min="6" max="6" width="0.9921875" style="124" customWidth="1"/>
    <col min="7" max="7" width="15.3359375" style="124" customWidth="1"/>
    <col min="8" max="8" width="0.9921875" style="124" customWidth="1"/>
    <col min="9" max="9" width="15.3359375" style="124" customWidth="1"/>
    <col min="10" max="10" width="0.9921875" style="124" customWidth="1"/>
    <col min="11" max="11" width="15.3359375" style="124" customWidth="1"/>
    <col min="12" max="12" width="0.9921875" style="124" customWidth="1"/>
    <col min="13" max="13" width="15.3359375" style="124" customWidth="1"/>
    <col min="14" max="14" width="0.9921875" style="124" customWidth="1"/>
    <col min="15" max="15" width="15.3359375" style="124" customWidth="1"/>
    <col min="16" max="16" width="1.33203125" style="124" customWidth="1"/>
    <col min="17" max="17" width="15.3359375" style="124" customWidth="1"/>
    <col min="18" max="18" width="0.9921875" style="124" customWidth="1"/>
    <col min="19" max="19" width="15.3359375" style="124" customWidth="1"/>
    <col min="20" max="20" width="1.88671875" style="124" customWidth="1"/>
    <col min="21" max="21" width="15.3359375" style="124" customWidth="1"/>
    <col min="22" max="22" width="0.78125" style="124" customWidth="1"/>
    <col min="23" max="23" width="15.3359375" style="124" customWidth="1"/>
    <col min="24" max="24" width="0.9921875" style="124" customWidth="1"/>
    <col min="25" max="25" width="15.3359375" style="124" customWidth="1"/>
    <col min="26" max="26" width="0.9921875" style="124" customWidth="1"/>
    <col min="27" max="27" width="15.3359375" style="124" customWidth="1"/>
    <col min="28" max="28" width="0.9921875" style="124" customWidth="1"/>
    <col min="29" max="29" width="15.3359375" style="124" customWidth="1"/>
    <col min="30" max="30" width="0.9921875" style="124" customWidth="1"/>
    <col min="31" max="31" width="15.3359375" style="124" customWidth="1"/>
    <col min="32" max="32" width="0.9921875" style="124" customWidth="1"/>
    <col min="33" max="33" width="15.3359375" style="124" customWidth="1"/>
    <col min="34" max="34" width="0.9921875" style="124" customWidth="1"/>
    <col min="35" max="35" width="17.77734375" style="124" customWidth="1"/>
    <col min="36" max="36" width="1.1171875" style="124" customWidth="1"/>
    <col min="37" max="37" width="13.21484375" style="125" customWidth="1"/>
    <col min="38" max="38" width="12.99609375" style="1" customWidth="1"/>
    <col min="39" max="39" width="5.77734375" style="1" customWidth="1"/>
    <col min="40" max="40" width="13.3359375" style="1" customWidth="1"/>
    <col min="41" max="42" width="4.77734375" style="1" customWidth="1"/>
    <col min="43" max="43" width="9.77734375" style="1" customWidth="1"/>
    <col min="44" max="44" width="7.4453125" style="1" customWidth="1"/>
    <col min="45" max="45" width="9.77734375" style="1" customWidth="1"/>
    <col min="46" max="46" width="7.4453125" style="1" customWidth="1"/>
    <col min="47" max="47" width="12.88671875" style="1" customWidth="1"/>
    <col min="48" max="48" width="8.3359375" style="1" customWidth="1"/>
    <col min="49" max="49" width="8.4453125" style="1" customWidth="1"/>
    <col min="50" max="16384" width="5.77734375" style="1" customWidth="1"/>
  </cols>
  <sheetData>
    <row r="1" spans="1:50" ht="15" thickBot="1">
      <c r="A1" s="105"/>
      <c r="B1" s="106" t="s">
        <v>225</v>
      </c>
      <c r="C1" s="105"/>
      <c r="D1" s="105"/>
      <c r="E1" s="105"/>
      <c r="F1" s="105"/>
      <c r="G1" s="105"/>
      <c r="H1" s="105"/>
      <c r="I1" s="107" t="s">
        <v>121</v>
      </c>
      <c r="J1" s="105"/>
      <c r="K1" s="105"/>
      <c r="L1" s="105"/>
      <c r="M1" s="105"/>
      <c r="N1" s="105"/>
      <c r="O1" s="106"/>
      <c r="P1" s="106" t="s">
        <v>190</v>
      </c>
      <c r="Q1" s="106"/>
      <c r="R1" s="122"/>
      <c r="S1" s="122"/>
      <c r="T1" s="48"/>
      <c r="U1" s="48"/>
      <c r="V1" s="58"/>
      <c r="W1" s="8"/>
      <c r="X1" s="8"/>
      <c r="Y1" s="8"/>
      <c r="Z1" s="8"/>
      <c r="AA1" s="8"/>
      <c r="AB1" s="8"/>
      <c r="AC1" s="8"/>
      <c r="AD1" s="8"/>
      <c r="AE1" s="11"/>
      <c r="AF1" s="8"/>
      <c r="AG1" s="8"/>
      <c r="AH1" s="8"/>
      <c r="AI1" s="8"/>
      <c r="AJ1" s="8"/>
      <c r="AK1" s="5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4.75" customHeight="1">
      <c r="A2" s="102"/>
      <c r="B2" s="103" t="s">
        <v>0</v>
      </c>
      <c r="C2" s="102"/>
      <c r="D2" s="102"/>
      <c r="E2" s="102"/>
      <c r="F2" s="102"/>
      <c r="G2" s="102"/>
      <c r="H2" s="102"/>
      <c r="I2" s="104"/>
      <c r="J2" s="102"/>
      <c r="K2" s="123"/>
      <c r="L2" s="123"/>
      <c r="M2" s="123"/>
      <c r="N2" s="102"/>
      <c r="O2" s="102"/>
      <c r="P2" s="102" t="s">
        <v>1</v>
      </c>
      <c r="Q2" s="102"/>
      <c r="R2" s="123"/>
      <c r="S2" s="123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11"/>
      <c r="AI2" s="8"/>
      <c r="AJ2" s="8"/>
      <c r="AK2" s="5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15">
      <c r="A3" s="8"/>
      <c r="B3" s="50" t="s">
        <v>93</v>
      </c>
      <c r="C3" s="8"/>
      <c r="D3" s="8"/>
      <c r="E3" s="8"/>
      <c r="F3" s="8"/>
      <c r="G3" s="8"/>
      <c r="H3" s="8"/>
      <c r="I3" s="49" t="s">
        <v>191</v>
      </c>
      <c r="J3" s="8"/>
      <c r="N3" s="8"/>
      <c r="O3" s="11"/>
      <c r="P3" s="11" t="s">
        <v>189</v>
      </c>
      <c r="Q3" s="11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11"/>
      <c r="AF3" s="8"/>
      <c r="AG3" s="8"/>
      <c r="AH3" s="8"/>
      <c r="AI3" s="8"/>
      <c r="AJ3" s="8"/>
      <c r="AK3" s="5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5">
      <c r="A4" s="8"/>
      <c r="B4" s="50" t="s">
        <v>138</v>
      </c>
      <c r="C4" s="8"/>
      <c r="D4" s="8"/>
      <c r="E4" s="8"/>
      <c r="F4" s="8"/>
      <c r="G4" s="8"/>
      <c r="H4" s="8"/>
      <c r="I4" s="49" t="s">
        <v>192</v>
      </c>
      <c r="J4" s="8"/>
      <c r="N4" s="8"/>
      <c r="O4" s="50"/>
      <c r="P4" s="50" t="s">
        <v>137</v>
      </c>
      <c r="Q4" s="5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50"/>
      <c r="AF4" s="8"/>
      <c r="AG4" s="8"/>
      <c r="AH4" s="8"/>
      <c r="AI4" s="8"/>
      <c r="AJ4" s="8"/>
      <c r="AK4" s="5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5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09"/>
      <c r="P5" s="109"/>
      <c r="Q5" s="109"/>
      <c r="R5" s="125"/>
      <c r="S5" s="125"/>
      <c r="T5" s="8"/>
      <c r="U5" s="8"/>
      <c r="V5" s="58"/>
      <c r="W5" s="8"/>
      <c r="X5" s="8"/>
      <c r="Y5" s="8"/>
      <c r="Z5" s="8"/>
      <c r="AA5" s="8"/>
      <c r="AB5" s="8"/>
      <c r="AC5" s="8"/>
      <c r="AD5" s="8"/>
      <c r="AE5" s="50"/>
      <c r="AF5" s="8"/>
      <c r="AG5" s="8"/>
      <c r="AH5" s="8"/>
      <c r="AI5" s="8"/>
      <c r="AJ5" s="8"/>
      <c r="AK5" s="5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24.75" customHeight="1">
      <c r="A6" s="102"/>
      <c r="B6" s="102"/>
      <c r="C6" s="102"/>
      <c r="D6" s="102"/>
      <c r="E6" s="102"/>
      <c r="F6" s="102"/>
      <c r="G6" s="102"/>
      <c r="H6" s="102"/>
      <c r="I6" s="110" t="s">
        <v>76</v>
      </c>
      <c r="J6" s="102"/>
      <c r="K6" s="102"/>
      <c r="L6" s="102"/>
      <c r="M6" s="102"/>
      <c r="N6" s="102"/>
      <c r="O6" s="123"/>
      <c r="P6" s="123"/>
      <c r="Q6" s="102"/>
      <c r="R6" s="102"/>
      <c r="S6" s="102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5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5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5.75" customHeight="1">
      <c r="A9" s="8"/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5.75" customHeight="1">
      <c r="A11" s="16" t="s">
        <v>92</v>
      </c>
      <c r="C11" s="126"/>
      <c r="D11" s="126"/>
      <c r="E11" s="16" t="s">
        <v>3</v>
      </c>
      <c r="F11" s="16"/>
      <c r="G11" s="16"/>
      <c r="H11" s="16"/>
      <c r="I11" s="16" t="s">
        <v>4</v>
      </c>
      <c r="J11" s="16"/>
      <c r="K11" s="16" t="s">
        <v>5</v>
      </c>
      <c r="L11" s="16"/>
      <c r="M11" s="16" t="s">
        <v>6</v>
      </c>
      <c r="N11" s="16"/>
      <c r="O11" s="16" t="s">
        <v>7</v>
      </c>
      <c r="R11" s="127"/>
      <c r="S11" s="127"/>
      <c r="T11" s="127"/>
      <c r="U11" s="8"/>
      <c r="V11" s="127"/>
      <c r="W11" s="127"/>
      <c r="X11" s="127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5.75" customHeight="1">
      <c r="A12" s="1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R12" s="127"/>
      <c r="S12" s="127"/>
      <c r="T12" s="127"/>
      <c r="U12" s="8"/>
      <c r="V12" s="127"/>
      <c r="W12" s="127"/>
      <c r="X12" s="127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5.75" customHeight="1">
      <c r="A13" s="15">
        <v>1</v>
      </c>
      <c r="B13" s="128" t="s">
        <v>2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R13" s="127"/>
      <c r="S13" s="127"/>
      <c r="T13" s="127"/>
      <c r="U13" s="8"/>
      <c r="V13" s="127"/>
      <c r="W13" s="127"/>
      <c r="X13" s="127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5.75" customHeight="1">
      <c r="A14" s="15">
        <f>+A13+1</f>
        <v>2</v>
      </c>
      <c r="B14" s="129" t="s">
        <v>8</v>
      </c>
      <c r="E14" s="39">
        <f>'[6]SCHH-3'!$C$256</f>
        <v>0</v>
      </c>
      <c r="F14" s="39"/>
      <c r="G14" s="39"/>
      <c r="H14" s="39"/>
      <c r="I14" s="39">
        <f>'[6]SCHH-3'!$D256</f>
        <v>0</v>
      </c>
      <c r="J14" s="39"/>
      <c r="K14" s="39">
        <f>'[6]SCHH-3'!$E256</f>
        <v>0</v>
      </c>
      <c r="L14" s="39"/>
      <c r="M14" s="39">
        <f>'[6]SCHH-3'!$F256</f>
        <v>0</v>
      </c>
      <c r="N14" s="39"/>
      <c r="O14" s="39">
        <f>'[6]SCHH-3'!$H256</f>
        <v>0</v>
      </c>
      <c r="R14" s="39"/>
      <c r="S14" s="39"/>
      <c r="T14" s="39"/>
      <c r="U14" s="8"/>
      <c r="W14" s="130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5.75" customHeight="1">
      <c r="A15" s="15">
        <f aca="true" t="shared" si="0" ref="A15:A28">+A14+1</f>
        <v>3</v>
      </c>
      <c r="B15" s="129" t="s">
        <v>9</v>
      </c>
      <c r="E15" s="39">
        <f>'[6]SCHH-3'!$C$257</f>
        <v>72124723.48714302</v>
      </c>
      <c r="F15" s="39"/>
      <c r="G15" s="39"/>
      <c r="H15" s="39"/>
      <c r="I15" s="39">
        <f>'[6]SCHH-3'!$D257</f>
        <v>52093856.8456831</v>
      </c>
      <c r="J15" s="39"/>
      <c r="K15" s="39">
        <f>'[6]SCHH-3'!$E257</f>
        <v>20030866.64145994</v>
      </c>
      <c r="L15" s="39"/>
      <c r="M15" s="39">
        <f>'[6]SCHH-3'!$F257</f>
        <v>0</v>
      </c>
      <c r="N15" s="39"/>
      <c r="O15" s="39">
        <f>'[6]SCHH-3'!$H257</f>
        <v>0</v>
      </c>
      <c r="R15" s="39"/>
      <c r="S15" s="39"/>
      <c r="T15" s="39"/>
      <c r="U15" s="8"/>
      <c r="W15" s="130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5.75" customHeight="1">
      <c r="A16" s="15">
        <f t="shared" si="0"/>
        <v>4</v>
      </c>
      <c r="B16" s="129" t="s">
        <v>78</v>
      </c>
      <c r="E16" s="39">
        <f>'[6]SCHH-3'!$C$258</f>
        <v>41853490.39821072</v>
      </c>
      <c r="F16" s="39"/>
      <c r="G16" s="39"/>
      <c r="H16" s="39"/>
      <c r="I16" s="39">
        <f>'[6]SCHH-3'!$D258</f>
        <v>14949490.736604176</v>
      </c>
      <c r="J16" s="39"/>
      <c r="K16" s="39">
        <f>'[6]SCHH-3'!$E258</f>
        <v>26903999.671113048</v>
      </c>
      <c r="L16" s="39"/>
      <c r="M16" s="39">
        <f>'[6]SCHH-3'!$F258</f>
        <v>0</v>
      </c>
      <c r="N16" s="39"/>
      <c r="O16" s="39">
        <f>'[6]SCHH-3'!$H258</f>
        <v>0</v>
      </c>
      <c r="R16" s="39"/>
      <c r="S16" s="39"/>
      <c r="T16" s="39"/>
      <c r="U16" s="8"/>
      <c r="W16" s="130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5.75" customHeight="1">
      <c r="A17" s="15">
        <f t="shared" si="0"/>
        <v>5</v>
      </c>
      <c r="B17" s="129" t="s">
        <v>10</v>
      </c>
      <c r="E17" s="39">
        <f>'[6]SCHH-3'!$C$259</f>
        <v>1040978.72</v>
      </c>
      <c r="F17" s="39"/>
      <c r="G17" s="39"/>
      <c r="H17" s="39"/>
      <c r="I17" s="39">
        <f>'[6]SCHH-3'!$D259</f>
        <v>0</v>
      </c>
      <c r="J17" s="39"/>
      <c r="K17" s="39">
        <f>'[6]SCHH-3'!$E259</f>
        <v>1040978.72</v>
      </c>
      <c r="L17" s="39"/>
      <c r="M17" s="39">
        <f>'[6]SCHH-3'!$F259</f>
        <v>0</v>
      </c>
      <c r="N17" s="39"/>
      <c r="O17" s="39">
        <f>'[6]SCHH-3'!$H259</f>
        <v>0</v>
      </c>
      <c r="R17" s="39"/>
      <c r="S17" s="39"/>
      <c r="T17" s="39"/>
      <c r="U17" s="8"/>
      <c r="W17" s="130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5.75" customHeight="1">
      <c r="A18" s="15">
        <f t="shared" si="0"/>
        <v>6</v>
      </c>
      <c r="B18" s="129" t="s">
        <v>131</v>
      </c>
      <c r="E18" s="39">
        <f>'[6]SCHH-3'!$C$260</f>
        <v>640000</v>
      </c>
      <c r="F18" s="39"/>
      <c r="G18" s="39"/>
      <c r="H18" s="39"/>
      <c r="I18" s="39">
        <f>'[6]SCHH-3'!$D260</f>
        <v>0</v>
      </c>
      <c r="J18" s="39"/>
      <c r="K18" s="39">
        <f>'[6]SCHH-3'!$E260</f>
        <v>640000</v>
      </c>
      <c r="L18" s="39"/>
      <c r="M18" s="39">
        <f>'[6]SCHH-3'!$F260</f>
        <v>0</v>
      </c>
      <c r="N18" s="39"/>
      <c r="O18" s="39">
        <f>'[6]SCHH-3'!$H260</f>
        <v>0</v>
      </c>
      <c r="R18" s="39"/>
      <c r="S18" s="39"/>
      <c r="T18" s="39"/>
      <c r="U18" s="8"/>
      <c r="W18" s="130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5.75" customHeight="1">
      <c r="A19" s="15">
        <f t="shared" si="0"/>
        <v>7</v>
      </c>
      <c r="B19" s="129" t="s">
        <v>11</v>
      </c>
      <c r="E19" s="39">
        <f>'[6]SCHH-3'!$C$261</f>
        <v>0</v>
      </c>
      <c r="F19" s="39"/>
      <c r="G19" s="39"/>
      <c r="H19" s="39"/>
      <c r="I19" s="39">
        <f>'[6]SCHH-3'!$D261</f>
        <v>0</v>
      </c>
      <c r="J19" s="39"/>
      <c r="K19" s="39">
        <f>'[6]SCHH-3'!$E261</f>
        <v>0</v>
      </c>
      <c r="L19" s="39"/>
      <c r="M19" s="39">
        <f>'[6]SCHH-3'!$F261</f>
        <v>0</v>
      </c>
      <c r="N19" s="39"/>
      <c r="O19" s="39">
        <f>'[6]SCHH-3'!$H261</f>
        <v>0</v>
      </c>
      <c r="R19" s="39"/>
      <c r="S19" s="39"/>
      <c r="T19" s="39"/>
      <c r="U19" s="8"/>
      <c r="W19" s="130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5.75" customHeight="1">
      <c r="A20" s="15">
        <f t="shared" si="0"/>
        <v>8</v>
      </c>
      <c r="B20" s="129" t="s">
        <v>12</v>
      </c>
      <c r="E20" s="39">
        <f>'[6]SCHH-3'!$C$262</f>
        <v>156624</v>
      </c>
      <c r="F20" s="39"/>
      <c r="G20" s="39"/>
      <c r="H20" s="39"/>
      <c r="I20" s="39">
        <f>'[6]SCHH-3'!$D262</f>
        <v>0</v>
      </c>
      <c r="J20" s="39"/>
      <c r="K20" s="39">
        <f>'[6]SCHH-3'!$E262</f>
        <v>156624</v>
      </c>
      <c r="L20" s="39"/>
      <c r="M20" s="39">
        <f>'[6]SCHH-3'!$F262</f>
        <v>0</v>
      </c>
      <c r="N20" s="39"/>
      <c r="O20" s="39">
        <f>'[6]SCHH-3'!$H262</f>
        <v>0</v>
      </c>
      <c r="R20" s="39"/>
      <c r="S20" s="39"/>
      <c r="T20" s="39"/>
      <c r="U20" s="8"/>
      <c r="W20" s="130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5.75" customHeight="1">
      <c r="A21" s="15">
        <f t="shared" si="0"/>
        <v>9</v>
      </c>
      <c r="B21" s="129" t="s">
        <v>13</v>
      </c>
      <c r="E21" s="39">
        <f>'[6]SCHH-3'!$C$263</f>
        <v>0</v>
      </c>
      <c r="F21" s="39"/>
      <c r="G21" s="39"/>
      <c r="H21" s="39"/>
      <c r="I21" s="39">
        <f>'[6]SCHH-3'!$D263</f>
        <v>0</v>
      </c>
      <c r="J21" s="39"/>
      <c r="K21" s="39">
        <f>'[6]SCHH-3'!$E263</f>
        <v>0</v>
      </c>
      <c r="L21" s="39"/>
      <c r="M21" s="39">
        <f>'[6]SCHH-3'!$F263</f>
        <v>0</v>
      </c>
      <c r="N21" s="39"/>
      <c r="O21" s="39">
        <f>'[6]SCHH-3'!$H263</f>
        <v>0</v>
      </c>
      <c r="R21" s="39"/>
      <c r="S21" s="39"/>
      <c r="T21" s="39"/>
      <c r="U21" s="8"/>
      <c r="W21" s="130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5.75" customHeight="1">
      <c r="A22" s="15">
        <f t="shared" si="0"/>
        <v>10</v>
      </c>
      <c r="B22" s="129" t="s">
        <v>14</v>
      </c>
      <c r="E22" s="39">
        <f>'[6]SCHH-3'!$C$264</f>
        <v>10831433.170899078</v>
      </c>
      <c r="F22" s="39"/>
      <c r="G22" s="39"/>
      <c r="H22" s="39"/>
      <c r="I22" s="39">
        <f>'[6]SCHH-3'!$D264</f>
        <v>3492835.003255436</v>
      </c>
      <c r="J22" s="39"/>
      <c r="K22" s="39">
        <f>'[6]SCHH-3'!$E264</f>
        <v>6285915.248520516</v>
      </c>
      <c r="L22" s="39"/>
      <c r="M22" s="39">
        <f>'[6]SCHH-3'!$F264</f>
        <v>0</v>
      </c>
      <c r="N22" s="39"/>
      <c r="O22" s="39">
        <f>'[6]SCHH-3'!$H264</f>
        <v>1052682.921344249</v>
      </c>
      <c r="R22" s="39"/>
      <c r="S22" s="39"/>
      <c r="T22" s="39"/>
      <c r="U22" s="8"/>
      <c r="W22" s="130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5.75" customHeight="1">
      <c r="A23" s="15">
        <f t="shared" si="0"/>
        <v>11</v>
      </c>
      <c r="B23" s="129" t="s">
        <v>193</v>
      </c>
      <c r="E23" s="39">
        <f>'[6]SCHH-3'!$C$265</f>
        <v>-480321.33785999997</v>
      </c>
      <c r="F23" s="39"/>
      <c r="G23" s="39"/>
      <c r="H23" s="39"/>
      <c r="I23" s="39">
        <f>'[6]SCHH-3'!$D265</f>
        <v>-480321.33785999997</v>
      </c>
      <c r="J23" s="39"/>
      <c r="K23" s="39">
        <f>'[6]SCHH-3'!$E265</f>
        <v>0</v>
      </c>
      <c r="L23" s="39"/>
      <c r="M23" s="39">
        <f>'[6]SCHH-3'!$F265</f>
        <v>0</v>
      </c>
      <c r="N23" s="39"/>
      <c r="O23" s="39">
        <f>'[6]SCHH-3'!$H265</f>
        <v>0</v>
      </c>
      <c r="R23" s="39"/>
      <c r="S23" s="39"/>
      <c r="T23" s="39"/>
      <c r="U23" s="8"/>
      <c r="W23" s="130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5.75" customHeight="1">
      <c r="A24" s="15">
        <f t="shared" si="0"/>
        <v>12</v>
      </c>
      <c r="B24" s="129" t="s">
        <v>15</v>
      </c>
      <c r="E24" s="39">
        <f>'[6]SCHH-3'!$C$266</f>
        <v>47671804</v>
      </c>
      <c r="F24" s="39"/>
      <c r="G24" s="39"/>
      <c r="H24" s="39"/>
      <c r="I24" s="39">
        <f>'[6]SCHH-3'!$D266</f>
        <v>16671013.075499583</v>
      </c>
      <c r="J24" s="39"/>
      <c r="K24" s="39">
        <f>'[6]SCHH-3'!$E266</f>
        <v>31000790.935550403</v>
      </c>
      <c r="L24" s="39"/>
      <c r="M24" s="39">
        <f>'[6]SCHH-3'!$F266</f>
        <v>0</v>
      </c>
      <c r="N24" s="39"/>
      <c r="O24" s="39">
        <f>'[6]SCHH-3'!$H266</f>
        <v>0</v>
      </c>
      <c r="R24" s="39"/>
      <c r="S24" s="39"/>
      <c r="T24" s="39"/>
      <c r="U24" s="8"/>
      <c r="W24" s="130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5.75" customHeight="1">
      <c r="A25" s="15">
        <f t="shared" si="0"/>
        <v>13</v>
      </c>
      <c r="B25" s="129" t="s">
        <v>16</v>
      </c>
      <c r="E25" s="39">
        <f>'[6]SCHH-3'!$C$267</f>
        <v>16720164.233336622</v>
      </c>
      <c r="F25" s="39"/>
      <c r="G25" s="39"/>
      <c r="H25" s="39"/>
      <c r="I25" s="39">
        <f>'[6]SCHH-3'!$D267</f>
        <v>5847105.692884105</v>
      </c>
      <c r="J25" s="39"/>
      <c r="K25" s="39">
        <f>'[6]SCHH-3'!$E267</f>
        <v>10873058.54432813</v>
      </c>
      <c r="L25" s="39"/>
      <c r="M25" s="39">
        <f>'[6]SCHH-3'!$F267</f>
        <v>0</v>
      </c>
      <c r="N25" s="39"/>
      <c r="O25" s="39">
        <f>'[6]SCHH-3'!$H267</f>
        <v>0</v>
      </c>
      <c r="R25" s="39"/>
      <c r="S25" s="39"/>
      <c r="T25" s="39"/>
      <c r="U25" s="8"/>
      <c r="W25" s="130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5.75" customHeight="1">
      <c r="A26" s="15">
        <f t="shared" si="0"/>
        <v>14</v>
      </c>
      <c r="B26" s="129" t="s">
        <v>17</v>
      </c>
      <c r="E26" s="39">
        <f>'[6]SCHH-3'!$C$268</f>
        <v>-9746215.372888427</v>
      </c>
      <c r="F26" s="39"/>
      <c r="G26" s="39"/>
      <c r="H26" s="39"/>
      <c r="I26" s="39">
        <f>'[6]SCHH-3'!$D268</f>
        <v>-9746215.372888427</v>
      </c>
      <c r="J26" s="39"/>
      <c r="K26" s="39">
        <f>'[6]SCHH-3'!$E268</f>
        <v>0</v>
      </c>
      <c r="L26" s="39"/>
      <c r="M26" s="39">
        <f>'[6]SCHH-3'!$F268</f>
        <v>0</v>
      </c>
      <c r="N26" s="39"/>
      <c r="O26" s="39">
        <f>'[6]SCHH-3'!$H268</f>
        <v>0</v>
      </c>
      <c r="R26" s="39"/>
      <c r="S26" s="39"/>
      <c r="T26" s="39"/>
      <c r="U26" s="8"/>
      <c r="W26" s="130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5.75" customHeight="1">
      <c r="A27" s="15">
        <f t="shared" si="0"/>
        <v>15</v>
      </c>
      <c r="B27" s="129" t="s">
        <v>18</v>
      </c>
      <c r="E27" s="39">
        <f>'[6]SCHH-3'!$C$269</f>
        <v>190558896.67172945</v>
      </c>
      <c r="F27" s="39"/>
      <c r="G27" s="39"/>
      <c r="H27" s="39"/>
      <c r="I27" s="39">
        <f>'[6]SCHH-3'!$D269</f>
        <v>92573980.01606639</v>
      </c>
      <c r="J27" s="39"/>
      <c r="K27" s="39">
        <f>'[6]SCHH-3'!$E269</f>
        <v>96932233.76097202</v>
      </c>
      <c r="L27" s="39"/>
      <c r="M27" s="39">
        <f>'[6]SCHH-3'!$F269</f>
        <v>0</v>
      </c>
      <c r="N27" s="39"/>
      <c r="O27" s="39">
        <f>'[6]SCHH-3'!$H269</f>
        <v>1052682.921344249</v>
      </c>
      <c r="R27" s="39"/>
      <c r="S27" s="39"/>
      <c r="T27" s="39"/>
      <c r="U27" s="8"/>
      <c r="W27" s="130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5.75" customHeight="1">
      <c r="A28" s="15">
        <f t="shared" si="0"/>
        <v>16</v>
      </c>
      <c r="B28" s="129" t="s">
        <v>19</v>
      </c>
      <c r="E28" s="39">
        <f>'[6]SCHH-3'!$C$270</f>
        <v>560844755.0174366</v>
      </c>
      <c r="F28" s="39"/>
      <c r="G28" s="39"/>
      <c r="H28" s="39"/>
      <c r="I28" s="39">
        <f>'[6]SCHH-3'!$D270</f>
        <v>196129566.3201889</v>
      </c>
      <c r="J28" s="39"/>
      <c r="K28" s="39">
        <f>'[6]SCHH-3'!$E270</f>
        <v>364715188.82724756</v>
      </c>
      <c r="L28" s="39"/>
      <c r="M28" s="39">
        <f>'[6]SCHH-3'!$F270</f>
        <v>0</v>
      </c>
      <c r="N28" s="39"/>
      <c r="O28" s="39">
        <f>'[6]SCHH-3'!$H270</f>
        <v>0</v>
      </c>
      <c r="R28" s="39"/>
      <c r="S28" s="39"/>
      <c r="T28" s="39"/>
      <c r="U28" s="8"/>
      <c r="W28" s="130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5.75" customHeight="1">
      <c r="A29" s="15"/>
      <c r="B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R29" s="9"/>
      <c r="S29" s="9"/>
      <c r="T29" s="9"/>
      <c r="U29" s="8"/>
      <c r="W29" s="13"/>
      <c r="X29" s="13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5.75" customHeight="1">
      <c r="A30" s="15">
        <f>+A28+1</f>
        <v>17</v>
      </c>
      <c r="B30" s="129" t="s">
        <v>20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R30" s="9"/>
      <c r="S30" s="9"/>
      <c r="T30" s="9"/>
      <c r="U30" s="8"/>
      <c r="W30" s="13"/>
      <c r="X30" s="13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5">
      <c r="A31" s="15"/>
      <c r="B31" s="12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R31" s="9"/>
      <c r="S31" s="9"/>
      <c r="T31" s="9"/>
      <c r="U31" s="8"/>
      <c r="W31" s="13"/>
      <c r="X31" s="13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">
      <c r="A32" s="15">
        <f>+A30+1</f>
        <v>18</v>
      </c>
      <c r="B32" s="128" t="s">
        <v>21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R32" s="9"/>
      <c r="S32" s="9"/>
      <c r="T32" s="9"/>
      <c r="U32" s="8"/>
      <c r="W32" s="13"/>
      <c r="X32" s="13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">
      <c r="A33" s="15">
        <f aca="true" t="shared" si="1" ref="A33:A38">+A32+1</f>
        <v>19</v>
      </c>
      <c r="B33" s="178" t="s">
        <v>22</v>
      </c>
      <c r="E33" s="39">
        <f>'[6]SCHH-3'!$C275</f>
        <v>52392755.73692308</v>
      </c>
      <c r="F33" s="39"/>
      <c r="G33" s="39"/>
      <c r="H33" s="39"/>
      <c r="I33" s="39">
        <f>'[6]SCHH-3'!$D275</f>
        <v>52392755.73692308</v>
      </c>
      <c r="J33" s="39"/>
      <c r="K33" s="39">
        <f>'[6]SCHH-3'!$E275</f>
        <v>0</v>
      </c>
      <c r="L33" s="39"/>
      <c r="M33" s="39">
        <f>'[6]SCHH-3'!$F275</f>
        <v>0</v>
      </c>
      <c r="N33" s="39"/>
      <c r="O33" s="39">
        <f>'[6]SCHH-3'!$H275</f>
        <v>0</v>
      </c>
      <c r="R33" s="39"/>
      <c r="S33" s="39"/>
      <c r="T33" s="39"/>
      <c r="U33" s="8"/>
      <c r="W33" s="25"/>
      <c r="X33" s="13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">
      <c r="A34" s="15">
        <f t="shared" si="1"/>
        <v>20</v>
      </c>
      <c r="B34" s="129" t="s">
        <v>23</v>
      </c>
      <c r="E34" s="39">
        <f>'[6]SCHH-3'!$C276</f>
        <v>16073220.197692307</v>
      </c>
      <c r="F34" s="39"/>
      <c r="G34" s="39"/>
      <c r="H34" s="39"/>
      <c r="I34" s="39">
        <f>'[6]SCHH-3'!$D276</f>
        <v>16073220.197692307</v>
      </c>
      <c r="J34" s="39"/>
      <c r="K34" s="39">
        <f>'[6]SCHH-3'!$E276</f>
        <v>0</v>
      </c>
      <c r="L34" s="39"/>
      <c r="M34" s="39">
        <f>'[6]SCHH-3'!$F276</f>
        <v>0</v>
      </c>
      <c r="N34" s="39"/>
      <c r="O34" s="39">
        <f>'[6]SCHH-3'!$H276</f>
        <v>0</v>
      </c>
      <c r="R34" s="39"/>
      <c r="S34" s="39"/>
      <c r="T34" s="39"/>
      <c r="U34" s="8"/>
      <c r="W34" s="25"/>
      <c r="X34" s="13"/>
      <c r="Y34" s="8"/>
      <c r="Z34" s="8"/>
      <c r="AA34" s="8"/>
      <c r="AB34" s="8"/>
      <c r="AC34" s="13"/>
      <c r="AD34" s="13"/>
      <c r="AE34" s="13"/>
      <c r="AF34" s="13"/>
      <c r="AG34" s="13"/>
      <c r="AH34" s="13"/>
      <c r="AI34" s="8"/>
      <c r="AJ34" s="8"/>
      <c r="AK34" s="5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>
      <c r="A35" s="15">
        <f t="shared" si="1"/>
        <v>21</v>
      </c>
      <c r="B35" s="129" t="s">
        <v>24</v>
      </c>
      <c r="E35" s="39">
        <f>'[6]SCHH-3'!$C277</f>
        <v>5665904.940769236</v>
      </c>
      <c r="F35" s="39"/>
      <c r="G35" s="39"/>
      <c r="H35" s="39"/>
      <c r="I35" s="39">
        <f>'[6]SCHH-3'!$D277</f>
        <v>5665904.940769236</v>
      </c>
      <c r="J35" s="39"/>
      <c r="K35" s="39">
        <f>'[6]SCHH-3'!$E277</f>
        <v>0</v>
      </c>
      <c r="L35" s="39"/>
      <c r="M35" s="39">
        <f>'[6]SCHH-3'!$F277</f>
        <v>0</v>
      </c>
      <c r="N35" s="39"/>
      <c r="O35" s="39">
        <f>'[6]SCHH-3'!$H277</f>
        <v>0</v>
      </c>
      <c r="R35" s="39"/>
      <c r="S35" s="39"/>
      <c r="T35" s="39"/>
      <c r="U35" s="8"/>
      <c r="W35" s="25"/>
      <c r="X35" s="13"/>
      <c r="Y35" s="8"/>
      <c r="Z35" s="8"/>
      <c r="AA35" s="8"/>
      <c r="AB35" s="8"/>
      <c r="AC35" s="13"/>
      <c r="AD35" s="13"/>
      <c r="AE35" s="13"/>
      <c r="AF35" s="13"/>
      <c r="AG35" s="13"/>
      <c r="AH35" s="13"/>
      <c r="AI35" s="8"/>
      <c r="AJ35" s="8"/>
      <c r="AK35" s="5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>
      <c r="A36" s="15">
        <f t="shared" si="1"/>
        <v>22</v>
      </c>
      <c r="B36" s="129" t="s">
        <v>25</v>
      </c>
      <c r="E36" s="39">
        <f>'[6]SCHH-3'!$C278</f>
        <v>318009500.1069234</v>
      </c>
      <c r="F36" s="39"/>
      <c r="G36" s="39"/>
      <c r="H36" s="39"/>
      <c r="I36" s="39">
        <f>'[6]SCHH-3'!$D278</f>
        <v>0</v>
      </c>
      <c r="J36" s="39"/>
      <c r="K36" s="39">
        <f>'[6]SCHH-3'!$E278</f>
        <v>318009500.1069234</v>
      </c>
      <c r="L36" s="39"/>
      <c r="M36" s="39">
        <f>'[6]SCHH-3'!$F278</f>
        <v>0</v>
      </c>
      <c r="N36" s="39"/>
      <c r="O36" s="39">
        <f>'[6]SCHH-3'!$H278</f>
        <v>0</v>
      </c>
      <c r="R36" s="39"/>
      <c r="S36" s="39"/>
      <c r="T36" s="39"/>
      <c r="U36" s="8"/>
      <c r="W36" s="13"/>
      <c r="X36" s="13"/>
      <c r="Y36" s="8"/>
      <c r="Z36" s="8"/>
      <c r="AA36" s="8"/>
      <c r="AB36" s="8"/>
      <c r="AC36" s="13"/>
      <c r="AD36" s="13"/>
      <c r="AE36" s="13"/>
      <c r="AF36" s="13"/>
      <c r="AG36" s="13"/>
      <c r="AH36" s="13"/>
      <c r="AI36" s="8"/>
      <c r="AJ36" s="8"/>
      <c r="AK36" s="5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>
      <c r="A37" s="15">
        <f t="shared" si="1"/>
        <v>23</v>
      </c>
      <c r="B37" s="129" t="s">
        <v>26</v>
      </c>
      <c r="E37" s="39">
        <f>'[6]SCHH-3'!$C279</f>
        <v>110383151.00230762</v>
      </c>
      <c r="F37" s="39"/>
      <c r="G37" s="39"/>
      <c r="H37" s="39"/>
      <c r="I37" s="39">
        <f>'[6]SCHH-3'!$D279</f>
        <v>110383151.00230762</v>
      </c>
      <c r="J37" s="39"/>
      <c r="K37" s="39">
        <f>'[6]SCHH-3'!$E279</f>
        <v>0</v>
      </c>
      <c r="L37" s="39"/>
      <c r="M37" s="39">
        <f>'[6]SCHH-3'!$F279</f>
        <v>0</v>
      </c>
      <c r="N37" s="39"/>
      <c r="O37" s="39">
        <f>'[6]SCHH-3'!$H279</f>
        <v>0</v>
      </c>
      <c r="R37" s="39"/>
      <c r="S37" s="39"/>
      <c r="T37" s="39"/>
      <c r="U37" s="8"/>
      <c r="W37" s="25"/>
      <c r="X37" s="13"/>
      <c r="Y37" s="8"/>
      <c r="Z37" s="8"/>
      <c r="AA37" s="8"/>
      <c r="AB37" s="8"/>
      <c r="AC37" s="13"/>
      <c r="AD37" s="13"/>
      <c r="AE37" s="13"/>
      <c r="AF37" s="13"/>
      <c r="AG37" s="13"/>
      <c r="AH37" s="13"/>
      <c r="AI37" s="8"/>
      <c r="AJ37" s="8"/>
      <c r="AK37" s="5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>
      <c r="A38" s="15">
        <f t="shared" si="1"/>
        <v>24</v>
      </c>
      <c r="B38" s="129" t="s">
        <v>27</v>
      </c>
      <c r="E38" s="39">
        <f>'[6]SCHH-3'!$C280</f>
        <v>4718680.2046153825</v>
      </c>
      <c r="F38" s="39"/>
      <c r="G38" s="39"/>
      <c r="H38" s="39"/>
      <c r="I38" s="39">
        <f>'[6]SCHH-3'!$D280</f>
        <v>0</v>
      </c>
      <c r="J38" s="39"/>
      <c r="K38" s="39">
        <f>'[6]SCHH-3'!$E280</f>
        <v>4718680.204615382</v>
      </c>
      <c r="L38" s="39"/>
      <c r="M38" s="39">
        <f>'[6]SCHH-3'!$F280</f>
        <v>0</v>
      </c>
      <c r="N38" s="39"/>
      <c r="O38" s="39">
        <f>'[6]SCHH-3'!$H280</f>
        <v>0</v>
      </c>
      <c r="R38" s="39"/>
      <c r="S38" s="39"/>
      <c r="T38" s="39"/>
      <c r="U38" s="8"/>
      <c r="W38" s="25"/>
      <c r="X38" s="13"/>
      <c r="Y38" s="8"/>
      <c r="Z38" s="8"/>
      <c r="AA38" s="8"/>
      <c r="AB38" s="8"/>
      <c r="AC38" s="13"/>
      <c r="AD38" s="13"/>
      <c r="AE38" s="13"/>
      <c r="AF38" s="13"/>
      <c r="AG38" s="13"/>
      <c r="AH38" s="13"/>
      <c r="AI38" s="8"/>
      <c r="AJ38" s="8"/>
      <c r="AK38" s="5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>
      <c r="A39" s="15"/>
      <c r="B39" s="12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R39" s="39"/>
      <c r="S39" s="39"/>
      <c r="T39" s="39"/>
      <c r="U39" s="8"/>
      <c r="W39" s="25"/>
      <c r="X39" s="13"/>
      <c r="Y39" s="8"/>
      <c r="Z39" s="8"/>
      <c r="AA39" s="8"/>
      <c r="AB39" s="8"/>
      <c r="AC39" s="13"/>
      <c r="AD39" s="13"/>
      <c r="AE39" s="13"/>
      <c r="AF39" s="13"/>
      <c r="AG39" s="13"/>
      <c r="AH39" s="13"/>
      <c r="AI39" s="8"/>
      <c r="AJ39" s="8"/>
      <c r="AK39" s="5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>
      <c r="A40" s="15">
        <f>+A38+1</f>
        <v>25</v>
      </c>
      <c r="B40" s="128" t="s">
        <v>90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R40" s="39"/>
      <c r="S40" s="39"/>
      <c r="T40" s="39"/>
      <c r="U40" s="8"/>
      <c r="W40" s="25"/>
      <c r="X40" s="13"/>
      <c r="Y40" s="8"/>
      <c r="Z40" s="8"/>
      <c r="AA40" s="8"/>
      <c r="AB40" s="8"/>
      <c r="AC40" s="13"/>
      <c r="AD40" s="13"/>
      <c r="AE40" s="13"/>
      <c r="AF40" s="13"/>
      <c r="AG40" s="13"/>
      <c r="AH40" s="13"/>
      <c r="AI40" s="8"/>
      <c r="AJ40" s="8"/>
      <c r="AK40" s="5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>
      <c r="A41" s="15">
        <f aca="true" t="shared" si="2" ref="A41:A49">+A40+1</f>
        <v>26</v>
      </c>
      <c r="B41" s="178" t="s">
        <v>130</v>
      </c>
      <c r="E41" s="39">
        <f>'[6]SCHH-3'!$C283</f>
        <v>630097.2658663499</v>
      </c>
      <c r="F41" s="39"/>
      <c r="G41" s="39"/>
      <c r="H41" s="39"/>
      <c r="I41" s="39">
        <f>'[6]SCHH-3'!$D283</f>
        <v>630097.2658663499</v>
      </c>
      <c r="J41" s="39"/>
      <c r="K41" s="39">
        <f>'[6]SCHH-3'!$E283</f>
        <v>0</v>
      </c>
      <c r="L41" s="39"/>
      <c r="M41" s="39">
        <f>'[6]SCHH-3'!$F283</f>
        <v>0</v>
      </c>
      <c r="N41" s="39"/>
      <c r="O41" s="39">
        <f>'[6]SCHH-3'!$H283</f>
        <v>0</v>
      </c>
      <c r="R41" s="39"/>
      <c r="S41" s="39"/>
      <c r="T41" s="39"/>
      <c r="U41" s="8"/>
      <c r="W41" s="13"/>
      <c r="X41" s="13"/>
      <c r="Y41" s="8"/>
      <c r="Z41" s="8"/>
      <c r="AA41" s="8"/>
      <c r="AB41" s="8"/>
      <c r="AC41" s="13"/>
      <c r="AD41" s="13"/>
      <c r="AE41" s="13"/>
      <c r="AF41" s="13"/>
      <c r="AG41" s="13"/>
      <c r="AH41" s="13"/>
      <c r="AI41" s="8"/>
      <c r="AJ41" s="8"/>
      <c r="AK41" s="5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>
      <c r="A42" s="15">
        <f t="shared" si="2"/>
        <v>27</v>
      </c>
      <c r="B42" s="129" t="s">
        <v>28</v>
      </c>
      <c r="E42" s="39">
        <f>'[6]SCHH-3'!$C284</f>
        <v>-4062.2332799999986</v>
      </c>
      <c r="F42" s="39"/>
      <c r="G42" s="39"/>
      <c r="H42" s="39"/>
      <c r="I42" s="39">
        <f>'[6]SCHH-3'!$D284</f>
        <v>-4062.2332799999986</v>
      </c>
      <c r="J42" s="39"/>
      <c r="K42" s="39">
        <f>'[6]SCHH-3'!$E284</f>
        <v>0</v>
      </c>
      <c r="L42" s="39"/>
      <c r="M42" s="39">
        <f>'[6]SCHH-3'!$F284</f>
        <v>0</v>
      </c>
      <c r="N42" s="39"/>
      <c r="O42" s="39">
        <f>'[6]SCHH-3'!$H284</f>
        <v>0</v>
      </c>
      <c r="R42" s="39"/>
      <c r="S42" s="39"/>
      <c r="T42" s="39"/>
      <c r="U42" s="8"/>
      <c r="W42" s="25"/>
      <c r="X42" s="13"/>
      <c r="Y42" s="8"/>
      <c r="Z42" s="8"/>
      <c r="AA42" s="8"/>
      <c r="AB42" s="8"/>
      <c r="AC42" s="13"/>
      <c r="AD42" s="13"/>
      <c r="AE42" s="13"/>
      <c r="AF42" s="13"/>
      <c r="AG42" s="13"/>
      <c r="AH42" s="13"/>
      <c r="AI42" s="8"/>
      <c r="AJ42" s="8"/>
      <c r="AK42" s="5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>
      <c r="A43" s="15">
        <f t="shared" si="2"/>
        <v>28</v>
      </c>
      <c r="B43" s="129" t="s">
        <v>29</v>
      </c>
      <c r="E43" s="39">
        <f>'[6]SCHH-3'!$C285</f>
        <v>3093303.72349818</v>
      </c>
      <c r="F43" s="39"/>
      <c r="G43" s="39"/>
      <c r="H43" s="39"/>
      <c r="I43" s="39">
        <f>'[6]SCHH-3'!$D285</f>
        <v>3093303.72349818</v>
      </c>
      <c r="J43" s="39"/>
      <c r="K43" s="39">
        <f>'[6]SCHH-3'!$E285</f>
        <v>0</v>
      </c>
      <c r="L43" s="39"/>
      <c r="M43" s="39">
        <f>'[6]SCHH-3'!$F285</f>
        <v>0</v>
      </c>
      <c r="N43" s="39"/>
      <c r="O43" s="39">
        <f>'[6]SCHH-3'!$H285</f>
        <v>0</v>
      </c>
      <c r="R43" s="39"/>
      <c r="S43" s="39"/>
      <c r="T43" s="39"/>
      <c r="U43" s="8"/>
      <c r="W43" s="25"/>
      <c r="X43" s="13"/>
      <c r="Y43" s="8"/>
      <c r="Z43" s="8"/>
      <c r="AA43" s="8"/>
      <c r="AB43" s="8"/>
      <c r="AC43" s="13"/>
      <c r="AD43" s="13"/>
      <c r="AE43" s="13"/>
      <c r="AF43" s="13"/>
      <c r="AG43" s="13"/>
      <c r="AH43" s="13"/>
      <c r="AI43" s="8"/>
      <c r="AJ43" s="8"/>
      <c r="AK43" s="5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>
      <c r="A44" s="15">
        <f t="shared" si="2"/>
        <v>29</v>
      </c>
      <c r="B44" s="129" t="s">
        <v>30</v>
      </c>
      <c r="E44" s="39">
        <f>'[6]SCHH-3'!$C286</f>
        <v>459123.2023674</v>
      </c>
      <c r="F44" s="39"/>
      <c r="G44" s="39"/>
      <c r="H44" s="39"/>
      <c r="I44" s="39">
        <f>'[6]SCHH-3'!$D286</f>
        <v>459123.2023674</v>
      </c>
      <c r="J44" s="39"/>
      <c r="K44" s="39">
        <f>'[6]SCHH-3'!$E286</f>
        <v>0</v>
      </c>
      <c r="L44" s="39"/>
      <c r="M44" s="39">
        <f>'[6]SCHH-3'!$F286</f>
        <v>0</v>
      </c>
      <c r="N44" s="39"/>
      <c r="O44" s="39">
        <f>'[6]SCHH-3'!$H286</f>
        <v>0</v>
      </c>
      <c r="R44" s="39"/>
      <c r="S44" s="39"/>
      <c r="T44" s="39"/>
      <c r="U44" s="8"/>
      <c r="W44" s="25"/>
      <c r="X44" s="13"/>
      <c r="Y44" s="8"/>
      <c r="Z44" s="8"/>
      <c r="AA44" s="8"/>
      <c r="AB44" s="8"/>
      <c r="AC44" s="13"/>
      <c r="AD44" s="13"/>
      <c r="AE44" s="13"/>
      <c r="AF44" s="13"/>
      <c r="AG44" s="13"/>
      <c r="AH44" s="13"/>
      <c r="AI44" s="8"/>
      <c r="AJ44" s="8"/>
      <c r="AK44" s="5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>
      <c r="A45" s="15">
        <f t="shared" si="2"/>
        <v>30</v>
      </c>
      <c r="B45" s="129" t="s">
        <v>31</v>
      </c>
      <c r="E45" s="39">
        <f>'[6]SCHH-3'!$C287</f>
        <v>457928.32182849</v>
      </c>
      <c r="F45" s="39"/>
      <c r="G45" s="39"/>
      <c r="H45" s="39"/>
      <c r="I45" s="39">
        <f>'[6]SCHH-3'!$D287</f>
        <v>457928.32182849</v>
      </c>
      <c r="J45" s="39"/>
      <c r="K45" s="39">
        <f>'[6]SCHH-3'!$E287</f>
        <v>0</v>
      </c>
      <c r="L45" s="39"/>
      <c r="M45" s="39">
        <f>'[6]SCHH-3'!$F287</f>
        <v>0</v>
      </c>
      <c r="N45" s="39"/>
      <c r="O45" s="39">
        <f>'[6]SCHH-3'!$H287</f>
        <v>0</v>
      </c>
      <c r="R45" s="39"/>
      <c r="S45" s="39"/>
      <c r="T45" s="39"/>
      <c r="U45" s="8"/>
      <c r="W45" s="25"/>
      <c r="X45" s="13"/>
      <c r="Y45" s="8"/>
      <c r="Z45" s="8"/>
      <c r="AA45" s="8"/>
      <c r="AB45" s="8"/>
      <c r="AC45" s="13"/>
      <c r="AD45" s="13"/>
      <c r="AE45" s="13"/>
      <c r="AF45" s="13"/>
      <c r="AG45" s="13"/>
      <c r="AH45" s="13"/>
      <c r="AI45" s="8"/>
      <c r="AJ45" s="8"/>
      <c r="AK45" s="5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>
      <c r="A46" s="15">
        <f t="shared" si="2"/>
        <v>31</v>
      </c>
      <c r="B46" s="129" t="s">
        <v>32</v>
      </c>
      <c r="E46" s="39">
        <f>'[6]SCHH-3'!$C288</f>
        <v>6596577.85089246</v>
      </c>
      <c r="F46" s="39"/>
      <c r="G46" s="39"/>
      <c r="H46" s="39"/>
      <c r="I46" s="39">
        <f>'[6]SCHH-3'!$D288</f>
        <v>1865591.7567252892</v>
      </c>
      <c r="J46" s="39"/>
      <c r="K46" s="39">
        <f>'[6]SCHH-3'!$E288</f>
        <v>4730986.094167171</v>
      </c>
      <c r="L46" s="39"/>
      <c r="M46" s="39">
        <f>'[6]SCHH-3'!$F288</f>
        <v>0</v>
      </c>
      <c r="N46" s="39"/>
      <c r="O46" s="39">
        <f>'[6]SCHH-3'!$H288</f>
        <v>0</v>
      </c>
      <c r="R46" s="39"/>
      <c r="S46" s="39"/>
      <c r="T46" s="39"/>
      <c r="U46" s="8"/>
      <c r="W46" s="13"/>
      <c r="X46" s="13"/>
      <c r="Y46" s="8"/>
      <c r="Z46" s="8"/>
      <c r="AA46" s="8"/>
      <c r="AB46" s="8"/>
      <c r="AC46" s="13"/>
      <c r="AD46" s="13"/>
      <c r="AE46" s="13"/>
      <c r="AF46" s="13"/>
      <c r="AG46" s="13"/>
      <c r="AH46" s="13"/>
      <c r="AI46" s="8"/>
      <c r="AJ46" s="8"/>
      <c r="AK46" s="5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>
      <c r="A47" s="15">
        <f t="shared" si="2"/>
        <v>32</v>
      </c>
      <c r="B47" s="129" t="s">
        <v>33</v>
      </c>
      <c r="E47" s="39">
        <f>'[6]SCHH-3'!$C289</f>
        <v>2272843.61551217</v>
      </c>
      <c r="F47" s="39"/>
      <c r="G47" s="39"/>
      <c r="H47" s="39"/>
      <c r="I47" s="39">
        <f>'[6]SCHH-3'!$D289</f>
        <v>0</v>
      </c>
      <c r="J47" s="39"/>
      <c r="K47" s="39">
        <f>'[6]SCHH-3'!$E289</f>
        <v>2272843.61551217</v>
      </c>
      <c r="L47" s="39"/>
      <c r="M47" s="39">
        <f>'[6]SCHH-3'!$F289</f>
        <v>0</v>
      </c>
      <c r="N47" s="39"/>
      <c r="O47" s="39">
        <f>'[6]SCHH-3'!$H289</f>
        <v>0</v>
      </c>
      <c r="R47" s="39"/>
      <c r="S47" s="39"/>
      <c r="T47" s="39"/>
      <c r="U47" s="8"/>
      <c r="W47" s="13"/>
      <c r="X47" s="13"/>
      <c r="Y47" s="8"/>
      <c r="Z47" s="8"/>
      <c r="AA47" s="8"/>
      <c r="AB47" s="8"/>
      <c r="AC47" s="13"/>
      <c r="AD47" s="13"/>
      <c r="AE47" s="13"/>
      <c r="AF47" s="13"/>
      <c r="AG47" s="13"/>
      <c r="AH47" s="13"/>
      <c r="AI47" s="8"/>
      <c r="AJ47" s="8"/>
      <c r="AK47" s="5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>
      <c r="A48" s="15">
        <f t="shared" si="2"/>
        <v>33</v>
      </c>
      <c r="B48" s="129" t="s">
        <v>181</v>
      </c>
      <c r="C48" s="13"/>
      <c r="D48" s="13"/>
      <c r="E48" s="39">
        <f>'[6]SCHH-3'!$C290</f>
        <v>1573000</v>
      </c>
      <c r="F48" s="39"/>
      <c r="G48" s="39"/>
      <c r="H48" s="39"/>
      <c r="I48" s="39">
        <f>'[6]SCHH-3'!$D290</f>
        <v>1573000</v>
      </c>
      <c r="J48" s="39"/>
      <c r="K48" s="39">
        <f>'[6]SCHH-3'!$E290</f>
        <v>0</v>
      </c>
      <c r="L48" s="39"/>
      <c r="M48" s="39">
        <f>'[6]SCHH-3'!$F290</f>
        <v>0</v>
      </c>
      <c r="N48" s="39"/>
      <c r="O48" s="39">
        <f>'[6]SCHH-3'!$H290</f>
        <v>0</v>
      </c>
      <c r="R48" s="9"/>
      <c r="S48" s="9"/>
      <c r="T48" s="9"/>
      <c r="U48" s="8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8"/>
      <c r="AJ48" s="8"/>
      <c r="AK48" s="5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>
      <c r="A49" s="15">
        <f t="shared" si="2"/>
        <v>34</v>
      </c>
      <c r="B49" s="129" t="s">
        <v>182</v>
      </c>
      <c r="C49" s="13"/>
      <c r="D49" s="13"/>
      <c r="E49" s="39">
        <f>'[6]SCHH-3'!$C291</f>
        <v>5815707.0115013495</v>
      </c>
      <c r="F49" s="39"/>
      <c r="G49" s="39"/>
      <c r="H49" s="39"/>
      <c r="I49" s="39">
        <f>'[6]SCHH-3'!$D291</f>
        <v>5815707.0115013495</v>
      </c>
      <c r="J49" s="39"/>
      <c r="K49" s="39">
        <f>'[6]SCHH-3'!$E291</f>
        <v>0</v>
      </c>
      <c r="L49" s="39"/>
      <c r="M49" s="39">
        <f>'[6]SCHH-3'!$F291</f>
        <v>0</v>
      </c>
      <c r="N49" s="39"/>
      <c r="O49" s="39">
        <f>'[6]SCHH-3'!$H291</f>
        <v>0</v>
      </c>
      <c r="R49" s="9"/>
      <c r="S49" s="9"/>
      <c r="T49" s="9"/>
      <c r="U49" s="8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8"/>
      <c r="AJ49" s="8"/>
      <c r="AK49" s="5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>
      <c r="A50" s="8"/>
      <c r="B50" s="8"/>
      <c r="C50" s="13"/>
      <c r="D50" s="13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8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8"/>
      <c r="AJ50" s="8"/>
      <c r="AK50" s="5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>
      <c r="A51" s="8"/>
      <c r="B51" s="8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8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8"/>
      <c r="AJ51" s="8"/>
      <c r="AK51" s="5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>
      <c r="A52" s="8"/>
      <c r="B52" s="8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8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8"/>
      <c r="AJ52" s="8"/>
      <c r="AK52" s="5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>
      <c r="A53" s="8"/>
      <c r="B53" s="8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8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8"/>
      <c r="AJ53" s="8"/>
      <c r="AK53" s="5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>
      <c r="A54" s="8"/>
      <c r="B54" s="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8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8"/>
      <c r="AJ54" s="8"/>
      <c r="AK54" s="5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 thickBot="1">
      <c r="A55" s="8"/>
      <c r="B55" s="57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8"/>
      <c r="U55" s="8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1"/>
      <c r="AJ55" s="8"/>
      <c r="AK55" s="58"/>
      <c r="AL55" s="8"/>
      <c r="AM55" s="11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102"/>
      <c r="B56" s="103" t="s">
        <v>134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08"/>
      <c r="P56" s="108"/>
      <c r="Q56" s="108" t="s">
        <v>219</v>
      </c>
      <c r="R56" s="111"/>
      <c r="S56" s="108"/>
      <c r="T56" s="54"/>
      <c r="U56" s="8"/>
      <c r="V56" s="13"/>
      <c r="W56" s="13"/>
      <c r="X56" s="13"/>
      <c r="Y56" s="13"/>
      <c r="Z56" s="13"/>
      <c r="AA56" s="13"/>
      <c r="AB56" s="13"/>
      <c r="AC56" s="13"/>
      <c r="AD56" s="13"/>
      <c r="AE56" s="54"/>
      <c r="AF56" s="13"/>
      <c r="AG56" s="54"/>
      <c r="AH56" s="13"/>
      <c r="AI56" s="8"/>
      <c r="AJ56" s="8"/>
      <c r="AK56" s="5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8"/>
      <c r="AJ57" s="8"/>
      <c r="AK57" s="5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8"/>
      <c r="AJ58" s="8"/>
      <c r="AK58" s="5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 thickBot="1">
      <c r="A59" s="105"/>
      <c r="B59" s="106" t="s">
        <v>225</v>
      </c>
      <c r="C59" s="105"/>
      <c r="D59" s="105"/>
      <c r="E59" s="105"/>
      <c r="F59" s="105"/>
      <c r="G59" s="105"/>
      <c r="H59" s="105"/>
      <c r="I59" s="107" t="s">
        <v>121</v>
      </c>
      <c r="J59" s="105"/>
      <c r="K59" s="105"/>
      <c r="L59" s="105"/>
      <c r="M59" s="105"/>
      <c r="N59" s="105"/>
      <c r="O59" s="106"/>
      <c r="P59" s="106"/>
      <c r="Q59" s="106" t="s">
        <v>198</v>
      </c>
      <c r="R59" s="122"/>
      <c r="S59" s="113"/>
      <c r="T59" s="122"/>
      <c r="U59" s="122"/>
      <c r="V59" s="122"/>
      <c r="W59" s="122"/>
      <c r="X59" s="122"/>
      <c r="Y59" s="107" t="s">
        <v>123</v>
      </c>
      <c r="Z59" s="122"/>
      <c r="AA59" s="122"/>
      <c r="AB59" s="122"/>
      <c r="AC59" s="122"/>
      <c r="AD59" s="122"/>
      <c r="AE59" s="106"/>
      <c r="AF59" s="122"/>
      <c r="AG59" s="106" t="s">
        <v>199</v>
      </c>
      <c r="AH59" s="122"/>
      <c r="AI59" s="122"/>
      <c r="AJ59" s="48"/>
      <c r="AK59" s="5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25.5" customHeight="1">
      <c r="A60" s="102"/>
      <c r="B60" s="103" t="s">
        <v>0</v>
      </c>
      <c r="C60" s="102"/>
      <c r="D60" s="102"/>
      <c r="E60" s="102"/>
      <c r="F60" s="102"/>
      <c r="G60" s="102"/>
      <c r="H60" s="102"/>
      <c r="I60" s="55" t="s">
        <v>122</v>
      </c>
      <c r="J60" s="102"/>
      <c r="K60" s="123"/>
      <c r="L60" s="123"/>
      <c r="M60" s="123"/>
      <c r="N60" s="102"/>
      <c r="O60" s="13"/>
      <c r="P60" s="102"/>
      <c r="Q60" s="13" t="s">
        <v>1</v>
      </c>
      <c r="R60" s="123"/>
      <c r="S60" s="114"/>
      <c r="T60" s="13"/>
      <c r="U60" s="13"/>
      <c r="V60" s="13"/>
      <c r="X60" s="13"/>
      <c r="Y60" s="55" t="s">
        <v>122</v>
      </c>
      <c r="Z60" s="13"/>
      <c r="AA60" s="13"/>
      <c r="AB60" s="13"/>
      <c r="AC60" s="13"/>
      <c r="AD60" s="13"/>
      <c r="AE60" s="13"/>
      <c r="AF60" s="13"/>
      <c r="AG60" s="13" t="s">
        <v>1</v>
      </c>
      <c r="AH60" s="13"/>
      <c r="AI60" s="8"/>
      <c r="AJ60" s="8"/>
      <c r="AK60" s="58"/>
      <c r="AL60" s="8"/>
      <c r="AM60" s="11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50" t="s">
        <v>93</v>
      </c>
      <c r="C61" s="8"/>
      <c r="D61" s="8"/>
      <c r="E61" s="8"/>
      <c r="F61" s="8"/>
      <c r="G61" s="8"/>
      <c r="H61" s="8"/>
      <c r="I61" s="55" t="s">
        <v>89</v>
      </c>
      <c r="J61" s="8"/>
      <c r="N61" s="8"/>
      <c r="O61" s="54"/>
      <c r="P61" s="11"/>
      <c r="Q61" s="54" t="s">
        <v>226</v>
      </c>
      <c r="S61" s="115"/>
      <c r="T61" s="13"/>
      <c r="U61" s="13"/>
      <c r="V61" s="13"/>
      <c r="X61" s="13"/>
      <c r="Y61" s="55" t="s">
        <v>89</v>
      </c>
      <c r="Z61" s="13"/>
      <c r="AA61" s="13"/>
      <c r="AB61" s="13"/>
      <c r="AC61" s="13"/>
      <c r="AD61" s="13"/>
      <c r="AE61" s="54"/>
      <c r="AF61" s="13"/>
      <c r="AG61" s="54" t="s">
        <v>226</v>
      </c>
      <c r="AH61" s="13"/>
      <c r="AI61" s="8"/>
      <c r="AJ61" s="8"/>
      <c r="AK61" s="5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50" t="str">
        <f>+$B$4</f>
        <v>DOCKET NO.:  080318-GU   </v>
      </c>
      <c r="C62" s="8"/>
      <c r="D62" s="8"/>
      <c r="E62" s="8"/>
      <c r="F62" s="8"/>
      <c r="G62" s="8"/>
      <c r="H62" s="8"/>
      <c r="I62" s="112"/>
      <c r="J62" s="8"/>
      <c r="N62" s="8"/>
      <c r="O62" s="54"/>
      <c r="P62" s="50"/>
      <c r="Q62" s="54" t="s">
        <v>137</v>
      </c>
      <c r="S62" s="112"/>
      <c r="T62" s="13"/>
      <c r="U62" s="13"/>
      <c r="V62" s="13"/>
      <c r="X62" s="13"/>
      <c r="Y62" s="112"/>
      <c r="Z62" s="13"/>
      <c r="AA62" s="13"/>
      <c r="AB62" s="13"/>
      <c r="AC62" s="13"/>
      <c r="AD62" s="13"/>
      <c r="AE62" s="54"/>
      <c r="AF62" s="13"/>
      <c r="AG62" s="54" t="s">
        <v>137</v>
      </c>
      <c r="AH62" s="13"/>
      <c r="AI62" s="8"/>
      <c r="AJ62" s="8"/>
      <c r="AK62" s="5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 thickBo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125"/>
      <c r="P63" s="109"/>
      <c r="Q63" s="109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51"/>
      <c r="AK63" s="5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25.5" customHeight="1">
      <c r="A64" s="102"/>
      <c r="B64" s="102"/>
      <c r="C64" s="102"/>
      <c r="D64" s="102"/>
      <c r="E64" s="102"/>
      <c r="F64" s="102"/>
      <c r="G64" s="102"/>
      <c r="H64" s="102"/>
      <c r="I64" s="110" t="s">
        <v>124</v>
      </c>
      <c r="J64" s="102"/>
      <c r="K64" s="102"/>
      <c r="L64" s="102"/>
      <c r="M64" s="102"/>
      <c r="N64" s="102"/>
      <c r="O64" s="123"/>
      <c r="P64" s="123"/>
      <c r="Q64" s="102"/>
      <c r="R64" s="102"/>
      <c r="S64" s="102"/>
      <c r="T64" s="102"/>
      <c r="U64" s="102"/>
      <c r="V64" s="102"/>
      <c r="W64" s="102"/>
      <c r="X64" s="102"/>
      <c r="Y64" s="110" t="s">
        <v>124</v>
      </c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8"/>
      <c r="AK64" s="5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13"/>
      <c r="D65" s="13"/>
      <c r="E65" s="13"/>
      <c r="F65" s="13"/>
      <c r="G65" s="13"/>
      <c r="H65" s="13"/>
      <c r="I65" s="30"/>
      <c r="J65" s="13"/>
      <c r="K65" s="13"/>
      <c r="L65" s="13"/>
      <c r="M65" s="13"/>
      <c r="N65" s="13"/>
      <c r="O65" s="8"/>
      <c r="P65" s="8"/>
      <c r="R65" s="13"/>
      <c r="S65" s="30"/>
      <c r="T65" s="13"/>
      <c r="U65" s="54"/>
      <c r="V65" s="54"/>
      <c r="W65" s="13"/>
      <c r="X65" s="13"/>
      <c r="Y65" s="30"/>
      <c r="Z65" s="13"/>
      <c r="AA65" s="13"/>
      <c r="AB65" s="13"/>
      <c r="AC65" s="13"/>
      <c r="AD65" s="13"/>
      <c r="AE65" s="13"/>
      <c r="AF65" s="13"/>
      <c r="AG65" s="13"/>
      <c r="AH65" s="13"/>
      <c r="AI65" s="8"/>
      <c r="AJ65" s="8"/>
      <c r="AK65" s="5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13"/>
      <c r="D66" s="13"/>
      <c r="E66" s="13"/>
      <c r="F66" s="13"/>
      <c r="G66" s="13"/>
      <c r="H66" s="13"/>
      <c r="I66" s="30"/>
      <c r="K66" s="13"/>
      <c r="L66" s="13"/>
      <c r="M66" s="13"/>
      <c r="N66" s="13"/>
      <c r="O66" s="8"/>
      <c r="P66" s="8"/>
      <c r="R66" s="13"/>
      <c r="S66" s="30"/>
      <c r="T66" s="13"/>
      <c r="U66" s="13"/>
      <c r="V66" s="13"/>
      <c r="W66" s="13"/>
      <c r="X66" s="13"/>
      <c r="Y66" s="30"/>
      <c r="Z66" s="13"/>
      <c r="AA66" s="13"/>
      <c r="AB66" s="13"/>
      <c r="AC66" s="13"/>
      <c r="AD66" s="13"/>
      <c r="AE66" s="13"/>
      <c r="AF66" s="13"/>
      <c r="AG66" s="13"/>
      <c r="AH66" s="13"/>
      <c r="AI66" s="8"/>
      <c r="AJ66" s="8"/>
      <c r="AK66" s="5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11"/>
      <c r="C67" s="13"/>
      <c r="D67" s="13"/>
      <c r="E67" s="13"/>
      <c r="F67" s="13"/>
      <c r="G67" s="13"/>
      <c r="H67" s="13"/>
      <c r="I67" s="13"/>
      <c r="K67" s="13"/>
      <c r="L67" s="13"/>
      <c r="M67" s="13"/>
      <c r="N67" s="13"/>
      <c r="O67" s="8"/>
      <c r="P67" s="8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8"/>
      <c r="AJ67" s="8"/>
      <c r="AK67" s="58"/>
      <c r="AL67" s="8"/>
      <c r="AM67" s="11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13"/>
      <c r="D68" s="13"/>
      <c r="E68" s="116"/>
      <c r="F68" s="116"/>
      <c r="G68" s="116"/>
      <c r="H68" s="116"/>
      <c r="I68" s="116" t="s">
        <v>94</v>
      </c>
      <c r="J68" s="116"/>
      <c r="K68" s="116"/>
      <c r="L68" s="116"/>
      <c r="M68" s="131" t="s">
        <v>143</v>
      </c>
      <c r="N68" s="116"/>
      <c r="O68" s="131" t="s">
        <v>139</v>
      </c>
      <c r="P68" s="131"/>
      <c r="Q68" s="131" t="s">
        <v>140</v>
      </c>
      <c r="R68" s="116"/>
      <c r="S68" s="131" t="s">
        <v>95</v>
      </c>
      <c r="T68" s="116"/>
      <c r="U68" s="131" t="s">
        <v>96</v>
      </c>
      <c r="V68" s="131"/>
      <c r="W68" s="116" t="s">
        <v>194</v>
      </c>
      <c r="X68" s="116"/>
      <c r="Y68" s="116" t="s">
        <v>98</v>
      </c>
      <c r="Z68" s="116"/>
      <c r="AA68" s="116" t="s">
        <v>99</v>
      </c>
      <c r="AB68" s="116"/>
      <c r="AC68" s="116" t="s">
        <v>217</v>
      </c>
      <c r="AD68" s="116"/>
      <c r="AE68" s="116"/>
      <c r="AF68" s="116"/>
      <c r="AG68" s="116"/>
      <c r="AH68" s="116"/>
      <c r="AI68" s="116"/>
      <c r="AJ68" s="116"/>
      <c r="AK68" s="132"/>
      <c r="AL68" s="15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13"/>
      <c r="D69" s="13"/>
      <c r="E69" s="116" t="s">
        <v>101</v>
      </c>
      <c r="F69" s="116"/>
      <c r="G69" s="116" t="s">
        <v>101</v>
      </c>
      <c r="H69" s="116"/>
      <c r="I69" s="116" t="s">
        <v>102</v>
      </c>
      <c r="J69" s="116"/>
      <c r="K69" s="116" t="s">
        <v>94</v>
      </c>
      <c r="L69" s="116"/>
      <c r="M69" s="116" t="s">
        <v>103</v>
      </c>
      <c r="N69" s="116"/>
      <c r="O69" s="116" t="s">
        <v>104</v>
      </c>
      <c r="P69" s="116"/>
      <c r="Q69" s="116" t="s">
        <v>104</v>
      </c>
      <c r="R69" s="116"/>
      <c r="S69" s="116" t="s">
        <v>104</v>
      </c>
      <c r="T69" s="116"/>
      <c r="U69" s="116" t="s">
        <v>104</v>
      </c>
      <c r="V69" s="116"/>
      <c r="W69" s="116" t="s">
        <v>104</v>
      </c>
      <c r="X69" s="116"/>
      <c r="Y69" s="116" t="s">
        <v>195</v>
      </c>
      <c r="Z69" s="116"/>
      <c r="AA69" s="131" t="s">
        <v>105</v>
      </c>
      <c r="AB69" s="116"/>
      <c r="AC69" s="131" t="s">
        <v>105</v>
      </c>
      <c r="AD69" s="116"/>
      <c r="AE69" s="116" t="s">
        <v>196</v>
      </c>
      <c r="AF69" s="116"/>
      <c r="AG69" s="116" t="s">
        <v>107</v>
      </c>
      <c r="AH69" s="116"/>
      <c r="AI69" s="116" t="s">
        <v>108</v>
      </c>
      <c r="AJ69" s="116"/>
      <c r="AK69" s="132"/>
      <c r="AL69" s="15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 thickBot="1">
      <c r="A70" s="16" t="s">
        <v>92</v>
      </c>
      <c r="B70" s="8"/>
      <c r="C70" s="133" t="s">
        <v>3</v>
      </c>
      <c r="D70" s="133"/>
      <c r="E70" s="117" t="s">
        <v>111</v>
      </c>
      <c r="F70" s="118"/>
      <c r="G70" s="119" t="s">
        <v>142</v>
      </c>
      <c r="H70" s="118"/>
      <c r="I70" s="117" t="s">
        <v>110</v>
      </c>
      <c r="J70" s="117"/>
      <c r="K70" s="117" t="s">
        <v>142</v>
      </c>
      <c r="L70" s="117"/>
      <c r="M70" s="117" t="s">
        <v>111</v>
      </c>
      <c r="N70" s="117"/>
      <c r="O70" s="117" t="s">
        <v>112</v>
      </c>
      <c r="P70" s="117"/>
      <c r="Q70" s="117" t="s">
        <v>113</v>
      </c>
      <c r="R70" s="120"/>
      <c r="S70" s="117" t="s">
        <v>114</v>
      </c>
      <c r="T70" s="117"/>
      <c r="U70" s="117" t="s">
        <v>115</v>
      </c>
      <c r="V70" s="120"/>
      <c r="W70" s="117" t="s">
        <v>116</v>
      </c>
      <c r="X70" s="117"/>
      <c r="Y70" s="117" t="s">
        <v>111</v>
      </c>
      <c r="Z70" s="117"/>
      <c r="AA70" s="117" t="s">
        <v>111</v>
      </c>
      <c r="AB70" s="117"/>
      <c r="AC70" s="117" t="s">
        <v>117</v>
      </c>
      <c r="AD70" s="120"/>
      <c r="AE70" s="117" t="s">
        <v>197</v>
      </c>
      <c r="AF70" s="117"/>
      <c r="AG70" s="117" t="s">
        <v>111</v>
      </c>
      <c r="AH70" s="120"/>
      <c r="AI70" s="117" t="s">
        <v>119</v>
      </c>
      <c r="AJ70" s="134"/>
      <c r="AK70" s="132"/>
      <c r="AL70" s="1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16"/>
      <c r="B71" s="8"/>
      <c r="C71" s="133"/>
      <c r="D71" s="133"/>
      <c r="E71" s="117"/>
      <c r="F71" s="118"/>
      <c r="G71" s="119"/>
      <c r="H71" s="118"/>
      <c r="I71" s="117"/>
      <c r="J71" s="117"/>
      <c r="K71" s="117"/>
      <c r="L71" s="117"/>
      <c r="M71" s="117"/>
      <c r="N71" s="117"/>
      <c r="O71" s="117"/>
      <c r="P71" s="117"/>
      <c r="Q71" s="117"/>
      <c r="R71" s="120"/>
      <c r="S71" s="117"/>
      <c r="T71" s="117"/>
      <c r="U71" s="117"/>
      <c r="V71" s="120"/>
      <c r="W71" s="117"/>
      <c r="X71" s="117"/>
      <c r="Y71" s="117"/>
      <c r="Z71" s="117"/>
      <c r="AA71" s="117"/>
      <c r="AB71" s="117"/>
      <c r="AC71" s="117"/>
      <c r="AD71" s="120"/>
      <c r="AE71" s="117"/>
      <c r="AF71" s="117"/>
      <c r="AG71" s="117"/>
      <c r="AH71" s="120"/>
      <c r="AI71" s="117"/>
      <c r="AJ71" s="132"/>
      <c r="AK71" s="132"/>
      <c r="AL71" s="36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15">
        <v>1</v>
      </c>
      <c r="B72" s="135" t="s">
        <v>34</v>
      </c>
      <c r="C72" s="13"/>
      <c r="D72" s="13"/>
      <c r="E72" s="46"/>
      <c r="F72" s="46"/>
      <c r="G72" s="46"/>
      <c r="H72" s="46"/>
      <c r="I72" s="46"/>
      <c r="J72" s="13"/>
      <c r="K72" s="46"/>
      <c r="L72" s="46"/>
      <c r="M72" s="46"/>
      <c r="N72" s="13"/>
      <c r="O72" s="46"/>
      <c r="P72" s="46"/>
      <c r="Q72" s="46"/>
      <c r="R72" s="13"/>
      <c r="S72" s="46"/>
      <c r="T72" s="13"/>
      <c r="U72" s="46"/>
      <c r="V72" s="46"/>
      <c r="W72" s="46"/>
      <c r="X72" s="13"/>
      <c r="Y72" s="46"/>
      <c r="Z72" s="13"/>
      <c r="AA72" s="46"/>
      <c r="AB72" s="13"/>
      <c r="AC72" s="46"/>
      <c r="AD72" s="13"/>
      <c r="AE72" s="46"/>
      <c r="AF72" s="13"/>
      <c r="AG72" s="46"/>
      <c r="AH72" s="13"/>
      <c r="AI72" s="46"/>
      <c r="AJ72" s="46"/>
      <c r="AK72" s="66"/>
      <c r="AL72" s="13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15"/>
      <c r="B73" s="129"/>
      <c r="C73" s="13"/>
      <c r="D73" s="13"/>
      <c r="E73" s="46"/>
      <c r="F73" s="46"/>
      <c r="G73" s="46"/>
      <c r="H73" s="46"/>
      <c r="I73" s="46"/>
      <c r="J73" s="13"/>
      <c r="K73" s="46"/>
      <c r="L73" s="46"/>
      <c r="M73" s="46"/>
      <c r="N73" s="13"/>
      <c r="O73" s="46"/>
      <c r="P73" s="46"/>
      <c r="Q73" s="46"/>
      <c r="R73" s="13"/>
      <c r="S73" s="46"/>
      <c r="T73" s="13"/>
      <c r="U73" s="46"/>
      <c r="V73" s="46"/>
      <c r="W73" s="46"/>
      <c r="X73" s="13"/>
      <c r="Y73" s="46"/>
      <c r="Z73" s="13"/>
      <c r="AA73" s="46"/>
      <c r="AB73" s="13"/>
      <c r="AC73" s="46"/>
      <c r="AD73" s="13"/>
      <c r="AE73" s="46"/>
      <c r="AF73" s="13"/>
      <c r="AG73" s="46"/>
      <c r="AH73" s="13"/>
      <c r="AI73" s="46"/>
      <c r="AJ73" s="46"/>
      <c r="AK73" s="66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15">
        <f>+A72+1</f>
        <v>2</v>
      </c>
      <c r="B74" s="129" t="s">
        <v>146</v>
      </c>
      <c r="C74" s="39">
        <f>SUM(E74:AI74)</f>
        <v>338794.7432492231</v>
      </c>
      <c r="D74" s="39"/>
      <c r="E74" s="39">
        <f>+'H-2 Reclass-Workpaper'!E19</f>
        <v>306274.9444636884</v>
      </c>
      <c r="F74" s="39"/>
      <c r="G74" s="39">
        <f>+'H-2 Reclass-Workpaper'!I19</f>
        <v>716</v>
      </c>
      <c r="H74" s="39"/>
      <c r="I74" s="39">
        <f>+'H-2 Reclass-Workpaper'!M19</f>
        <v>63</v>
      </c>
      <c r="J74" s="39"/>
      <c r="K74" s="39">
        <f>+'H-2 Reclass-Workpaper'!O19</f>
        <v>792</v>
      </c>
      <c r="L74" s="39"/>
      <c r="M74" s="39">
        <f>+'H-2 Reclass-Workpaper'!Q19</f>
        <v>10426.083333333332</v>
      </c>
      <c r="N74" s="39"/>
      <c r="O74" s="39">
        <f>+'H-2 Reclass-Workpaper'!S19</f>
        <v>13327.866892404887</v>
      </c>
      <c r="P74" s="39"/>
      <c r="Q74" s="39">
        <f>+'H-2 Reclass-Workpaper'!W19</f>
        <v>6063.641221374046</v>
      </c>
      <c r="R74" s="39"/>
      <c r="S74" s="39">
        <f>+'H-2 Reclass-Workpaper'!Y19</f>
        <v>827.7073384223919</v>
      </c>
      <c r="T74" s="39"/>
      <c r="U74" s="39">
        <f>+'H-2 Reclass-Workpaper'!AA19</f>
        <v>123</v>
      </c>
      <c r="V74" s="39"/>
      <c r="W74" s="39">
        <f>+'H-2 Reclass-Workpaper'!AC19-1</f>
        <v>103.5</v>
      </c>
      <c r="X74" s="9"/>
      <c r="Y74" s="39">
        <f>+'H-2 Reclass-Workpaper'!AE19</f>
        <v>26</v>
      </c>
      <c r="Z74" s="39"/>
      <c r="AA74" s="39">
        <f>+'H-2 Reclass-Workpaper'!AG19</f>
        <v>14</v>
      </c>
      <c r="AB74" s="9"/>
      <c r="AC74" s="39">
        <f>+'H-2 Reclass-Workpaper'!AI19</f>
        <v>3</v>
      </c>
      <c r="AD74" s="9"/>
      <c r="AE74" s="39">
        <f>+'H-2 Reclass-Workpaper'!AK19</f>
        <v>15</v>
      </c>
      <c r="AF74" s="9"/>
      <c r="AG74" s="39">
        <f>+'H-2 Reclass-Workpaper'!AM19</f>
        <v>11</v>
      </c>
      <c r="AH74" s="9"/>
      <c r="AI74" s="39">
        <f>+'H-2 Reclass-Workpaper'!AO19+1</f>
        <v>8</v>
      </c>
      <c r="AJ74" s="9"/>
      <c r="AK74" s="71"/>
      <c r="AL74" s="13"/>
      <c r="AM74" s="13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30.75" customHeight="1">
      <c r="A75" s="15">
        <f>+A74+1</f>
        <v>3</v>
      </c>
      <c r="B75" s="129" t="s">
        <v>35</v>
      </c>
      <c r="C75" s="78"/>
      <c r="D75" s="78"/>
      <c r="E75" s="79">
        <f>'[4]SCHE-7'!E$39</f>
        <v>1</v>
      </c>
      <c r="F75" s="79"/>
      <c r="G75" s="79">
        <f>'[4]SCHE-7'!G$39</f>
        <v>1</v>
      </c>
      <c r="H75" s="79"/>
      <c r="I75" s="79">
        <f>'[4]SCHE-7'!K$39</f>
        <v>0.6657929226736566</v>
      </c>
      <c r="J75" s="79"/>
      <c r="K75" s="79">
        <f>'[4]SCHE-7'!M$39</f>
        <v>2.2083879423328963</v>
      </c>
      <c r="L75" s="79"/>
      <c r="M75" s="79">
        <f>'[4]SCHE-7'!O$39</f>
        <v>2.2083879423328963</v>
      </c>
      <c r="N75" s="79"/>
      <c r="O75" s="79">
        <f>'[4]SCHE-7'!Q$39</f>
        <v>3.54521625163827</v>
      </c>
      <c r="P75" s="79"/>
      <c r="Q75" s="79">
        <f>'[4]SCHE-7'!S$39</f>
        <v>5.740498034076015</v>
      </c>
      <c r="R75" s="79"/>
      <c r="S75" s="79">
        <f>'[4]SCHE-7'!U$39</f>
        <v>11.697247706422019</v>
      </c>
      <c r="T75" s="80"/>
      <c r="U75" s="79">
        <f>'[4]SCHE-7'!G$97</f>
        <v>14.102228047182175</v>
      </c>
      <c r="V75" s="80"/>
      <c r="W75" s="79">
        <f>'[4]SCHE-7'!I$97</f>
        <v>16.00262123197903</v>
      </c>
      <c r="X75" s="81"/>
      <c r="Y75" s="79">
        <f>'[4]SCHE-7'!K$97</f>
        <v>16.00262123197903</v>
      </c>
      <c r="Z75" s="80"/>
      <c r="AA75" s="79">
        <f>'[4]SCHE-7'!M$97</f>
        <v>25.557011795543907</v>
      </c>
      <c r="AB75" s="81"/>
      <c r="AC75" s="79">
        <f>'[4]SCHE-7'!O$97</f>
        <v>33.42070773263434</v>
      </c>
      <c r="AD75" s="81"/>
      <c r="AE75" s="79">
        <f>'[4]SCHE-7'!Q$97</f>
        <v>12.496723460026212</v>
      </c>
      <c r="AF75" s="81"/>
      <c r="AG75" s="79">
        <f>'[4]SCHE-7'!S$97</f>
        <v>12.496723460026212</v>
      </c>
      <c r="AH75" s="81"/>
      <c r="AI75" s="79">
        <f>'[4]SCHE-7'!U$97</f>
        <v>33.42070773263434</v>
      </c>
      <c r="AJ75" s="81"/>
      <c r="AK75" s="73"/>
      <c r="AL75" s="13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88" ht="22.5" customHeight="1">
      <c r="A76" s="15">
        <f>+A75+1</f>
        <v>4</v>
      </c>
      <c r="B76" s="129" t="s">
        <v>36</v>
      </c>
      <c r="C76" s="39">
        <f>SUM(E76:AI76)</f>
        <v>428404.41222995316</v>
      </c>
      <c r="D76" s="39"/>
      <c r="E76" s="39">
        <f aca="true" t="shared" si="3" ref="E76:W76">E74*E75</f>
        <v>306274.9444636884</v>
      </c>
      <c r="F76" s="39"/>
      <c r="G76" s="39">
        <f t="shared" si="3"/>
        <v>716</v>
      </c>
      <c r="H76" s="39"/>
      <c r="I76" s="39">
        <f t="shared" si="3"/>
        <v>41.944954128440365</v>
      </c>
      <c r="J76" s="39"/>
      <c r="K76" s="39">
        <f t="shared" si="3"/>
        <v>1749.0432503276538</v>
      </c>
      <c r="L76" s="39"/>
      <c r="M76" s="39">
        <f t="shared" si="3"/>
        <v>23024.8367190913</v>
      </c>
      <c r="N76" s="39"/>
      <c r="O76" s="39">
        <f t="shared" si="3"/>
        <v>47250.170306625456</v>
      </c>
      <c r="P76" s="39"/>
      <c r="Q76" s="39">
        <f t="shared" si="3"/>
        <v>34808.32051064</v>
      </c>
      <c r="R76" s="39"/>
      <c r="S76" s="39">
        <f t="shared" si="3"/>
        <v>9681.897765949998</v>
      </c>
      <c r="T76" s="39"/>
      <c r="U76" s="39">
        <f t="shared" si="3"/>
        <v>1734.5740498034074</v>
      </c>
      <c r="V76" s="39"/>
      <c r="W76" s="39">
        <f t="shared" si="3"/>
        <v>1656.2712975098298</v>
      </c>
      <c r="X76" s="39"/>
      <c r="Y76" s="39">
        <f>Y74*Y75</f>
        <v>416.0681520314548</v>
      </c>
      <c r="Z76" s="39"/>
      <c r="AA76" s="39">
        <f>AA74*AA75</f>
        <v>357.7981651376147</v>
      </c>
      <c r="AB76" s="39"/>
      <c r="AC76" s="39">
        <f>AC74*AC75</f>
        <v>100.26212319790302</v>
      </c>
      <c r="AD76" s="39"/>
      <c r="AE76" s="39">
        <f>AE74*AE75</f>
        <v>187.4508519003932</v>
      </c>
      <c r="AF76" s="39"/>
      <c r="AG76" s="39">
        <f>AG74*AG75</f>
        <v>137.46395806028832</v>
      </c>
      <c r="AH76" s="39"/>
      <c r="AI76" s="39">
        <f>AI74*AI75</f>
        <v>267.3656618610747</v>
      </c>
      <c r="AJ76" s="39"/>
      <c r="AK76" s="136"/>
      <c r="AL76" s="13"/>
      <c r="AM76" s="9"/>
      <c r="AN76" s="9"/>
      <c r="AO76" s="9"/>
      <c r="AP76" s="9"/>
      <c r="AQ76" s="8"/>
      <c r="AR76" s="9"/>
      <c r="AS76" s="9"/>
      <c r="AT76" s="9"/>
      <c r="AU76" s="9"/>
      <c r="AV76" s="9"/>
      <c r="AW76" s="9"/>
      <c r="AX76" s="9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</row>
    <row r="77" spans="1:50" ht="15">
      <c r="A77" s="15">
        <f>+A76+1</f>
        <v>5</v>
      </c>
      <c r="B77" s="129" t="s">
        <v>161</v>
      </c>
      <c r="C77" s="97">
        <f>SUM(E77:AI77)</f>
        <v>1.0000000000000002</v>
      </c>
      <c r="D77" s="97"/>
      <c r="E77" s="97">
        <f aca="true" t="shared" si="4" ref="E77:S77">E76/$C76</f>
        <v>0.7149201448917157</v>
      </c>
      <c r="F77" s="97"/>
      <c r="G77" s="97">
        <f t="shared" si="4"/>
        <v>0.0016713179873032568</v>
      </c>
      <c r="H77" s="97"/>
      <c r="I77" s="97">
        <f t="shared" si="4"/>
        <v>9.790971551881617E-05</v>
      </c>
      <c r="J77" s="97"/>
      <c r="K77" s="97">
        <f t="shared" si="4"/>
        <v>0.00408269196207257</v>
      </c>
      <c r="L77" s="97"/>
      <c r="M77" s="97">
        <f t="shared" si="4"/>
        <v>0.05374556391527625</v>
      </c>
      <c r="N77" s="97"/>
      <c r="O77" s="97">
        <f t="shared" si="4"/>
        <v>0.11029337924106894</v>
      </c>
      <c r="P77" s="97"/>
      <c r="Q77" s="97">
        <f t="shared" si="4"/>
        <v>0.08125107845984568</v>
      </c>
      <c r="R77" s="97"/>
      <c r="S77" s="97">
        <f t="shared" si="4"/>
        <v>0.022599902077462916</v>
      </c>
      <c r="T77" s="97"/>
      <c r="U77" s="97">
        <f>U76/$C76</f>
        <v>0.004048917332047332</v>
      </c>
      <c r="V77" s="97"/>
      <c r="W77" s="97">
        <f>W76/$C76</f>
        <v>0.0038661396807015114</v>
      </c>
      <c r="X77" s="97"/>
      <c r="Y77" s="97">
        <f>Y76/$C76</f>
        <v>0.0009712041709974811</v>
      </c>
      <c r="Z77" s="97"/>
      <c r="AA77" s="97">
        <f>AA76/$C76</f>
        <v>0.0008351878620371459</v>
      </c>
      <c r="AB77" s="97"/>
      <c r="AC77" s="97">
        <f>AC76/$C76</f>
        <v>0.00023403615914227715</v>
      </c>
      <c r="AD77" s="97"/>
      <c r="AE77" s="97">
        <f>AE76/$C76</f>
        <v>0.0004375558387101201</v>
      </c>
      <c r="AF77" s="97"/>
      <c r="AG77" s="97">
        <f>AG76/$C76</f>
        <v>0.0003208742817207547</v>
      </c>
      <c r="AH77" s="97"/>
      <c r="AI77" s="97">
        <f>AI76/$C76</f>
        <v>0.0006240964243794057</v>
      </c>
      <c r="AJ77" s="97"/>
      <c r="AK77" s="137"/>
      <c r="AL77" s="56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37:56" ht="27" customHeight="1">
      <c r="AK78" s="76"/>
      <c r="AL78" s="13"/>
      <c r="AM78" s="8"/>
      <c r="AN78" s="8"/>
      <c r="AO78" s="76"/>
      <c r="AP78" s="38"/>
      <c r="AQ78" s="70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1:56" ht="15">
      <c r="A79" s="15">
        <f>+A77+1</f>
        <v>6</v>
      </c>
      <c r="B79" s="129" t="s">
        <v>215</v>
      </c>
      <c r="C79" s="39">
        <f>SUM(E79:AI79)</f>
        <v>427262.91812772513</v>
      </c>
      <c r="D79" s="76"/>
      <c r="E79" s="76">
        <f>+E76</f>
        <v>306274.9444636884</v>
      </c>
      <c r="G79" s="76">
        <f>+G76</f>
        <v>716</v>
      </c>
      <c r="I79" s="76">
        <f>+I76</f>
        <v>41.944954128440365</v>
      </c>
      <c r="K79" s="76">
        <f>+K76</f>
        <v>1749.0432503276538</v>
      </c>
      <c r="M79" s="76">
        <f>+M76</f>
        <v>23024.8367190913</v>
      </c>
      <c r="O79" s="76">
        <f>+O76</f>
        <v>47250.170306625456</v>
      </c>
      <c r="Q79" s="76">
        <f>+Q76</f>
        <v>34808.32051064</v>
      </c>
      <c r="S79" s="76">
        <f>+S76</f>
        <v>9681.897765949998</v>
      </c>
      <c r="U79" s="76">
        <f>+U76</f>
        <v>1734.5740498034074</v>
      </c>
      <c r="W79" s="76">
        <f>+W76</f>
        <v>1656.2712975098298</v>
      </c>
      <c r="Y79" s="76">
        <v>0</v>
      </c>
      <c r="AA79" s="76">
        <v>0</v>
      </c>
      <c r="AC79" s="76">
        <v>0</v>
      </c>
      <c r="AE79" s="76">
        <f>+AE76</f>
        <v>187.4508519003932</v>
      </c>
      <c r="AG79" s="76">
        <f>+AG76</f>
        <v>137.46395806028832</v>
      </c>
      <c r="AI79" s="76">
        <v>0</v>
      </c>
      <c r="AK79" s="138"/>
      <c r="AM79" s="34"/>
      <c r="AN79" s="34"/>
      <c r="AO79" s="34"/>
      <c r="AP79" s="38"/>
      <c r="AQ79" s="70"/>
      <c r="AR79" s="13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</row>
    <row r="80" spans="1:50" ht="15">
      <c r="A80" s="15">
        <f>+A79+1</f>
        <v>7</v>
      </c>
      <c r="B80" s="129" t="s">
        <v>161</v>
      </c>
      <c r="C80" s="37">
        <f>SUM(E80:AI80)</f>
        <v>1.0000000000000002</v>
      </c>
      <c r="D80" s="96"/>
      <c r="E80" s="96">
        <f>+E79/$C$79</f>
        <v>0.716830156489572</v>
      </c>
      <c r="F80" s="96"/>
      <c r="G80" s="96">
        <f>+G79/$C$79</f>
        <v>0.0016757831527658114</v>
      </c>
      <c r="H80" s="96"/>
      <c r="I80" s="96">
        <f>+I79/$C$79</f>
        <v>9.817129535192058E-05</v>
      </c>
      <c r="J80" s="96"/>
      <c r="K80" s="96">
        <f>+K79/$C$79</f>
        <v>0.004093599458600333</v>
      </c>
      <c r="L80" s="96"/>
      <c r="M80" s="96">
        <f>+M79/$C$79</f>
        <v>0.05388915288971626</v>
      </c>
      <c r="N80" s="96"/>
      <c r="O80" s="96">
        <f>+O79/$C$79</f>
        <v>0.11058804380608706</v>
      </c>
      <c r="P80" s="96"/>
      <c r="Q80" s="96">
        <f>+Q79/$C$79</f>
        <v>0.08146815235726698</v>
      </c>
      <c r="R80" s="96"/>
      <c r="S80" s="96">
        <f>+S79/$C$79</f>
        <v>0.022660280953882617</v>
      </c>
      <c r="T80" s="96"/>
      <c r="U80" s="96">
        <f>+U79/$C$79</f>
        <v>0.004059734594811894</v>
      </c>
      <c r="V80" s="96"/>
      <c r="W80" s="96">
        <f>+W79/$C$79</f>
        <v>0.003876468626782882</v>
      </c>
      <c r="X80" s="96"/>
      <c r="Y80" s="96">
        <f>+Y79/$C$79</f>
        <v>0</v>
      </c>
      <c r="Z80" s="96"/>
      <c r="AA80" s="96">
        <f>+AA79/$C$79</f>
        <v>0</v>
      </c>
      <c r="AB80" s="96"/>
      <c r="AC80" s="96">
        <f>+AC79/$C$79</f>
        <v>0</v>
      </c>
      <c r="AD80" s="96"/>
      <c r="AE80" s="96">
        <f>+AE79/$C$79</f>
        <v>0.00043872483182441077</v>
      </c>
      <c r="AF80" s="97"/>
      <c r="AG80" s="96">
        <f>+AG79/$C$79</f>
        <v>0.00032173154333790116</v>
      </c>
      <c r="AH80" s="97"/>
      <c r="AI80" s="96">
        <f>+AI79/$C$79</f>
        <v>0</v>
      </c>
      <c r="AJ80" s="96"/>
      <c r="AK80" s="72"/>
      <c r="AL80" s="13"/>
      <c r="AM80" s="9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15"/>
      <c r="B81" s="129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72"/>
      <c r="AL81" s="13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15"/>
      <c r="B82" s="129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97"/>
      <c r="X82" s="37"/>
      <c r="Y82" s="37"/>
      <c r="Z82" s="37"/>
      <c r="AA82" s="37"/>
      <c r="AB82" s="37"/>
      <c r="AC82" s="37"/>
      <c r="AD82" s="37"/>
      <c r="AE82" s="37"/>
      <c r="AF82" s="37"/>
      <c r="AG82" s="97"/>
      <c r="AH82" s="37"/>
      <c r="AI82" s="37"/>
      <c r="AJ82" s="37"/>
      <c r="AK82" s="61"/>
      <c r="AL82" s="13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15">
        <f>+A80+1</f>
        <v>8</v>
      </c>
      <c r="B83" s="135" t="s">
        <v>38</v>
      </c>
      <c r="C83" s="13"/>
      <c r="D83" s="13"/>
      <c r="E83" s="37"/>
      <c r="F83" s="37"/>
      <c r="G83" s="37"/>
      <c r="H83" s="37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9"/>
      <c r="AL83" s="35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15"/>
      <c r="B84" s="12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71"/>
      <c r="AL84" s="24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15">
        <f>+A83+1</f>
        <v>9</v>
      </c>
      <c r="B85" s="129" t="s">
        <v>126</v>
      </c>
      <c r="C85" s="39">
        <f>SUM(E85:AI85)</f>
        <v>150893509.47123307</v>
      </c>
      <c r="D85" s="76"/>
      <c r="E85" s="76">
        <f>+'H-2 Reclass-Workpaper'!E60</f>
        <v>17613311.125313114</v>
      </c>
      <c r="F85" s="76"/>
      <c r="G85" s="76">
        <f>+'H-2 Reclass-Workpaper'!I60</f>
        <v>0</v>
      </c>
      <c r="H85" s="76"/>
      <c r="I85" s="76">
        <f>+'H-2 Reclass-Workpaper'!M60</f>
        <v>157300.51540154777</v>
      </c>
      <c r="J85" s="76"/>
      <c r="K85" s="76">
        <f>+'H-2 Reclass-Workpaper'!O60</f>
        <v>0</v>
      </c>
      <c r="L85" s="76"/>
      <c r="M85" s="76">
        <f>+'H-2 Reclass-Workpaper'!Q60</f>
        <v>1612357.8790144403</v>
      </c>
      <c r="N85" s="76"/>
      <c r="O85" s="76">
        <f>+'H-2 Reclass-Workpaper'!S60</f>
        <v>13542236.225405112</v>
      </c>
      <c r="P85" s="76"/>
      <c r="Q85" s="76">
        <f>+'H-2 Reclass-Workpaper'!W60</f>
        <v>23947912.56008207</v>
      </c>
      <c r="R85" s="76"/>
      <c r="S85" s="76">
        <f>+'H-2 Reclass-Workpaper'!Y60</f>
        <v>13593474.337951422</v>
      </c>
      <c r="T85" s="76"/>
      <c r="U85" s="76">
        <f>+'H-2 Reclass-Workpaper'!AA60</f>
        <v>7494403.433060095</v>
      </c>
      <c r="V85" s="76"/>
      <c r="W85" s="76">
        <f>+'H-2 Reclass-Workpaper'!AC60</f>
        <v>11490342.909873236</v>
      </c>
      <c r="X85" s="76"/>
      <c r="Y85" s="76">
        <f>+'H-2 Reclass-Workpaper'!AE60</f>
        <v>5124865.751563903</v>
      </c>
      <c r="Z85" s="39"/>
      <c r="AA85" s="76">
        <f>+'H-2 Reclass-Workpaper'!AG60</f>
        <v>14265719.504763521</v>
      </c>
      <c r="AB85" s="9"/>
      <c r="AC85" s="76">
        <f>+'H-2 Reclass-Workpaper'!AI60</f>
        <v>14267525.932844575</v>
      </c>
      <c r="AD85" s="9"/>
      <c r="AE85" s="76">
        <f>+'H-2 Reclass-Workpaper'!AK60</f>
        <v>71897.49746557928</v>
      </c>
      <c r="AF85" s="9"/>
      <c r="AG85" s="76">
        <f>+'H-2 Reclass-Workpaper'!AM60</f>
        <v>231613.83194444442</v>
      </c>
      <c r="AH85" s="9"/>
      <c r="AI85" s="76">
        <f>+'H-2 Reclass-Workpaper'!AO60</f>
        <v>27480547.966550022</v>
      </c>
      <c r="AJ85" s="96"/>
      <c r="AK85" s="96"/>
      <c r="AL85" s="23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15">
        <f>+A85+1</f>
        <v>10</v>
      </c>
      <c r="B86" s="129" t="s">
        <v>161</v>
      </c>
      <c r="C86" s="96">
        <f>SUM(E86:AI86)</f>
        <v>1</v>
      </c>
      <c r="D86" s="96"/>
      <c r="E86" s="96">
        <f>E85/$C$85</f>
        <v>0.11672676437200226</v>
      </c>
      <c r="F86" s="96"/>
      <c r="G86" s="96">
        <f>G85/$C$85</f>
        <v>0</v>
      </c>
      <c r="H86" s="96"/>
      <c r="I86" s="96">
        <f>I85/$C$85</f>
        <v>0.0010424604474557348</v>
      </c>
      <c r="J86" s="96"/>
      <c r="K86" s="96">
        <f>K85/$C$85</f>
        <v>0</v>
      </c>
      <c r="L86" s="96"/>
      <c r="M86" s="96">
        <f>M85/$C$85</f>
        <v>0.010685402471349019</v>
      </c>
      <c r="N86" s="96"/>
      <c r="O86" s="96">
        <f>O85/$C$85</f>
        <v>0.08974697634683125</v>
      </c>
      <c r="P86" s="96"/>
      <c r="Q86" s="96">
        <f>Q85/$C$85</f>
        <v>0.1587073734582838</v>
      </c>
      <c r="R86" s="96"/>
      <c r="S86" s="96">
        <f>S85/$C$85</f>
        <v>0.09008654106850722</v>
      </c>
      <c r="T86" s="96"/>
      <c r="U86" s="96">
        <f>U85/$C$85</f>
        <v>0.04966683762159337</v>
      </c>
      <c r="V86" s="96"/>
      <c r="W86" s="96">
        <f>W85/$C$85</f>
        <v>0.07614868890078934</v>
      </c>
      <c r="X86" s="96"/>
      <c r="Y86" s="96">
        <f>Y85/$C$85</f>
        <v>0.0339634605194263</v>
      </c>
      <c r="Z86" s="97"/>
      <c r="AA86" s="96">
        <f>AA85/$C$85</f>
        <v>0.09454163770697635</v>
      </c>
      <c r="AB86" s="97"/>
      <c r="AC86" s="96">
        <f>AC85/$C$85</f>
        <v>0.09455360924960522</v>
      </c>
      <c r="AD86" s="96"/>
      <c r="AE86" s="96">
        <f>AE85/$C$85</f>
        <v>0.00047647839670192106</v>
      </c>
      <c r="AF86" s="96"/>
      <c r="AG86" s="96">
        <f>AG85/$C$85</f>
        <v>0.0015349489368765739</v>
      </c>
      <c r="AH86" s="96"/>
      <c r="AI86" s="96">
        <f>AI85/$C$85</f>
        <v>0.18211882050360173</v>
      </c>
      <c r="AJ86" s="96"/>
      <c r="AK86" s="96"/>
      <c r="AL86" s="23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36:50" ht="15">
      <c r="AJ87" s="96"/>
      <c r="AK87" s="96"/>
      <c r="AL87" s="23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15">
        <f>+A86+1</f>
        <v>11</v>
      </c>
      <c r="B88" s="129" t="s">
        <v>178</v>
      </c>
      <c r="C88" s="39">
        <f>SUM(E88:AI88)</f>
        <v>113564726.71313807</v>
      </c>
      <c r="D88" s="76"/>
      <c r="E88" s="76">
        <f>+'H-2 Reclass-Workpaper'!E66</f>
        <v>17613311.125313114</v>
      </c>
      <c r="F88" s="76"/>
      <c r="G88" s="76">
        <f>+'H-2 Reclass-Workpaper'!I66</f>
        <v>0</v>
      </c>
      <c r="H88" s="76"/>
      <c r="I88" s="76">
        <f>+'H-2 Reclass-Workpaper'!M66</f>
        <v>157300.51540154777</v>
      </c>
      <c r="J88" s="76"/>
      <c r="K88" s="76">
        <f>+'H-2 Reclass-Workpaper'!O66</f>
        <v>0</v>
      </c>
      <c r="L88" s="76"/>
      <c r="M88" s="76">
        <f>+'H-2 Reclass-Workpaper'!Q66</f>
        <v>1612357.8790144403</v>
      </c>
      <c r="N88" s="76"/>
      <c r="O88" s="76">
        <f>+'H-2 Reclass-Workpaper'!S66</f>
        <v>13542236.225405112</v>
      </c>
      <c r="P88" s="76"/>
      <c r="Q88" s="76">
        <f>+'H-2 Reclass-Workpaper'!W66</f>
        <v>23947912.56008207</v>
      </c>
      <c r="R88" s="76"/>
      <c r="S88" s="76">
        <f>+'H-2 Reclass-Workpaper'!Y66</f>
        <v>13593474.337951422</v>
      </c>
      <c r="T88" s="76"/>
      <c r="U88" s="76">
        <f>+'H-2 Reclass-Workpaper'!AA66</f>
        <v>7494403.433060095</v>
      </c>
      <c r="V88" s="76"/>
      <c r="W88" s="76">
        <f>+'H-2 Reclass-Workpaper'!AC66</f>
        <v>11490342.909873236</v>
      </c>
      <c r="X88" s="76"/>
      <c r="Y88" s="76">
        <f>+'H-2 Reclass-Workpaper'!AE66</f>
        <v>5124865.751563903</v>
      </c>
      <c r="Z88" s="39"/>
      <c r="AA88" s="76">
        <f>+'H-2 Reclass-Workpaper'!AG66</f>
        <v>9443419.646489043</v>
      </c>
      <c r="AB88" s="9"/>
      <c r="AC88" s="76">
        <f>+'H-2 Reclass-Workpaper'!AI66</f>
        <v>0.08936327695846558</v>
      </c>
      <c r="AD88" s="9"/>
      <c r="AE88" s="76">
        <f>+'H-2 Reclass-Workpaper'!AK66</f>
        <v>71897.49746557928</v>
      </c>
      <c r="AF88" s="9"/>
      <c r="AG88" s="76">
        <f>+'H-2 Reclass-Workpaper'!AM66</f>
        <v>231613.83194444442</v>
      </c>
      <c r="AH88" s="9"/>
      <c r="AI88" s="76">
        <f>+'H-2 Reclass-Workpaper'!AO66</f>
        <v>9241590.910210792</v>
      </c>
      <c r="AJ88" s="96"/>
      <c r="AK88" s="96"/>
      <c r="AL88" s="23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15">
        <f>+A88+1</f>
        <v>12</v>
      </c>
      <c r="B89" s="129" t="s">
        <v>161</v>
      </c>
      <c r="C89" s="96">
        <f>SUM(E89:AI89)</f>
        <v>1.0000000000000002</v>
      </c>
      <c r="D89" s="96"/>
      <c r="E89" s="96">
        <f>E88/$C$88</f>
        <v>0.15509491049808044</v>
      </c>
      <c r="F89" s="96"/>
      <c r="G89" s="96">
        <f>G88/$C$88</f>
        <v>0</v>
      </c>
      <c r="H89" s="96"/>
      <c r="I89" s="96">
        <f>I88/$C$88</f>
        <v>0.0013851177205655178</v>
      </c>
      <c r="J89" s="96"/>
      <c r="K89" s="96">
        <f>K88/$C$88</f>
        <v>0</v>
      </c>
      <c r="L89" s="96"/>
      <c r="M89" s="96">
        <f>M88/$C$88</f>
        <v>0.014197699635091975</v>
      </c>
      <c r="N89" s="96"/>
      <c r="O89" s="96">
        <f>O88/$C$88</f>
        <v>0.11924685258665302</v>
      </c>
      <c r="P89" s="96"/>
      <c r="Q89" s="96">
        <f>Q88/$C$88</f>
        <v>0.21087456689411982</v>
      </c>
      <c r="R89" s="96"/>
      <c r="S89" s="96">
        <f>S88/$C$88</f>
        <v>0.11969803240303857</v>
      </c>
      <c r="T89" s="96"/>
      <c r="U89" s="96">
        <f>U88/$C$88</f>
        <v>0.06599235211467366</v>
      </c>
      <c r="V89" s="96"/>
      <c r="W89" s="96">
        <f>W88/$C$88</f>
        <v>0.10117880122141783</v>
      </c>
      <c r="X89" s="96"/>
      <c r="Y89" s="96">
        <f>Y88/$C$88</f>
        <v>0.04512726706514425</v>
      </c>
      <c r="Z89" s="97"/>
      <c r="AA89" s="96">
        <f>AA88/$C$88</f>
        <v>0.0831545139041536</v>
      </c>
      <c r="AB89" s="97"/>
      <c r="AC89" s="96">
        <f>AC88/$C$88</f>
        <v>7.868928983926073E-10</v>
      </c>
      <c r="AD89" s="96"/>
      <c r="AE89" s="96">
        <f>AE88/$C$88</f>
        <v>0.0006330970852172324</v>
      </c>
      <c r="AF89" s="96"/>
      <c r="AG89" s="96">
        <f>AG88/$C$88</f>
        <v>0.0020394874240264385</v>
      </c>
      <c r="AH89" s="96"/>
      <c r="AI89" s="96">
        <f>AI88/$C$88</f>
        <v>0.08137730066092477</v>
      </c>
      <c r="AJ89" s="96"/>
      <c r="AK89" s="96"/>
      <c r="AL89" s="23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2:50" ht="15">
      <c r="B90" s="129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7"/>
      <c r="AA90" s="96"/>
      <c r="AB90" s="97"/>
      <c r="AC90" s="96"/>
      <c r="AD90" s="96"/>
      <c r="AE90" s="96"/>
      <c r="AF90" s="96"/>
      <c r="AG90" s="96"/>
      <c r="AH90" s="96"/>
      <c r="AI90" s="96"/>
      <c r="AJ90" s="96"/>
      <c r="AK90" s="96"/>
      <c r="AL90" s="23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15">
        <f>+A89+1</f>
        <v>13</v>
      </c>
      <c r="B91" s="129" t="s">
        <v>185</v>
      </c>
      <c r="C91" s="39">
        <f>SUM(E91:AI91)</f>
        <v>94879716.06707497</v>
      </c>
      <c r="E91" s="76">
        <f>+E88</f>
        <v>17613311.125313114</v>
      </c>
      <c r="F91" s="96"/>
      <c r="G91" s="76">
        <f>+G88</f>
        <v>0</v>
      </c>
      <c r="H91" s="96"/>
      <c r="I91" s="76">
        <f>+I88</f>
        <v>157300.51540154777</v>
      </c>
      <c r="J91" s="96"/>
      <c r="K91" s="76">
        <f>+K88</f>
        <v>0</v>
      </c>
      <c r="L91" s="96"/>
      <c r="M91" s="76">
        <f>+M88</f>
        <v>1612357.8790144403</v>
      </c>
      <c r="N91" s="96"/>
      <c r="O91" s="76">
        <f>+O88</f>
        <v>13542236.225405112</v>
      </c>
      <c r="P91" s="96"/>
      <c r="Q91" s="76">
        <f>+Q88</f>
        <v>23947912.56008207</v>
      </c>
      <c r="R91" s="96"/>
      <c r="S91" s="76">
        <f>+S88</f>
        <v>13593474.337951422</v>
      </c>
      <c r="T91" s="96"/>
      <c r="U91" s="76">
        <f>+U88</f>
        <v>7494403.433060095</v>
      </c>
      <c r="V91" s="96"/>
      <c r="W91" s="76">
        <f>+W88</f>
        <v>11490342.909873236</v>
      </c>
      <c r="X91" s="96"/>
      <c r="Y91" s="76">
        <f>+Y88</f>
        <v>5124865.751563903</v>
      </c>
      <c r="Z91" s="97"/>
      <c r="AA91" s="96">
        <v>0</v>
      </c>
      <c r="AB91" s="97"/>
      <c r="AC91" s="96">
        <v>0</v>
      </c>
      <c r="AD91" s="96"/>
      <c r="AE91" s="76">
        <f>+AE88</f>
        <v>71897.49746557928</v>
      </c>
      <c r="AF91" s="96"/>
      <c r="AG91" s="76">
        <f>+AG88</f>
        <v>231613.83194444442</v>
      </c>
      <c r="AH91" s="96"/>
      <c r="AI91" s="96">
        <v>0</v>
      </c>
      <c r="AJ91" s="96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15">
        <f>+A91+1</f>
        <v>14</v>
      </c>
      <c r="B92" s="129" t="s">
        <v>161</v>
      </c>
      <c r="C92" s="96">
        <f>SUM(E92:AI92)</f>
        <v>1</v>
      </c>
      <c r="D92" s="96"/>
      <c r="E92" s="96">
        <f>E91/$C91</f>
        <v>0.18563832034300598</v>
      </c>
      <c r="F92" s="96"/>
      <c r="G92" s="96">
        <f>G91/$C91</f>
        <v>0</v>
      </c>
      <c r="H92" s="96"/>
      <c r="I92" s="96">
        <f>I91/$C91</f>
        <v>0.0016578940359638576</v>
      </c>
      <c r="J92" s="96"/>
      <c r="K92" s="96">
        <f>K91/$C91</f>
        <v>0</v>
      </c>
      <c r="L92" s="96"/>
      <c r="M92" s="96">
        <f>M91/$C91</f>
        <v>0.01699370472266789</v>
      </c>
      <c r="N92" s="96"/>
      <c r="O92" s="96">
        <f>O91/$C91</f>
        <v>0.1427305728426871</v>
      </c>
      <c r="P92" s="96"/>
      <c r="Q92" s="96">
        <f>Q91/$C91</f>
        <v>0.25240286915648186</v>
      </c>
      <c r="R92" s="96"/>
      <c r="S92" s="96">
        <f>S91/$C91</f>
        <v>0.1432706051559171</v>
      </c>
      <c r="T92" s="96"/>
      <c r="U92" s="96">
        <f>U91/$C91</f>
        <v>0.07898846817545223</v>
      </c>
      <c r="V92" s="96"/>
      <c r="W92" s="96">
        <f>W91/$C91</f>
        <v>0.12110431382140907</v>
      </c>
      <c r="X92" s="96"/>
      <c r="Y92" s="96">
        <f>Y91/$C91</f>
        <v>0.054014345362721074</v>
      </c>
      <c r="Z92" s="97"/>
      <c r="AA92" s="96">
        <f>AA91/$C91</f>
        <v>0</v>
      </c>
      <c r="AB92" s="97"/>
      <c r="AC92" s="96">
        <f>AC91/$C91</f>
        <v>0</v>
      </c>
      <c r="AD92" s="96"/>
      <c r="AE92" s="96">
        <f>AE91/$C91</f>
        <v>0.0007577752173578547</v>
      </c>
      <c r="AF92" s="96"/>
      <c r="AG92" s="96">
        <f>AG91/$C91</f>
        <v>0.00244113116633597</v>
      </c>
      <c r="AH92" s="96"/>
      <c r="AI92" s="96">
        <f>AI91/$C91</f>
        <v>0</v>
      </c>
      <c r="AJ92" s="96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15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15">
        <f>+A92+1</f>
        <v>15</v>
      </c>
      <c r="B94" s="129" t="s">
        <v>160</v>
      </c>
      <c r="C94" s="39">
        <f>SUM(E94:AI94)</f>
        <v>78264507.40563783</v>
      </c>
      <c r="E94" s="76">
        <f>+E88</f>
        <v>17613311.125313114</v>
      </c>
      <c r="F94" s="96"/>
      <c r="G94" s="76">
        <f>+G88</f>
        <v>0</v>
      </c>
      <c r="H94" s="96"/>
      <c r="I94" s="76">
        <f>+I88</f>
        <v>157300.51540154777</v>
      </c>
      <c r="J94" s="96"/>
      <c r="K94" s="76">
        <f>+K88</f>
        <v>0</v>
      </c>
      <c r="L94" s="96"/>
      <c r="M94" s="76">
        <f>+M88</f>
        <v>1612357.8790144403</v>
      </c>
      <c r="N94" s="96"/>
      <c r="O94" s="76">
        <f>+O88</f>
        <v>13542236.225405112</v>
      </c>
      <c r="P94" s="96"/>
      <c r="Q94" s="76">
        <f>+Q88</f>
        <v>23947912.56008207</v>
      </c>
      <c r="R94" s="96"/>
      <c r="S94" s="76">
        <f>+S88</f>
        <v>13593474.337951422</v>
      </c>
      <c r="T94" s="96"/>
      <c r="U94" s="76">
        <f>+U88</f>
        <v>7494403.433060095</v>
      </c>
      <c r="V94" s="96"/>
      <c r="W94" s="96">
        <v>0</v>
      </c>
      <c r="X94" s="96"/>
      <c r="Y94" s="96">
        <v>0</v>
      </c>
      <c r="Z94" s="97"/>
      <c r="AA94" s="96">
        <v>0</v>
      </c>
      <c r="AB94" s="97"/>
      <c r="AC94" s="96">
        <v>0</v>
      </c>
      <c r="AD94" s="96"/>
      <c r="AE94" s="76">
        <f>+AE88</f>
        <v>71897.49746557928</v>
      </c>
      <c r="AF94" s="96"/>
      <c r="AG94" s="76">
        <f>+AG88</f>
        <v>231613.83194444442</v>
      </c>
      <c r="AH94" s="96"/>
      <c r="AI94" s="96">
        <v>0</v>
      </c>
      <c r="AJ94" s="96"/>
      <c r="AK94" s="96"/>
      <c r="AL94" s="23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61" ht="15">
      <c r="A95" s="15">
        <f>+A94+1</f>
        <v>16</v>
      </c>
      <c r="B95" s="129" t="s">
        <v>161</v>
      </c>
      <c r="C95" s="96">
        <f>SUM(E95:AI95)</f>
        <v>0.9999999999999999</v>
      </c>
      <c r="D95" s="96"/>
      <c r="E95" s="96">
        <f>E94/$C$94</f>
        <v>0.2250485144437813</v>
      </c>
      <c r="F95" s="96"/>
      <c r="G95" s="96">
        <f>G94/$C$94</f>
        <v>0</v>
      </c>
      <c r="H95" s="96"/>
      <c r="I95" s="96">
        <f>I94/$C$94</f>
        <v>0.0020098576048817826</v>
      </c>
      <c r="J95" s="96"/>
      <c r="K95" s="96">
        <f>K94/$C$94</f>
        <v>0</v>
      </c>
      <c r="L95" s="96"/>
      <c r="M95" s="96">
        <f>M94/$C$94</f>
        <v>0.020601393051102156</v>
      </c>
      <c r="N95" s="96"/>
      <c r="O95" s="96">
        <f>O94/$C$94</f>
        <v>0.17303164198321638</v>
      </c>
      <c r="P95" s="96"/>
      <c r="Q95" s="96">
        <f>Q94/$C$94</f>
        <v>0.30598688158812803</v>
      </c>
      <c r="R95" s="96"/>
      <c r="S95" s="96">
        <f>S94/$C$94</f>
        <v>0.17368632076731383</v>
      </c>
      <c r="T95" s="96"/>
      <c r="U95" s="96">
        <f>U94/$C$94</f>
        <v>0.09575737050534648</v>
      </c>
      <c r="V95" s="96"/>
      <c r="W95" s="96">
        <f>W94/$C$94</f>
        <v>0</v>
      </c>
      <c r="X95" s="96"/>
      <c r="Y95" s="96">
        <f>Y94/$C$94</f>
        <v>0</v>
      </c>
      <c r="Z95" s="97"/>
      <c r="AA95" s="96">
        <f>AA94/$C$94</f>
        <v>0</v>
      </c>
      <c r="AB95" s="97"/>
      <c r="AC95" s="96">
        <f>AC94/$C$94</f>
        <v>0</v>
      </c>
      <c r="AD95" s="96"/>
      <c r="AE95" s="96">
        <f>AE94/$C$94</f>
        <v>0.0009186475434252858</v>
      </c>
      <c r="AF95" s="96"/>
      <c r="AG95" s="96">
        <f>AG94/$C$94</f>
        <v>0.0029593725128046994</v>
      </c>
      <c r="AH95" s="96"/>
      <c r="AI95" s="96">
        <f>AI94/$C$94</f>
        <v>0</v>
      </c>
      <c r="AJ95" s="96"/>
      <c r="AK95" s="72"/>
      <c r="AL95" s="13"/>
      <c r="AM95" s="8"/>
      <c r="AN95" s="8"/>
      <c r="AT95" s="10"/>
      <c r="AU95" s="10"/>
      <c r="AV95" s="10"/>
      <c r="AW95" s="10"/>
      <c r="AX95" s="10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</row>
    <row r="96" spans="1:50" ht="15">
      <c r="A96" s="15"/>
      <c r="B96" s="129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7"/>
      <c r="AA96" s="96"/>
      <c r="AB96" s="97"/>
      <c r="AC96" s="96"/>
      <c r="AD96" s="96"/>
      <c r="AE96" s="96"/>
      <c r="AF96" s="96"/>
      <c r="AG96" s="96"/>
      <c r="AH96" s="96"/>
      <c r="AI96" s="96"/>
      <c r="AJ96" s="37"/>
      <c r="AK96" s="72"/>
      <c r="AL96" s="19"/>
      <c r="AM96" s="8"/>
      <c r="AN96" s="8"/>
      <c r="AT96" s="8"/>
      <c r="AU96" s="8"/>
      <c r="AV96" s="8"/>
      <c r="AW96" s="8"/>
      <c r="AX96" s="8"/>
    </row>
    <row r="97" spans="1:50" ht="15">
      <c r="A97" s="15">
        <f>+A95+1</f>
        <v>17</v>
      </c>
      <c r="B97" s="129" t="s">
        <v>162</v>
      </c>
      <c r="C97" s="39">
        <f>SUM(E97:AI97)</f>
        <v>5665904.940769236</v>
      </c>
      <c r="E97" s="76">
        <v>0</v>
      </c>
      <c r="F97" s="76"/>
      <c r="G97" s="76">
        <v>0</v>
      </c>
      <c r="H97" s="76"/>
      <c r="I97" s="76">
        <v>0</v>
      </c>
      <c r="J97" s="96"/>
      <c r="K97" s="76">
        <v>0</v>
      </c>
      <c r="L97" s="76"/>
      <c r="M97" s="76">
        <v>0</v>
      </c>
      <c r="N97" s="96"/>
      <c r="O97" s="76">
        <v>0</v>
      </c>
      <c r="P97" s="76"/>
      <c r="Q97" s="76">
        <v>0</v>
      </c>
      <c r="R97" s="76"/>
      <c r="S97" s="76">
        <v>0</v>
      </c>
      <c r="T97" s="76"/>
      <c r="U97" s="76">
        <v>0</v>
      </c>
      <c r="V97" s="76"/>
      <c r="W97" s="76">
        <f>($E35-$AC97-$AI97)*W88/($W88+$Y88+$AA88)</f>
        <v>995333.4331191125</v>
      </c>
      <c r="X97" s="96"/>
      <c r="Y97" s="76">
        <f>($E35-$AC97-$AI97)*Y88/($W88+$Y88+$AA88)</f>
        <v>443933.68089960114</v>
      </c>
      <c r="Z97" s="97"/>
      <c r="AA97" s="76">
        <f>($E35-$AC97-$AI97)*AA88/($W88+$Y88+$AA88)</f>
        <v>818021.826750522</v>
      </c>
      <c r="AB97" s="9"/>
      <c r="AC97" s="76">
        <f>405432+(418273-35553)</f>
        <v>788152</v>
      </c>
      <c r="AD97" s="9"/>
      <c r="AE97" s="76">
        <v>0</v>
      </c>
      <c r="AF97" s="9"/>
      <c r="AG97" s="76"/>
      <c r="AH97" s="9"/>
      <c r="AI97" s="76">
        <f>3003184-(418273-35553)</f>
        <v>2620464</v>
      </c>
      <c r="AJ97" s="37"/>
      <c r="AK97" s="72"/>
      <c r="AL97" s="13"/>
      <c r="AM97" s="8"/>
      <c r="AN97" s="8"/>
      <c r="AT97" s="8"/>
      <c r="AU97" s="8"/>
      <c r="AV97" s="8"/>
      <c r="AW97" s="8"/>
      <c r="AX97" s="8"/>
    </row>
    <row r="98" spans="1:50" ht="15">
      <c r="A98" s="15">
        <f>+A97+1</f>
        <v>18</v>
      </c>
      <c r="B98" s="129" t="s">
        <v>161</v>
      </c>
      <c r="C98" s="96">
        <f>SUM(E98:AI98)</f>
        <v>1</v>
      </c>
      <c r="D98" s="96"/>
      <c r="E98" s="96">
        <f>E97/$C97</f>
        <v>0</v>
      </c>
      <c r="F98" s="96"/>
      <c r="G98" s="96">
        <f>G97/$C97</f>
        <v>0</v>
      </c>
      <c r="H98" s="96"/>
      <c r="I98" s="96">
        <f>I97/$C97</f>
        <v>0</v>
      </c>
      <c r="J98" s="96"/>
      <c r="K98" s="96">
        <f>K97/$C97</f>
        <v>0</v>
      </c>
      <c r="L98" s="96"/>
      <c r="M98" s="96">
        <f>M97/$C97</f>
        <v>0</v>
      </c>
      <c r="N98" s="96"/>
      <c r="O98" s="96">
        <f>O97/$C97</f>
        <v>0</v>
      </c>
      <c r="P98" s="96"/>
      <c r="Q98" s="96">
        <f>Q97/$C97</f>
        <v>0</v>
      </c>
      <c r="R98" s="96"/>
      <c r="S98" s="96">
        <f>S97/$C97</f>
        <v>0</v>
      </c>
      <c r="T98" s="96"/>
      <c r="U98" s="96">
        <f>U97/$C97</f>
        <v>0</v>
      </c>
      <c r="V98" s="96"/>
      <c r="W98" s="96">
        <f>W97/$C97</f>
        <v>0.17567069047649436</v>
      </c>
      <c r="X98" s="96"/>
      <c r="Y98" s="96">
        <f>Y97/$C97</f>
        <v>0.0783517700244597</v>
      </c>
      <c r="Z98" s="97"/>
      <c r="AA98" s="96">
        <f>AA97/$C97</f>
        <v>0.14437620032493215</v>
      </c>
      <c r="AB98" s="97"/>
      <c r="AC98" s="96">
        <f>AC97/$C97</f>
        <v>0.13910434577340366</v>
      </c>
      <c r="AD98" s="96"/>
      <c r="AE98" s="96">
        <f>AE97/$C97</f>
        <v>0</v>
      </c>
      <c r="AF98" s="96"/>
      <c r="AG98" s="96">
        <f>AG97/$C97</f>
        <v>0</v>
      </c>
      <c r="AH98" s="96"/>
      <c r="AI98" s="96">
        <f>AI97/$C97</f>
        <v>0.4624969934007101</v>
      </c>
      <c r="AJ98" s="37"/>
      <c r="AK98" s="141"/>
      <c r="AL98" s="35"/>
      <c r="AM98" s="8"/>
      <c r="AN98" s="8"/>
      <c r="AT98" s="8"/>
      <c r="AU98" s="8"/>
      <c r="AV98" s="8"/>
      <c r="AW98" s="8"/>
      <c r="AX98" s="8"/>
    </row>
    <row r="99" spans="1:50" ht="15">
      <c r="A99" s="15"/>
      <c r="AT99" s="8"/>
      <c r="AU99" s="8"/>
      <c r="AV99" s="8"/>
      <c r="AW99" s="8"/>
      <c r="AX99" s="8"/>
    </row>
    <row r="100" spans="1:50" ht="15">
      <c r="A100" s="15">
        <f>+A98+1</f>
        <v>19</v>
      </c>
      <c r="B100" s="129" t="s">
        <v>211</v>
      </c>
      <c r="C100" s="39">
        <f>SUM(E100:AI100)</f>
        <v>162561427.13335088</v>
      </c>
      <c r="E100" s="76">
        <f>+'H-2 Reclass-Workpaper'!E47+'H-2 Reclass-Workpaper'!K47</f>
        <v>59391044.01892853</v>
      </c>
      <c r="F100" s="76"/>
      <c r="G100" s="76">
        <f>+'H-2 Reclass-Workpaper'!I47</f>
        <v>153109.44</v>
      </c>
      <c r="H100" s="76"/>
      <c r="I100" s="76">
        <f>+'H-2 Reclass-Workpaper'!M47</f>
        <v>115660.04871158625</v>
      </c>
      <c r="J100" s="96"/>
      <c r="K100" s="76">
        <f>+'H-2 Reclass-Workpaper'!O47</f>
        <v>262975.68</v>
      </c>
      <c r="L100" s="76"/>
      <c r="M100" s="76">
        <f>+'H-2 Reclass-Workpaper'!Q47</f>
        <v>5046880.432856772</v>
      </c>
      <c r="N100" s="96"/>
      <c r="O100" s="76">
        <f>+'H-2 Reclass-Workpaper'!S47</f>
        <v>20534619.17771726</v>
      </c>
      <c r="P100" s="76"/>
      <c r="Q100" s="76">
        <f>+'H-2 Reclass-Workpaper'!W47</f>
        <v>30498071.95314589</v>
      </c>
      <c r="R100" s="76"/>
      <c r="S100" s="76">
        <f>+'H-2 Reclass-Workpaper'!Y47</f>
        <v>15303329.128718164</v>
      </c>
      <c r="T100" s="76"/>
      <c r="U100" s="76">
        <f>+'H-2 Reclass-Workpaper'!AA47</f>
        <v>7839570.599112001</v>
      </c>
      <c r="V100" s="76"/>
      <c r="W100" s="76">
        <f>+'H-2 Reclass-Workpaper'!AC47</f>
        <v>6691955.805273</v>
      </c>
      <c r="X100" s="96"/>
      <c r="Y100" s="76">
        <f>+'H-2 Reclass-Workpaper'!AE47</f>
        <v>3568424.5221300004</v>
      </c>
      <c r="Z100" s="97"/>
      <c r="AA100" s="76">
        <f>+'H-2 Reclass-Workpaper'!AG47</f>
        <v>4773640.14786</v>
      </c>
      <c r="AB100" s="9"/>
      <c r="AC100" s="76">
        <f>+'H-2 Reclass-Workpaper'!AI47</f>
        <v>1531163.2865200804</v>
      </c>
      <c r="AD100" s="9"/>
      <c r="AE100" s="76">
        <f>+'H-2 Reclass-Workpaper'!AK47</f>
        <v>66369.29483905534</v>
      </c>
      <c r="AF100" s="9"/>
      <c r="AG100" s="76">
        <f>+'H-2 Reclass-Workpaper'!AM47</f>
        <v>228758.61232966665</v>
      </c>
      <c r="AH100" s="9"/>
      <c r="AI100" s="76">
        <f>+'H-2 Reclass-Workpaper'!AO47</f>
        <v>6555854.985208858</v>
      </c>
      <c r="AT100" s="8"/>
      <c r="AU100" s="8"/>
      <c r="AV100" s="8"/>
      <c r="AW100" s="8"/>
      <c r="AX100" s="8"/>
    </row>
    <row r="101" spans="1:50" ht="15">
      <c r="A101" s="15">
        <f>+A100+1</f>
        <v>20</v>
      </c>
      <c r="B101" s="129" t="s">
        <v>161</v>
      </c>
      <c r="C101" s="96">
        <f>SUM(E101:AI101)</f>
        <v>0.9999999999999998</v>
      </c>
      <c r="D101" s="96"/>
      <c r="E101" s="96">
        <f>E100/$C100</f>
        <v>0.3653452425107551</v>
      </c>
      <c r="F101" s="96"/>
      <c r="G101" s="96">
        <f>G100/$C100</f>
        <v>0.0009418559045646338</v>
      </c>
      <c r="H101" s="96"/>
      <c r="I101" s="96">
        <f>I100/$C100</f>
        <v>0.000711485195173078</v>
      </c>
      <c r="J101" s="96"/>
      <c r="K101" s="96">
        <f>K100/$C100</f>
        <v>0.0016177003649474498</v>
      </c>
      <c r="L101" s="96"/>
      <c r="M101" s="96">
        <f>M100/$C100</f>
        <v>0.03104598994887491</v>
      </c>
      <c r="N101" s="96"/>
      <c r="O101" s="96">
        <f>O100/$C100</f>
        <v>0.12631913695536454</v>
      </c>
      <c r="P101" s="96"/>
      <c r="Q101" s="96">
        <f>Q100/$C100</f>
        <v>0.18760952392554966</v>
      </c>
      <c r="R101" s="96"/>
      <c r="S101" s="96">
        <f>S100/$C100</f>
        <v>0.09413874741739736</v>
      </c>
      <c r="T101" s="96"/>
      <c r="U101" s="96">
        <f>U100/$C100</f>
        <v>0.04822528158959331</v>
      </c>
      <c r="V101" s="96"/>
      <c r="W101" s="96">
        <f>W100/$C100</f>
        <v>0.04116570531694162</v>
      </c>
      <c r="X101" s="96"/>
      <c r="Y101" s="96">
        <f>Y100/$C100</f>
        <v>0.021951237664779993</v>
      </c>
      <c r="Z101" s="97"/>
      <c r="AA101" s="96">
        <f>AA100/$C100</f>
        <v>0.029365146652804246</v>
      </c>
      <c r="AB101" s="97"/>
      <c r="AC101" s="96">
        <f>AC100/$C100</f>
        <v>0.00941898280250733</v>
      </c>
      <c r="AD101" s="96"/>
      <c r="AE101" s="96">
        <f>AE100/$C100</f>
        <v>0.0004082720975659982</v>
      </c>
      <c r="AF101" s="96"/>
      <c r="AG101" s="96">
        <f>AG100/$C100</f>
        <v>0.0014072133615191107</v>
      </c>
      <c r="AH101" s="96"/>
      <c r="AI101" s="96">
        <f>AI100/$C100</f>
        <v>0.04032847829166152</v>
      </c>
      <c r="AT101" s="8"/>
      <c r="AU101" s="8"/>
      <c r="AV101" s="8"/>
      <c r="AW101" s="8"/>
      <c r="AX101" s="8"/>
    </row>
    <row r="102" spans="1:50" ht="15">
      <c r="A102" s="15"/>
      <c r="AT102" s="8"/>
      <c r="AU102" s="8"/>
      <c r="AV102" s="8"/>
      <c r="AW102" s="8"/>
      <c r="AX102" s="8"/>
    </row>
    <row r="103" spans="1:50" ht="15">
      <c r="A103" s="15">
        <f>+A101+1</f>
        <v>21</v>
      </c>
      <c r="B103" s="129" t="s">
        <v>183</v>
      </c>
      <c r="C103" s="39">
        <f>SUM(E103:AI103)</f>
        <v>5815707.01150135</v>
      </c>
      <c r="E103" s="76">
        <f>$E$49*(0.4)*E119/SUM($E119:$G119)</f>
        <v>2326282.80460054</v>
      </c>
      <c r="F103" s="76"/>
      <c r="G103" s="76">
        <f>$E$49*(0.4)*G119/SUM($E119:$G119)</f>
        <v>0</v>
      </c>
      <c r="H103" s="76"/>
      <c r="I103" s="76">
        <f>$E$49*(0.55)*I119/SUM($I119:$U119)</f>
        <v>9094.177231832153</v>
      </c>
      <c r="J103" s="96"/>
      <c r="K103" s="76">
        <f>$E$49*(0.55)*K119/SUM($I119:$U119)</f>
        <v>0</v>
      </c>
      <c r="L103" s="76"/>
      <c r="M103" s="76">
        <f>$E$49*(0.55)*M119/SUM($I119:$U119)</f>
        <v>83688.37980996571</v>
      </c>
      <c r="N103" s="96"/>
      <c r="O103" s="76">
        <f>$E$49*(0.55)*O119/SUM($I119:$U119)</f>
        <v>660017.2634805187</v>
      </c>
      <c r="P103" s="76"/>
      <c r="Q103" s="76">
        <f>$E$49*(0.55)*Q119/SUM($I119:$U119)</f>
        <v>1255406.7085667157</v>
      </c>
      <c r="R103" s="76"/>
      <c r="S103" s="76">
        <f>$E$49*(0.55)*S119/SUM($I119:$U119)</f>
        <v>753960.6336852333</v>
      </c>
      <c r="T103" s="76"/>
      <c r="U103" s="76">
        <f>$E$49*(0.55)*U119/SUM($I119:$U119)</f>
        <v>436471.6935514768</v>
      </c>
      <c r="V103" s="76"/>
      <c r="W103" s="76">
        <f>$E$49*(0.05)*W119/SUM($W119:$AG119)</f>
        <v>46866.57443460898</v>
      </c>
      <c r="X103" s="96"/>
      <c r="Y103" s="76">
        <f>$E$49*(0.05)*Y119/SUM($W119:$AG119)</f>
        <v>35247.96841566838</v>
      </c>
      <c r="Z103" s="97"/>
      <c r="AA103" s="76">
        <f>$E$49*(0.05)*AA119/SUM($W119:$AG119)</f>
        <v>97265.04214593103</v>
      </c>
      <c r="AB103" s="9"/>
      <c r="AC103" s="76">
        <f>$E$49*(0.05)*AC119/SUM($W119:$AG119)</f>
        <v>109951.035560799</v>
      </c>
      <c r="AD103" s="9"/>
      <c r="AE103" s="76">
        <f>$E$49*(0.05)*AE119/SUM($W119:$AG119)</f>
        <v>310.0776812617723</v>
      </c>
      <c r="AF103" s="9"/>
      <c r="AG103" s="76">
        <f>$E$49*(0.05)*AG119/SUM($W119:$AG119)</f>
        <v>1144.6523367983464</v>
      </c>
      <c r="AH103" s="9"/>
      <c r="AI103" s="76">
        <v>0</v>
      </c>
      <c r="AO103" s="10"/>
      <c r="AP103" s="10"/>
      <c r="AQ103" s="8"/>
      <c r="AR103" s="10"/>
      <c r="AS103" s="10"/>
      <c r="AT103" s="8"/>
      <c r="AU103" s="8"/>
      <c r="AV103" s="8"/>
      <c r="AW103" s="8"/>
      <c r="AX103" s="8"/>
    </row>
    <row r="104" spans="1:50" ht="15">
      <c r="A104" s="15">
        <f>+A103+1</f>
        <v>22</v>
      </c>
      <c r="B104" s="129" t="s">
        <v>161</v>
      </c>
      <c r="C104" s="96">
        <f>SUM(E104:AI104)</f>
        <v>0.9999999999999999</v>
      </c>
      <c r="D104" s="96"/>
      <c r="E104" s="96">
        <f>E103/$C103</f>
        <v>0.39999999999999997</v>
      </c>
      <c r="F104" s="96"/>
      <c r="G104" s="96">
        <f>G103/$C103</f>
        <v>0</v>
      </c>
      <c r="H104" s="96"/>
      <c r="I104" s="96">
        <f>I103/$C103</f>
        <v>0.0015637268545074885</v>
      </c>
      <c r="J104" s="96"/>
      <c r="K104" s="96">
        <f>K103/$C103</f>
        <v>0</v>
      </c>
      <c r="L104" s="96"/>
      <c r="M104" s="96">
        <f>M103/$C103</f>
        <v>0.014390061198829407</v>
      </c>
      <c r="N104" s="96"/>
      <c r="O104" s="96">
        <f>O103/$C103</f>
        <v>0.11348874043607164</v>
      </c>
      <c r="P104" s="96"/>
      <c r="Q104" s="96">
        <f>Q103/$C103</f>
        <v>0.21586484774490503</v>
      </c>
      <c r="R104" s="96"/>
      <c r="S104" s="96">
        <f>S103/$C103</f>
        <v>0.12964212815297843</v>
      </c>
      <c r="T104" s="96"/>
      <c r="U104" s="96">
        <f>U103/$C103</f>
        <v>0.07505049561270792</v>
      </c>
      <c r="V104" s="96"/>
      <c r="W104" s="96">
        <f>W103/$C103</f>
        <v>0.00805862027470159</v>
      </c>
      <c r="X104" s="96"/>
      <c r="Y104" s="96">
        <f>Y103/$C103</f>
        <v>0.006060822587169666</v>
      </c>
      <c r="Z104" s="97"/>
      <c r="AA104" s="96">
        <f>AA103/$C103</f>
        <v>0.01672454302694001</v>
      </c>
      <c r="AB104" s="97"/>
      <c r="AC104" s="96">
        <f>AC103/$C103</f>
        <v>0.018905875991234753</v>
      </c>
      <c r="AD104" s="96"/>
      <c r="AE104" s="96">
        <f>AE103/$C103</f>
        <v>5.33172803665232E-05</v>
      </c>
      <c r="AF104" s="96"/>
      <c r="AG104" s="96">
        <f>AG103/$C103</f>
        <v>0.0001968208395874553</v>
      </c>
      <c r="AH104" s="96"/>
      <c r="AI104" s="96">
        <f>AI103/$C103</f>
        <v>0</v>
      </c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15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 hidden="1">
      <c r="A106" s="15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 hidden="1">
      <c r="A107" s="15"/>
      <c r="B107" s="129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25"/>
      <c r="AK107" s="71"/>
      <c r="AL107" s="24"/>
      <c r="AM107" s="10"/>
      <c r="AN107" s="33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 hidden="1">
      <c r="A108" s="15"/>
      <c r="B108" s="129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9"/>
      <c r="AK108" s="137"/>
      <c r="AL108" s="44"/>
      <c r="AM108" s="8"/>
      <c r="AN108" s="9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 hidden="1">
      <c r="A109" s="15"/>
      <c r="B109" s="142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97"/>
      <c r="AK109" s="72"/>
      <c r="AL109" s="19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 hidden="1">
      <c r="A110" s="15"/>
      <c r="B110" s="129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37"/>
      <c r="AK110" s="72"/>
      <c r="AL110" s="19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 hidden="1">
      <c r="A111" s="15"/>
      <c r="B111" s="129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7"/>
      <c r="T111" s="76"/>
      <c r="U111" s="76"/>
      <c r="V111" s="76"/>
      <c r="W111" s="76"/>
      <c r="X111" s="76"/>
      <c r="Y111" s="71"/>
      <c r="Z111" s="39"/>
      <c r="AA111" s="9"/>
      <c r="AB111" s="9"/>
      <c r="AC111" s="9"/>
      <c r="AD111" s="9"/>
      <c r="AE111" s="9"/>
      <c r="AF111" s="9"/>
      <c r="AG111" s="9"/>
      <c r="AH111" s="9"/>
      <c r="AI111" s="9"/>
      <c r="AJ111" s="37"/>
      <c r="AK111" s="72"/>
      <c r="AL111" s="19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 hidden="1">
      <c r="A112" s="15"/>
      <c r="B112" s="129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37"/>
      <c r="AK112" s="72"/>
      <c r="AL112" s="19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 hidden="1">
      <c r="A113" s="15"/>
      <c r="B113" s="143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61"/>
      <c r="AL113" s="13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 hidden="1">
      <c r="A114" s="15"/>
      <c r="B114" s="142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13"/>
      <c r="AK114" s="139"/>
      <c r="AL114" s="22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 hidden="1">
      <c r="A115" s="15"/>
      <c r="B115" s="142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140"/>
      <c r="AK115" s="136"/>
      <c r="AL115" s="14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15"/>
      <c r="B116" s="143"/>
      <c r="C116" s="37"/>
      <c r="D116" s="13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9"/>
      <c r="AK116" s="137"/>
      <c r="AL116" s="21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15">
        <f>+A104+1</f>
        <v>23</v>
      </c>
      <c r="B117" s="135" t="s">
        <v>39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97"/>
      <c r="AK117" s="5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15"/>
      <c r="B118" s="129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8"/>
      <c r="AK118" s="61"/>
      <c r="AL118" s="13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15">
        <f>+A117+1</f>
        <v>24</v>
      </c>
      <c r="B119" s="129" t="s">
        <v>212</v>
      </c>
      <c r="C119" s="39">
        <f>SUM(E119:AI119)</f>
        <v>1081229663.7475867</v>
      </c>
      <c r="D119" s="39"/>
      <c r="E119" s="39">
        <f>+'[3]SCHE-1'!$C$142+'[3]SCHE-1'!$D$142+'[3]SCHE-1'!$E$142</f>
        <v>61965936.06062825</v>
      </c>
      <c r="F119" s="39"/>
      <c r="G119" s="39">
        <f>+'H-2 Reclass-Workpaper'!I33</f>
        <v>0</v>
      </c>
      <c r="H119" s="39"/>
      <c r="I119" s="39">
        <f>+'[3]SCHE-1'!$G$142</f>
        <v>901551.5528224041</v>
      </c>
      <c r="J119" s="39"/>
      <c r="K119" s="39">
        <f>+'H-2 Reclass-Workpaper'!O33</f>
        <v>0</v>
      </c>
      <c r="L119" s="39"/>
      <c r="M119" s="39">
        <f>+'[3]SCHE-1'!$I$142</f>
        <v>8296450.228259446</v>
      </c>
      <c r="N119" s="39"/>
      <c r="O119" s="39">
        <f>+'[3]SCHE-1'!$J$142</f>
        <v>65430832.67584133</v>
      </c>
      <c r="P119" s="39"/>
      <c r="Q119" s="39">
        <f>+'[3]SCHE-1'!$K$142</f>
        <v>124454784.49334837</v>
      </c>
      <c r="R119" s="39"/>
      <c r="S119" s="39">
        <f>+'[3]SCHE-1'!$L$142</f>
        <v>74743911.70722145</v>
      </c>
      <c r="T119" s="39"/>
      <c r="U119" s="39">
        <f>+'[3]SCHE-1'!$M$142</f>
        <v>43269635.39999999</v>
      </c>
      <c r="V119" s="39"/>
      <c r="W119" s="39">
        <f>+'[3]SCHE-1'!$N$142</f>
        <v>64790915.29999999</v>
      </c>
      <c r="X119" s="9"/>
      <c r="Y119" s="39">
        <f>+'[3]SCHE-1'!$O$142</f>
        <v>48728719</v>
      </c>
      <c r="Z119" s="39"/>
      <c r="AA119" s="39">
        <f>+'[3]SCHE-1'!$P$142</f>
        <v>134464513</v>
      </c>
      <c r="AB119" s="9"/>
      <c r="AC119" s="39">
        <f>+'[3]SCHE-1'!$Q$142</f>
        <v>152002324.00399998</v>
      </c>
      <c r="AD119" s="9"/>
      <c r="AE119" s="39">
        <f>+'[3]SCHE-1'!$R$142</f>
        <v>428668.34253232955</v>
      </c>
      <c r="AF119" s="9"/>
      <c r="AG119" s="39">
        <f>+'[3]SCHE-1'!$S$142</f>
        <v>1582429.9833333336</v>
      </c>
      <c r="AH119" s="9"/>
      <c r="AI119" s="39">
        <f>+'[3]SCHE-1'!$T$142</f>
        <v>300168991.9996</v>
      </c>
      <c r="AJ119" s="13"/>
      <c r="AK119" s="61"/>
      <c r="AL119" s="13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15">
        <f>+A119+1</f>
        <v>25</v>
      </c>
      <c r="B120" s="129" t="s">
        <v>37</v>
      </c>
      <c r="C120" s="97">
        <f>SUM(E120:AI120)</f>
        <v>1</v>
      </c>
      <c r="D120" s="97"/>
      <c r="E120" s="97">
        <f>E119/$C$119</f>
        <v>0.057310614144502614</v>
      </c>
      <c r="F120" s="97"/>
      <c r="G120" s="97">
        <f>G119/$C$119</f>
        <v>0</v>
      </c>
      <c r="H120" s="97"/>
      <c r="I120" s="97">
        <f>I119/$C$119</f>
        <v>0.0008338205869209962</v>
      </c>
      <c r="J120" s="97"/>
      <c r="K120" s="97">
        <f>K119/$C$119</f>
        <v>0</v>
      </c>
      <c r="L120" s="97"/>
      <c r="M120" s="97">
        <f>M119/$C$119</f>
        <v>0.007673161869702692</v>
      </c>
      <c r="N120" s="97"/>
      <c r="O120" s="97">
        <f>O119/$C$119</f>
        <v>0.06051520307818355</v>
      </c>
      <c r="P120" s="97"/>
      <c r="Q120" s="97">
        <f>Q119/$C$119</f>
        <v>0.11510485576392988</v>
      </c>
      <c r="R120" s="97"/>
      <c r="S120" s="97">
        <f>S119/$C$119</f>
        <v>0.0691286173634526</v>
      </c>
      <c r="T120" s="97"/>
      <c r="U120" s="97">
        <f>U119/$C$119</f>
        <v>0.04001891258701287</v>
      </c>
      <c r="V120" s="97"/>
      <c r="W120" s="97">
        <f>W119/$C$119</f>
        <v>0.05992336084771481</v>
      </c>
      <c r="X120" s="97"/>
      <c r="Y120" s="97">
        <f>Y119/$C$119</f>
        <v>0.045067870993387514</v>
      </c>
      <c r="Z120" s="97"/>
      <c r="AA120" s="97">
        <f>AA119/$C$119</f>
        <v>0.12436258226022068</v>
      </c>
      <c r="AB120" s="97"/>
      <c r="AC120" s="97">
        <f>AC119/$C$119</f>
        <v>0.14058282814508957</v>
      </c>
      <c r="AD120" s="97"/>
      <c r="AE120" s="97">
        <f>AE119/$C$119</f>
        <v>0.00039646372727746606</v>
      </c>
      <c r="AF120" s="97"/>
      <c r="AG120" s="97">
        <f>AG119/$C$119</f>
        <v>0.0014635465862530685</v>
      </c>
      <c r="AH120" s="97"/>
      <c r="AI120" s="97">
        <f>AI119/$C$119</f>
        <v>0.2776181620463518</v>
      </c>
      <c r="AJ120" s="13"/>
      <c r="AK120" s="141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2:50" ht="15">
      <c r="B121" s="8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8"/>
      <c r="Z121" s="8"/>
      <c r="AA121" s="8"/>
      <c r="AB121" s="13"/>
      <c r="AC121" s="8"/>
      <c r="AD121" s="13"/>
      <c r="AE121" s="8"/>
      <c r="AF121" s="13"/>
      <c r="AG121" s="8"/>
      <c r="AH121" s="8"/>
      <c r="AI121" s="8"/>
      <c r="AJ121" s="25"/>
      <c r="AK121" s="144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15"/>
      <c r="B122" s="8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8"/>
      <c r="Z122" s="8"/>
      <c r="AA122" s="8"/>
      <c r="AB122" s="13"/>
      <c r="AC122" s="8"/>
      <c r="AD122" s="13"/>
      <c r="AE122" s="8"/>
      <c r="AF122" s="13"/>
      <c r="AG122" s="8"/>
      <c r="AH122" s="8"/>
      <c r="AI122" s="8"/>
      <c r="AJ122" s="25"/>
      <c r="AK122" s="144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15">
        <f>+A120+1</f>
        <v>26</v>
      </c>
      <c r="B123" s="135" t="s">
        <v>40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45"/>
      <c r="AK123" s="72"/>
      <c r="AL123" s="13">
        <f>SUM(AG125+AE125+SUM(E125:W125))</f>
        <v>825997.4913127703</v>
      </c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15"/>
      <c r="B124" s="129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3"/>
      <c r="Z124" s="13"/>
      <c r="AA124" s="13"/>
      <c r="AB124" s="140"/>
      <c r="AC124" s="13"/>
      <c r="AD124" s="140"/>
      <c r="AE124" s="13"/>
      <c r="AF124" s="140"/>
      <c r="AG124" s="13"/>
      <c r="AH124" s="13"/>
      <c r="AI124" s="13"/>
      <c r="AJ124" s="37"/>
      <c r="AK124" s="5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15">
        <f>+A123+1</f>
        <v>27</v>
      </c>
      <c r="B125" s="129" t="s">
        <v>216</v>
      </c>
      <c r="C125" s="25">
        <f>SUM(E125:AI125)</f>
        <v>904020.2769668179</v>
      </c>
      <c r="D125" s="25"/>
      <c r="E125" s="25">
        <f>+E314*$AL$125</f>
        <v>359241.97129365883</v>
      </c>
      <c r="F125" s="25"/>
      <c r="G125" s="25">
        <f>+G314*$AL$125</f>
        <v>612.1916152355177</v>
      </c>
      <c r="H125" s="25"/>
      <c r="I125" s="25">
        <f>+I314*$AL$125</f>
        <v>850.2579394289312</v>
      </c>
      <c r="J125" s="25"/>
      <c r="K125" s="25">
        <f>+K314*$AL$125</f>
        <v>1605.8568599058633</v>
      </c>
      <c r="L125" s="25"/>
      <c r="M125" s="25">
        <f>+M314*$AL$125</f>
        <v>29507.65483796877</v>
      </c>
      <c r="N125" s="25"/>
      <c r="O125" s="25">
        <f>+O314*$AL$125</f>
        <v>114750.71376033124</v>
      </c>
      <c r="P125" s="25"/>
      <c r="Q125" s="25">
        <f>+Q314*$AL$125</f>
        <v>157948.8875062374</v>
      </c>
      <c r="R125" s="25"/>
      <c r="S125" s="25">
        <f>+S314*$AL$125</f>
        <v>80275.29202015063</v>
      </c>
      <c r="T125" s="25"/>
      <c r="U125" s="25">
        <f>+U314*$AL$125</f>
        <v>40842.4328608412</v>
      </c>
      <c r="V125" s="25"/>
      <c r="W125" s="25">
        <f>+W314*$AL$125</f>
        <v>38543.74062541214</v>
      </c>
      <c r="X125" s="25"/>
      <c r="Y125" s="25">
        <f>+Y314*$AL$125</f>
        <v>17837.753097808167</v>
      </c>
      <c r="Z125" s="25"/>
      <c r="AA125" s="25">
        <f>+AA314*$AL$125</f>
        <v>22039.58389279644</v>
      </c>
      <c r="AB125" s="25"/>
      <c r="AC125" s="25">
        <f>+AC314*$AL$125</f>
        <v>6310.661690212158</v>
      </c>
      <c r="AD125" s="25"/>
      <c r="AE125" s="25">
        <f>+AE314*$AL$125</f>
        <v>537.6832496852326</v>
      </c>
      <c r="AF125" s="25"/>
      <c r="AG125" s="25">
        <f>+AG314*$AL$125</f>
        <v>1280.80874391464</v>
      </c>
      <c r="AH125" s="25"/>
      <c r="AI125" s="25">
        <f>+AI314*$AL$125</f>
        <v>31834.786973230868</v>
      </c>
      <c r="AJ125" s="8"/>
      <c r="AK125" s="58"/>
      <c r="AL125" s="177">
        <v>0.00503</v>
      </c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15">
        <f>+A125+1</f>
        <v>28</v>
      </c>
      <c r="B126" s="129" t="s">
        <v>37</v>
      </c>
      <c r="C126" s="37">
        <f>SUM(E126:AI126)</f>
        <v>1</v>
      </c>
      <c r="D126" s="39"/>
      <c r="E126" s="145">
        <f>E125/$C$125</f>
        <v>0.39738264776426563</v>
      </c>
      <c r="F126" s="145"/>
      <c r="G126" s="145">
        <f>G125/$C$125</f>
        <v>0.0006771879246885391</v>
      </c>
      <c r="H126" s="145"/>
      <c r="I126" s="145">
        <f>I125/$C$125</f>
        <v>0.0009405297216139102</v>
      </c>
      <c r="J126" s="145"/>
      <c r="K126" s="145">
        <f>K125/$C$125</f>
        <v>0.0017763504877278391</v>
      </c>
      <c r="L126" s="145"/>
      <c r="M126" s="145">
        <f>M125/$C$125</f>
        <v>0.03264047896909269</v>
      </c>
      <c r="N126" s="145"/>
      <c r="O126" s="145">
        <f>O125/$C$125</f>
        <v>0.12693378310644152</v>
      </c>
      <c r="P126" s="145"/>
      <c r="Q126" s="145">
        <f>Q125/$C$125</f>
        <v>0.17471830171352995</v>
      </c>
      <c r="R126" s="145"/>
      <c r="S126" s="145">
        <f>S125/$C$125</f>
        <v>0.08879811002634971</v>
      </c>
      <c r="T126" s="145"/>
      <c r="U126" s="145">
        <f>U125/$C$125</f>
        <v>0.04517866899830647</v>
      </c>
      <c r="V126" s="145"/>
      <c r="W126" s="145">
        <f>W125/$C$125</f>
        <v>0.042635924887364986</v>
      </c>
      <c r="X126" s="145"/>
      <c r="Y126" s="145">
        <f>Y125/$C$125</f>
        <v>0.019731585178219296</v>
      </c>
      <c r="Z126" s="25"/>
      <c r="AA126" s="145">
        <f>AA125/$C$125</f>
        <v>0.02437952383849616</v>
      </c>
      <c r="AB126" s="145"/>
      <c r="AC126" s="145">
        <f>AC125/$C$125</f>
        <v>0.00698066387557786</v>
      </c>
      <c r="AD126" s="145"/>
      <c r="AE126" s="145">
        <f>AE125/$C$125</f>
        <v>0.0005947690150151005</v>
      </c>
      <c r="AF126" s="145"/>
      <c r="AG126" s="145">
        <f>AG125/$C$125</f>
        <v>0.0014167920527314148</v>
      </c>
      <c r="AH126" s="145"/>
      <c r="AI126" s="145">
        <f>AI125/$C$125</f>
        <v>0.03521468244057911</v>
      </c>
      <c r="AJ126" s="8"/>
      <c r="AK126" s="5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2:50" ht="15">
      <c r="B127" s="129"/>
      <c r="C127" s="37"/>
      <c r="D127" s="13"/>
      <c r="E127" s="145"/>
      <c r="F127" s="145"/>
      <c r="G127" s="145"/>
      <c r="H127" s="145"/>
      <c r="I127" s="145"/>
      <c r="J127" s="13"/>
      <c r="K127" s="145"/>
      <c r="L127" s="145"/>
      <c r="M127" s="145"/>
      <c r="N127" s="13"/>
      <c r="O127" s="145"/>
      <c r="P127" s="145"/>
      <c r="Q127" s="145"/>
      <c r="R127" s="13"/>
      <c r="S127" s="145"/>
      <c r="T127" s="13"/>
      <c r="U127" s="145"/>
      <c r="V127" s="145"/>
      <c r="W127" s="145"/>
      <c r="X127" s="13"/>
      <c r="Y127" s="37"/>
      <c r="Z127" s="97"/>
      <c r="AA127" s="37"/>
      <c r="AB127" s="37"/>
      <c r="AC127" s="37"/>
      <c r="AD127" s="37"/>
      <c r="AE127" s="97"/>
      <c r="AF127" s="37"/>
      <c r="AG127" s="97"/>
      <c r="AH127" s="37"/>
      <c r="AI127" s="37"/>
      <c r="AJ127" s="8"/>
      <c r="AK127" s="5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 hidden="1">
      <c r="A128" s="15">
        <f>+A126+1</f>
        <v>29</v>
      </c>
      <c r="B128" s="8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8"/>
      <c r="AJ128" s="8"/>
      <c r="AK128" s="5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 hidden="1">
      <c r="A129" s="15">
        <f>+A128+1</f>
        <v>30</v>
      </c>
      <c r="B129" s="8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8"/>
      <c r="AJ129" s="8"/>
      <c r="AK129" s="5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 hidden="1">
      <c r="A130" s="8"/>
      <c r="B130" s="8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8"/>
      <c r="AJ130" s="8"/>
      <c r="AK130" s="5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52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1"/>
      <c r="AJ131" s="51"/>
      <c r="AK131" s="58"/>
      <c r="AL131" s="51"/>
      <c r="AM131" s="57"/>
      <c r="AN131" s="58"/>
      <c r="AO131" s="5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11" t="s">
        <v>220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X132" s="13"/>
      <c r="Y132" s="13"/>
      <c r="Z132" s="13"/>
      <c r="AA132" s="13"/>
      <c r="AB132" s="13"/>
      <c r="AC132" s="13"/>
      <c r="AD132" s="13"/>
      <c r="AE132" s="54" t="s">
        <v>221</v>
      </c>
      <c r="AF132" s="54"/>
      <c r="AG132" s="54"/>
      <c r="AH132" s="13"/>
      <c r="AI132" s="8"/>
      <c r="AJ132" s="8"/>
      <c r="AK132" s="5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8"/>
      <c r="AJ133" s="8"/>
      <c r="AK133" s="5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8"/>
      <c r="AJ134" s="8"/>
      <c r="AK134" s="5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 thickBot="1">
      <c r="A135" s="105"/>
      <c r="B135" s="106" t="s">
        <v>225</v>
      </c>
      <c r="C135" s="105"/>
      <c r="D135" s="105"/>
      <c r="E135" s="105"/>
      <c r="F135" s="105"/>
      <c r="G135" s="105"/>
      <c r="H135" s="105"/>
      <c r="I135" s="107" t="s">
        <v>121</v>
      </c>
      <c r="J135" s="105"/>
      <c r="K135" s="105"/>
      <c r="L135" s="105"/>
      <c r="M135" s="105"/>
      <c r="N135" s="105"/>
      <c r="O135" s="106"/>
      <c r="P135" s="106"/>
      <c r="Q135" s="106" t="s">
        <v>200</v>
      </c>
      <c r="R135" s="122"/>
      <c r="S135" s="113"/>
      <c r="T135" s="122"/>
      <c r="U135" s="122"/>
      <c r="V135" s="122"/>
      <c r="W135" s="122"/>
      <c r="X135" s="122"/>
      <c r="Y135" s="107" t="s">
        <v>123</v>
      </c>
      <c r="Z135" s="122"/>
      <c r="AA135" s="122"/>
      <c r="AB135" s="122"/>
      <c r="AC135" s="122"/>
      <c r="AD135" s="122"/>
      <c r="AE135" s="106"/>
      <c r="AF135" s="106"/>
      <c r="AG135" s="106" t="s">
        <v>201</v>
      </c>
      <c r="AH135" s="122"/>
      <c r="AI135" s="122"/>
      <c r="AJ135" s="48"/>
      <c r="AK135" s="5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25.5" customHeight="1">
      <c r="A136" s="102"/>
      <c r="B136" s="103" t="s">
        <v>0</v>
      </c>
      <c r="C136" s="102"/>
      <c r="D136" s="102"/>
      <c r="E136" s="102"/>
      <c r="F136" s="102"/>
      <c r="G136" s="102"/>
      <c r="H136" s="102"/>
      <c r="I136" s="55" t="s">
        <v>122</v>
      </c>
      <c r="J136" s="102"/>
      <c r="K136" s="123"/>
      <c r="L136" s="123"/>
      <c r="M136" s="123"/>
      <c r="N136" s="102"/>
      <c r="O136" s="13"/>
      <c r="P136" s="102"/>
      <c r="Q136" s="13" t="s">
        <v>1</v>
      </c>
      <c r="R136" s="123"/>
      <c r="S136" s="114"/>
      <c r="T136" s="13"/>
      <c r="U136" s="13"/>
      <c r="V136" s="13"/>
      <c r="X136" s="13"/>
      <c r="Y136" s="55" t="s">
        <v>122</v>
      </c>
      <c r="Z136" s="13"/>
      <c r="AA136" s="13"/>
      <c r="AB136" s="13"/>
      <c r="AC136" s="13"/>
      <c r="AD136" s="13"/>
      <c r="AE136" s="13"/>
      <c r="AF136" s="102"/>
      <c r="AG136" s="13" t="s">
        <v>1</v>
      </c>
      <c r="AH136" s="13"/>
      <c r="AI136" s="8"/>
      <c r="AJ136" s="8"/>
      <c r="AK136" s="58"/>
      <c r="AL136" s="8"/>
      <c r="AM136" s="8"/>
      <c r="AN136" s="8"/>
      <c r="AO136" s="8"/>
      <c r="AP136" s="11"/>
      <c r="AQ136" s="8"/>
      <c r="AR136" s="11"/>
      <c r="AS136" s="8"/>
      <c r="AT136" s="8"/>
      <c r="AU136" s="8"/>
      <c r="AV136" s="8"/>
      <c r="AW136" s="8"/>
      <c r="AX136" s="8"/>
    </row>
    <row r="137" spans="1:50" ht="15">
      <c r="A137" s="8"/>
      <c r="B137" s="50" t="s">
        <v>93</v>
      </c>
      <c r="C137" s="8"/>
      <c r="D137" s="8"/>
      <c r="E137" s="8"/>
      <c r="F137" s="8"/>
      <c r="G137" s="8"/>
      <c r="H137" s="8"/>
      <c r="I137" s="55" t="s">
        <v>89</v>
      </c>
      <c r="J137" s="8"/>
      <c r="N137" s="8"/>
      <c r="O137" s="54"/>
      <c r="P137" s="11"/>
      <c r="Q137" s="54" t="s">
        <v>226</v>
      </c>
      <c r="S137" s="115"/>
      <c r="T137" s="13"/>
      <c r="U137" s="13"/>
      <c r="V137" s="13"/>
      <c r="X137" s="13"/>
      <c r="Y137" s="55" t="s">
        <v>89</v>
      </c>
      <c r="Z137" s="13"/>
      <c r="AA137" s="13"/>
      <c r="AB137" s="13"/>
      <c r="AC137" s="13"/>
      <c r="AD137" s="13"/>
      <c r="AE137" s="54"/>
      <c r="AF137" s="11"/>
      <c r="AG137" s="54" t="s">
        <v>226</v>
      </c>
      <c r="AH137" s="13"/>
      <c r="AI137" s="8"/>
      <c r="AJ137" s="8"/>
      <c r="AK137" s="5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50" t="str">
        <f>+$B$4</f>
        <v>DOCKET NO.:  080318-GU   </v>
      </c>
      <c r="C138" s="8"/>
      <c r="D138" s="8"/>
      <c r="E138" s="8"/>
      <c r="F138" s="8"/>
      <c r="G138" s="8"/>
      <c r="H138" s="8"/>
      <c r="I138" s="112"/>
      <c r="J138" s="8"/>
      <c r="N138" s="8"/>
      <c r="O138" s="54"/>
      <c r="P138" s="50"/>
      <c r="Q138" s="54" t="s">
        <v>137</v>
      </c>
      <c r="S138" s="112"/>
      <c r="T138" s="13"/>
      <c r="U138" s="13"/>
      <c r="V138" s="13"/>
      <c r="X138" s="13"/>
      <c r="Y138" s="112"/>
      <c r="Z138" s="13"/>
      <c r="AA138" s="13"/>
      <c r="AB138" s="13"/>
      <c r="AC138" s="13"/>
      <c r="AD138" s="13"/>
      <c r="AE138" s="54"/>
      <c r="AF138" s="50"/>
      <c r="AG138" s="54" t="s">
        <v>137</v>
      </c>
      <c r="AH138" s="13"/>
      <c r="AI138" s="8"/>
      <c r="AJ138" s="8"/>
      <c r="AK138" s="5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 thickBot="1">
      <c r="A139" s="58"/>
      <c r="B139" s="58"/>
      <c r="C139" s="58"/>
      <c r="D139" s="58"/>
      <c r="E139" s="58"/>
      <c r="F139" s="58"/>
      <c r="G139" s="58"/>
      <c r="H139" s="58"/>
      <c r="I139" s="125"/>
      <c r="J139" s="58"/>
      <c r="K139" s="58"/>
      <c r="L139" s="58"/>
      <c r="M139" s="58"/>
      <c r="N139" s="58"/>
      <c r="O139" s="125"/>
      <c r="P139" s="109"/>
      <c r="Q139" s="109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51"/>
      <c r="AK139" s="5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25.5" customHeight="1">
      <c r="A140" s="102"/>
      <c r="B140" s="102"/>
      <c r="C140" s="102"/>
      <c r="D140" s="102"/>
      <c r="E140" s="102"/>
      <c r="F140" s="102"/>
      <c r="G140" s="102"/>
      <c r="H140" s="102"/>
      <c r="I140" s="110" t="s">
        <v>125</v>
      </c>
      <c r="J140" s="102"/>
      <c r="K140" s="102"/>
      <c r="L140" s="102"/>
      <c r="M140" s="102"/>
      <c r="N140" s="102"/>
      <c r="O140" s="123"/>
      <c r="P140" s="123"/>
      <c r="Q140" s="102"/>
      <c r="R140" s="102"/>
      <c r="S140" s="102"/>
      <c r="T140" s="102"/>
      <c r="U140" s="102"/>
      <c r="V140" s="102"/>
      <c r="W140" s="102"/>
      <c r="X140" s="102"/>
      <c r="Y140" s="110" t="s">
        <v>125</v>
      </c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8"/>
      <c r="AK140" s="5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Q141" s="13"/>
      <c r="R141" s="13"/>
      <c r="S141" s="55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8"/>
      <c r="AJ141" s="8"/>
      <c r="AK141" s="5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8"/>
      <c r="AJ142" s="8"/>
      <c r="AK142" s="5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11"/>
      <c r="C143" s="13"/>
      <c r="D143" s="13"/>
      <c r="E143" s="116"/>
      <c r="F143" s="116"/>
      <c r="G143" s="116"/>
      <c r="H143" s="116"/>
      <c r="I143" s="116" t="s">
        <v>94</v>
      </c>
      <c r="J143" s="116"/>
      <c r="K143" s="116"/>
      <c r="L143" s="116"/>
      <c r="M143" s="131" t="s">
        <v>143</v>
      </c>
      <c r="N143" s="116"/>
      <c r="O143" s="131" t="s">
        <v>139</v>
      </c>
      <c r="P143" s="131"/>
      <c r="Q143" s="131" t="s">
        <v>140</v>
      </c>
      <c r="R143" s="116"/>
      <c r="S143" s="131" t="s">
        <v>95</v>
      </c>
      <c r="T143" s="116"/>
      <c r="U143" s="131" t="s">
        <v>96</v>
      </c>
      <c r="V143" s="131"/>
      <c r="W143" s="116" t="s">
        <v>194</v>
      </c>
      <c r="X143" s="116"/>
      <c r="Y143" s="116" t="s">
        <v>98</v>
      </c>
      <c r="Z143" s="116"/>
      <c r="AA143" s="116" t="s">
        <v>99</v>
      </c>
      <c r="AB143" s="116"/>
      <c r="AC143" s="116" t="s">
        <v>217</v>
      </c>
      <c r="AD143" s="116"/>
      <c r="AE143" s="116"/>
      <c r="AF143" s="116"/>
      <c r="AG143" s="116"/>
      <c r="AH143" s="116"/>
      <c r="AI143" s="116"/>
      <c r="AJ143" s="116"/>
      <c r="AK143" s="132"/>
      <c r="AL143" s="15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13"/>
      <c r="D144" s="13"/>
      <c r="E144" s="116" t="s">
        <v>101</v>
      </c>
      <c r="F144" s="116"/>
      <c r="G144" s="116" t="s">
        <v>101</v>
      </c>
      <c r="H144" s="116"/>
      <c r="I144" s="116" t="s">
        <v>102</v>
      </c>
      <c r="J144" s="116"/>
      <c r="K144" s="116" t="s">
        <v>94</v>
      </c>
      <c r="L144" s="116"/>
      <c r="M144" s="116" t="s">
        <v>103</v>
      </c>
      <c r="N144" s="116"/>
      <c r="O144" s="116" t="s">
        <v>104</v>
      </c>
      <c r="P144" s="116"/>
      <c r="Q144" s="116" t="s">
        <v>104</v>
      </c>
      <c r="R144" s="116"/>
      <c r="S144" s="116" t="s">
        <v>104</v>
      </c>
      <c r="T144" s="116"/>
      <c r="U144" s="116" t="s">
        <v>104</v>
      </c>
      <c r="V144" s="116"/>
      <c r="W144" s="116" t="s">
        <v>104</v>
      </c>
      <c r="X144" s="116"/>
      <c r="Y144" s="116" t="s">
        <v>195</v>
      </c>
      <c r="Z144" s="116"/>
      <c r="AA144" s="131" t="s">
        <v>105</v>
      </c>
      <c r="AB144" s="116"/>
      <c r="AC144" s="131" t="s">
        <v>105</v>
      </c>
      <c r="AD144" s="116"/>
      <c r="AE144" s="116" t="s">
        <v>196</v>
      </c>
      <c r="AF144" s="116"/>
      <c r="AG144" s="116" t="s">
        <v>107</v>
      </c>
      <c r="AH144" s="116"/>
      <c r="AI144" s="116" t="s">
        <v>108</v>
      </c>
      <c r="AJ144" s="116"/>
      <c r="AK144" s="132"/>
      <c r="AL144" s="15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.75" thickBot="1">
      <c r="A145" s="16" t="s">
        <v>92</v>
      </c>
      <c r="B145" s="135"/>
      <c r="C145" s="133" t="s">
        <v>3</v>
      </c>
      <c r="D145" s="133"/>
      <c r="E145" s="117" t="s">
        <v>111</v>
      </c>
      <c r="F145" s="118"/>
      <c r="G145" s="119" t="s">
        <v>142</v>
      </c>
      <c r="H145" s="118"/>
      <c r="I145" s="117" t="s">
        <v>110</v>
      </c>
      <c r="J145" s="117"/>
      <c r="K145" s="117" t="s">
        <v>142</v>
      </c>
      <c r="L145" s="117"/>
      <c r="M145" s="117" t="s">
        <v>111</v>
      </c>
      <c r="N145" s="117"/>
      <c r="O145" s="117" t="s">
        <v>112</v>
      </c>
      <c r="P145" s="117"/>
      <c r="Q145" s="117" t="s">
        <v>113</v>
      </c>
      <c r="R145" s="120"/>
      <c r="S145" s="117" t="s">
        <v>114</v>
      </c>
      <c r="T145" s="117"/>
      <c r="U145" s="117" t="s">
        <v>115</v>
      </c>
      <c r="V145" s="120"/>
      <c r="W145" s="117" t="s">
        <v>116</v>
      </c>
      <c r="X145" s="117"/>
      <c r="Y145" s="117" t="s">
        <v>111</v>
      </c>
      <c r="Z145" s="117"/>
      <c r="AA145" s="117" t="s">
        <v>111</v>
      </c>
      <c r="AB145" s="117"/>
      <c r="AC145" s="117" t="s">
        <v>117</v>
      </c>
      <c r="AD145" s="120"/>
      <c r="AE145" s="117" t="s">
        <v>197</v>
      </c>
      <c r="AF145" s="117"/>
      <c r="AG145" s="117" t="s">
        <v>111</v>
      </c>
      <c r="AH145" s="120"/>
      <c r="AI145" s="117" t="s">
        <v>119</v>
      </c>
      <c r="AJ145" s="134"/>
      <c r="AK145" s="132"/>
      <c r="AL145" s="36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129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6"/>
      <c r="AJ146" s="146"/>
      <c r="AK146" s="147"/>
      <c r="AL146" s="12"/>
      <c r="AM146" s="8"/>
      <c r="AN146" s="8"/>
      <c r="AO146" s="8"/>
      <c r="AP146" s="11"/>
      <c r="AQ146" s="8"/>
      <c r="AR146" s="11"/>
      <c r="AS146" s="8"/>
      <c r="AT146" s="8"/>
      <c r="AU146" s="8"/>
      <c r="AV146" s="8"/>
      <c r="AW146" s="8"/>
      <c r="AX146" s="8"/>
    </row>
    <row r="147" spans="1:50" ht="15">
      <c r="A147" s="15">
        <v>1</v>
      </c>
      <c r="B147" s="159" t="s">
        <v>218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8"/>
      <c r="AJ147" s="8"/>
      <c r="AK147" s="5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26.25" customHeight="1">
      <c r="A148" s="15">
        <f aca="true" t="shared" si="5" ref="A148:A156">+A147+1</f>
        <v>2</v>
      </c>
      <c r="B148" s="135" t="s">
        <v>41</v>
      </c>
      <c r="C148" s="13"/>
      <c r="D148" s="13"/>
      <c r="E148" s="13"/>
      <c r="F148" s="13"/>
      <c r="G148" s="13"/>
      <c r="H148" s="13"/>
      <c r="I148" s="13"/>
      <c r="J148" s="25"/>
      <c r="K148" s="13"/>
      <c r="L148" s="13"/>
      <c r="M148" s="13"/>
      <c r="N148" s="25"/>
      <c r="O148" s="13"/>
      <c r="P148" s="13"/>
      <c r="Q148" s="13"/>
      <c r="R148" s="25"/>
      <c r="S148" s="13"/>
      <c r="T148" s="25"/>
      <c r="U148" s="13"/>
      <c r="V148" s="13"/>
      <c r="W148" s="13"/>
      <c r="X148" s="25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8"/>
      <c r="AJ148" s="8"/>
      <c r="AK148" s="5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15">
        <f t="shared" si="5"/>
        <v>3</v>
      </c>
      <c r="B149" s="129" t="s">
        <v>42</v>
      </c>
      <c r="C149" s="39">
        <f>I33-C150</f>
        <v>50872400.73692308</v>
      </c>
      <c r="D149" s="39"/>
      <c r="E149" s="39">
        <f>+E$80*$C149</f>
        <v>36466870.981248796</v>
      </c>
      <c r="F149" s="39"/>
      <c r="G149" s="39">
        <f>+G$80*$C149</f>
        <v>85251.11209568675</v>
      </c>
      <c r="H149" s="39"/>
      <c r="I149" s="39">
        <f>+I$80*$C149</f>
        <v>4994.209478005738</v>
      </c>
      <c r="J149" s="39"/>
      <c r="K149" s="39">
        <f>+K$80*$C149</f>
        <v>208251.2321143675</v>
      </c>
      <c r="L149" s="39"/>
      <c r="M149" s="39">
        <f>+M$80*$C149</f>
        <v>2741470.5811789623</v>
      </c>
      <c r="N149" s="39"/>
      <c r="O149" s="39">
        <f>+O$80*$C149</f>
        <v>5625879.281215665</v>
      </c>
      <c r="P149" s="39"/>
      <c r="Q149" s="39">
        <f>+Q$80*$C149</f>
        <v>4144480.4940155908</v>
      </c>
      <c r="R149" s="39"/>
      <c r="S149" s="39">
        <f>+S$80*$C149</f>
        <v>1152782.893497182</v>
      </c>
      <c r="T149" s="39"/>
      <c r="U149" s="39">
        <f>+U$80*$C149</f>
        <v>206528.44519282074</v>
      </c>
      <c r="V149" s="39"/>
      <c r="W149" s="39">
        <f>+W$80*$C149</f>
        <v>197205.2654258087</v>
      </c>
      <c r="X149" s="39"/>
      <c r="Y149" s="39">
        <f>+Y$80*$C149</f>
        <v>0</v>
      </c>
      <c r="Z149" s="39"/>
      <c r="AA149" s="39">
        <f>+AA$80*$C149</f>
        <v>0</v>
      </c>
      <c r="AB149" s="39"/>
      <c r="AC149" s="39">
        <f>+AC$80*$C149</f>
        <v>0</v>
      </c>
      <c r="AD149" s="39"/>
      <c r="AE149" s="39">
        <f>+AE$80*$C149</f>
        <v>22318.98545781061</v>
      </c>
      <c r="AF149" s="39"/>
      <c r="AG149" s="39">
        <f>+AG$80*$C149</f>
        <v>16367.256002394444</v>
      </c>
      <c r="AH149" s="39"/>
      <c r="AI149" s="39">
        <f>+AI$80*$C149</f>
        <v>0</v>
      </c>
      <c r="AJ149" s="148"/>
      <c r="AK149" s="149"/>
      <c r="AL149" s="39"/>
      <c r="AM149" s="12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15">
        <f t="shared" si="5"/>
        <v>4</v>
      </c>
      <c r="B150" s="129" t="s">
        <v>174</v>
      </c>
      <c r="C150" s="39">
        <f>SUM(E150:AI150)</f>
        <v>1520355</v>
      </c>
      <c r="E150" s="39">
        <v>0</v>
      </c>
      <c r="F150" s="39"/>
      <c r="G150" s="39">
        <v>0</v>
      </c>
      <c r="H150" s="39"/>
      <c r="I150" s="39">
        <v>0</v>
      </c>
      <c r="J150" s="39"/>
      <c r="K150" s="39">
        <v>0</v>
      </c>
      <c r="L150" s="39"/>
      <c r="M150" s="39">
        <v>0</v>
      </c>
      <c r="N150" s="39"/>
      <c r="O150" s="39">
        <v>0</v>
      </c>
      <c r="P150" s="39"/>
      <c r="Q150" s="39">
        <v>0</v>
      </c>
      <c r="R150" s="39"/>
      <c r="S150" s="39">
        <v>0</v>
      </c>
      <c r="T150" s="39"/>
      <c r="U150" s="39">
        <v>0</v>
      </c>
      <c r="V150" s="39"/>
      <c r="W150" s="39">
        <v>0</v>
      </c>
      <c r="X150" s="39"/>
      <c r="Y150" s="39">
        <f>207018+34889+667</f>
        <v>242574</v>
      </c>
      <c r="Z150" s="39"/>
      <c r="AA150" s="39">
        <f>138315+34847+207</f>
        <v>173369</v>
      </c>
      <c r="AB150" s="39"/>
      <c r="AC150" s="39">
        <f>106863+7093+352+(285920-45175)</f>
        <v>355053</v>
      </c>
      <c r="AD150" s="39"/>
      <c r="AE150" s="39">
        <v>0</v>
      </c>
      <c r="AF150" s="39"/>
      <c r="AG150" s="39">
        <v>0</v>
      </c>
      <c r="AH150" s="39"/>
      <c r="AI150" s="39">
        <f>280563+501933+207608-(285920-45175)</f>
        <v>749359</v>
      </c>
      <c r="AK150" s="149"/>
      <c r="AL150" s="39"/>
      <c r="AM150" s="12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15">
        <f t="shared" si="5"/>
        <v>5</v>
      </c>
      <c r="B151" s="129" t="s">
        <v>43</v>
      </c>
      <c r="C151" s="39">
        <f>I34</f>
        <v>16073220.197692307</v>
      </c>
      <c r="D151" s="39"/>
      <c r="E151" s="39">
        <f>+E$80*$C151</f>
        <v>11521768.949603125</v>
      </c>
      <c r="F151" s="39"/>
      <c r="G151" s="39">
        <f>+G$80*$C151</f>
        <v>26935.23161798793</v>
      </c>
      <c r="H151" s="39"/>
      <c r="I151" s="39">
        <f>+I$80*$C151</f>
        <v>1577.9288472841067</v>
      </c>
      <c r="J151" s="39"/>
      <c r="K151" s="39">
        <f>+K$80*$C151</f>
        <v>65797.32549923717</v>
      </c>
      <c r="L151" s="39"/>
      <c r="M151" s="39">
        <f>+M$80*$C151</f>
        <v>866172.2206635162</v>
      </c>
      <c r="N151" s="39"/>
      <c r="O151" s="39">
        <f>+O$80*$C151</f>
        <v>1777505.97932728</v>
      </c>
      <c r="P151" s="39"/>
      <c r="Q151" s="39">
        <f>+Q$80*$C151</f>
        <v>1309455.5519374977</v>
      </c>
      <c r="R151" s="39"/>
      <c r="S151" s="39">
        <f>+S$80*$C151</f>
        <v>364223.68551332835</v>
      </c>
      <c r="T151" s="39"/>
      <c r="U151" s="39">
        <f>+U$80*$C151</f>
        <v>65253.00808660073</v>
      </c>
      <c r="V151" s="39"/>
      <c r="W151" s="39">
        <f>+W$80*$C151</f>
        <v>62307.33382772718</v>
      </c>
      <c r="X151" s="39"/>
      <c r="Y151" s="39">
        <f>+Y$80*$C151</f>
        <v>0</v>
      </c>
      <c r="Z151" s="39"/>
      <c r="AA151" s="39">
        <f>+AA$80*$C151</f>
        <v>0</v>
      </c>
      <c r="AB151" s="39"/>
      <c r="AC151" s="39">
        <f>+AC$80*$C151</f>
        <v>0</v>
      </c>
      <c r="AD151" s="39"/>
      <c r="AE151" s="39">
        <f>+AE$80*$C151</f>
        <v>7051.72082810928</v>
      </c>
      <c r="AF151" s="39"/>
      <c r="AG151" s="39">
        <f>+AG$80*$C151</f>
        <v>5171.261940613471</v>
      </c>
      <c r="AH151" s="39"/>
      <c r="AI151" s="39">
        <f>+AI$80*$C151</f>
        <v>0</v>
      </c>
      <c r="AJ151" s="148"/>
      <c r="AK151" s="136"/>
      <c r="AL151" s="39"/>
      <c r="AM151" s="12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15">
        <f t="shared" si="5"/>
        <v>6</v>
      </c>
      <c r="B152" s="129" t="s">
        <v>48</v>
      </c>
      <c r="C152" s="39">
        <f>I35</f>
        <v>5665904.940769236</v>
      </c>
      <c r="D152" s="39"/>
      <c r="E152" s="39">
        <f>$C152*E98</f>
        <v>0</v>
      </c>
      <c r="F152" s="39"/>
      <c r="G152" s="39">
        <f>$C152*G98</f>
        <v>0</v>
      </c>
      <c r="H152" s="39"/>
      <c r="I152" s="39">
        <f>$C152*I98</f>
        <v>0</v>
      </c>
      <c r="J152" s="39"/>
      <c r="K152" s="39">
        <f>$C152*K98</f>
        <v>0</v>
      </c>
      <c r="L152" s="39"/>
      <c r="M152" s="39">
        <f>$C152*M98</f>
        <v>0</v>
      </c>
      <c r="N152" s="39"/>
      <c r="O152" s="39">
        <f>$C152*O98</f>
        <v>0</v>
      </c>
      <c r="P152" s="39"/>
      <c r="Q152" s="39">
        <f>$C152*Q98</f>
        <v>0</v>
      </c>
      <c r="R152" s="39"/>
      <c r="S152" s="39">
        <f>$C152*S98</f>
        <v>0</v>
      </c>
      <c r="T152" s="39"/>
      <c r="U152" s="39">
        <f>$C152*U98</f>
        <v>0</v>
      </c>
      <c r="V152" s="39"/>
      <c r="W152" s="39">
        <f>$C152*W98</f>
        <v>995333.4331191125</v>
      </c>
      <c r="X152" s="39"/>
      <c r="Y152" s="39">
        <f>$C152*Y98</f>
        <v>443933.6808996011</v>
      </c>
      <c r="Z152" s="39"/>
      <c r="AA152" s="39">
        <f>$C152*AA98</f>
        <v>818021.826750522</v>
      </c>
      <c r="AB152" s="39"/>
      <c r="AC152" s="39">
        <f>$C152*AC98</f>
        <v>788152</v>
      </c>
      <c r="AD152" s="39"/>
      <c r="AE152" s="39">
        <f>$C152*AE98</f>
        <v>0</v>
      </c>
      <c r="AF152" s="39"/>
      <c r="AG152" s="39">
        <f>$C152*AG98</f>
        <v>0</v>
      </c>
      <c r="AH152" s="39"/>
      <c r="AI152" s="39">
        <f>$C152*AI98</f>
        <v>2620464</v>
      </c>
      <c r="AJ152" s="39"/>
      <c r="AK152" s="136"/>
      <c r="AL152" s="39"/>
      <c r="AM152" s="12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15">
        <f t="shared" si="5"/>
        <v>7</v>
      </c>
      <c r="B153" s="129" t="s">
        <v>44</v>
      </c>
      <c r="C153" s="39">
        <f>I37-C154</f>
        <v>110177750.00230762</v>
      </c>
      <c r="D153" s="39"/>
      <c r="E153" s="39">
        <f>+E$80*($C153)</f>
        <v>78978733.77582312</v>
      </c>
      <c r="F153" s="39"/>
      <c r="G153" s="39">
        <f>+G$80*($C153)</f>
        <v>184634.01726351047</v>
      </c>
      <c r="H153" s="39"/>
      <c r="I153" s="39">
        <f>+I$80*($C153)</f>
        <v>10816.29243668661</v>
      </c>
      <c r="J153" s="39"/>
      <c r="K153" s="39">
        <f>+K$80*($C153)</f>
        <v>451023.5777592493</v>
      </c>
      <c r="L153" s="39"/>
      <c r="M153" s="39">
        <f>+M$80*($C153)</f>
        <v>5937385.614919292</v>
      </c>
      <c r="N153" s="39"/>
      <c r="O153" s="39">
        <f>+O$80*($C153)</f>
        <v>12184341.843711304</v>
      </c>
      <c r="P153" s="39"/>
      <c r="Q153" s="39">
        <f>+Q$80*($C153)</f>
        <v>8975977.72356887</v>
      </c>
      <c r="R153" s="39"/>
      <c r="S153" s="39">
        <f>+S$80*($C153)</f>
        <v>2496658.7699189316</v>
      </c>
      <c r="T153" s="39"/>
      <c r="U153" s="39">
        <f>+U$80*($C153)</f>
        <v>447292.42326290446</v>
      </c>
      <c r="V153" s="39"/>
      <c r="W153" s="39">
        <f>+W$80*($C153)</f>
        <v>427100.59125347313</v>
      </c>
      <c r="X153" s="39"/>
      <c r="Y153" s="39">
        <f>+Y$80*($C153)</f>
        <v>0</v>
      </c>
      <c r="Z153" s="39"/>
      <c r="AA153" s="39">
        <f>+AA$80*($C153)</f>
        <v>0</v>
      </c>
      <c r="AB153" s="39"/>
      <c r="AC153" s="39">
        <f>+AC$80*($C153)</f>
        <v>0</v>
      </c>
      <c r="AD153" s="39"/>
      <c r="AE153" s="39">
        <f>+AE$80*($C153)</f>
        <v>48337.714840554385</v>
      </c>
      <c r="AF153" s="39"/>
      <c r="AG153" s="39">
        <f>+AG$80*($C153)</f>
        <v>35447.65754973987</v>
      </c>
      <c r="AH153" s="39"/>
      <c r="AI153" s="39">
        <f>+AI$80*($C153)</f>
        <v>0</v>
      </c>
      <c r="AJ153" s="39"/>
      <c r="AK153" s="136"/>
      <c r="AL153" s="20"/>
      <c r="AM153" s="12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15">
        <f t="shared" si="5"/>
        <v>8</v>
      </c>
      <c r="B154" s="129" t="s">
        <v>175</v>
      </c>
      <c r="C154" s="39">
        <f>SUM(E154:AI154)</f>
        <v>205401</v>
      </c>
      <c r="E154" s="39">
        <v>0</v>
      </c>
      <c r="F154" s="39"/>
      <c r="G154" s="39">
        <v>0</v>
      </c>
      <c r="H154" s="39"/>
      <c r="I154" s="39">
        <v>0</v>
      </c>
      <c r="J154" s="39"/>
      <c r="K154" s="39">
        <v>0</v>
      </c>
      <c r="L154" s="39"/>
      <c r="M154" s="39">
        <v>0</v>
      </c>
      <c r="N154" s="39"/>
      <c r="O154" s="39">
        <v>0</v>
      </c>
      <c r="P154" s="39"/>
      <c r="Q154" s="39">
        <v>0</v>
      </c>
      <c r="R154" s="39"/>
      <c r="S154" s="39">
        <v>0</v>
      </c>
      <c r="T154" s="39"/>
      <c r="U154" s="39">
        <v>0</v>
      </c>
      <c r="V154" s="39"/>
      <c r="W154" s="39">
        <v>0</v>
      </c>
      <c r="X154" s="39"/>
      <c r="Y154" s="39">
        <v>150223</v>
      </c>
      <c r="Z154" s="39"/>
      <c r="AA154" s="39">
        <v>45585</v>
      </c>
      <c r="AB154" s="39"/>
      <c r="AC154" s="39">
        <v>4531</v>
      </c>
      <c r="AD154" s="39"/>
      <c r="AE154" s="39">
        <v>0</v>
      </c>
      <c r="AF154" s="39"/>
      <c r="AG154" s="39">
        <v>0</v>
      </c>
      <c r="AH154" s="39"/>
      <c r="AI154" s="39">
        <v>5062</v>
      </c>
      <c r="AK154" s="150"/>
      <c r="AL154" s="39"/>
      <c r="AM154" s="27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15">
        <f t="shared" si="5"/>
        <v>9</v>
      </c>
      <c r="B155" s="129" t="s">
        <v>45</v>
      </c>
      <c r="C155" s="39">
        <f>I28-SUM(C149:C154)</f>
        <v>11614534.442496657</v>
      </c>
      <c r="D155" s="39"/>
      <c r="E155" s="39">
        <f>+E$77*$C155</f>
        <v>8303464.646479533</v>
      </c>
      <c r="F155" s="39"/>
      <c r="G155" s="39">
        <f>+G$77*$C155</f>
        <v>19411.580327897867</v>
      </c>
      <c r="H155" s="39"/>
      <c r="I155" s="39">
        <f>+I$77*$C155</f>
        <v>1137.17576314834</v>
      </c>
      <c r="J155" s="39"/>
      <c r="K155" s="39">
        <f>+K$77*$C155</f>
        <v>47418.566411596126</v>
      </c>
      <c r="L155" s="39"/>
      <c r="M155" s="39">
        <f>+M$77*$C155</f>
        <v>624229.7032253814</v>
      </c>
      <c r="N155" s="39"/>
      <c r="O155" s="39">
        <f>+O$77*$C155</f>
        <v>1281006.251974741</v>
      </c>
      <c r="P155" s="39"/>
      <c r="Q155" s="39">
        <f>+Q$77*$C155</f>
        <v>943693.4492618759</v>
      </c>
      <c r="R155" s="39"/>
      <c r="S155" s="39">
        <f>+S$77*$C155</f>
        <v>262487.3410757448</v>
      </c>
      <c r="T155" s="39"/>
      <c r="U155" s="39">
        <f>+U$77*$C155</f>
        <v>47026.28980788542</v>
      </c>
      <c r="V155" s="39"/>
      <c r="W155" s="39">
        <f>+W$77*$C155</f>
        <v>44903.41248101073</v>
      </c>
      <c r="X155" s="39"/>
      <c r="Y155" s="39">
        <f>+Y$77*$C155</f>
        <v>11280.084294746657</v>
      </c>
      <c r="Z155" s="39"/>
      <c r="AA155" s="39">
        <f>+AA$77*$C155</f>
        <v>9700.318189585578</v>
      </c>
      <c r="AB155" s="39"/>
      <c r="AC155" s="39">
        <f>+AC$77*$C155</f>
        <v>2718.221031147607</v>
      </c>
      <c r="AD155" s="39"/>
      <c r="AE155" s="39">
        <f>+AE$77*$C155</f>
        <v>5082.007359214202</v>
      </c>
      <c r="AF155" s="39"/>
      <c r="AG155" s="39">
        <f>+AG$77*$C155</f>
        <v>3726.8053967570813</v>
      </c>
      <c r="AH155" s="39"/>
      <c r="AI155" s="39">
        <f>+AI$77*$C155</f>
        <v>7248.589416393618</v>
      </c>
      <c r="AJ155" s="39"/>
      <c r="AK155" s="136"/>
      <c r="AL155" s="39"/>
      <c r="AM155" s="27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15">
        <f t="shared" si="5"/>
        <v>10</v>
      </c>
      <c r="B156" s="129" t="s">
        <v>46</v>
      </c>
      <c r="C156" s="151">
        <f>SUM(C149:C155)</f>
        <v>196129566.3201889</v>
      </c>
      <c r="D156" s="39"/>
      <c r="E156" s="151">
        <f>SUM(E149:E155)</f>
        <v>135270838.35315457</v>
      </c>
      <c r="F156" s="136"/>
      <c r="G156" s="151">
        <f>SUM(G149:G155)</f>
        <v>316231.941305083</v>
      </c>
      <c r="H156" s="136"/>
      <c r="I156" s="151">
        <f>SUM(I149:I155)</f>
        <v>18525.606525124796</v>
      </c>
      <c r="J156" s="9"/>
      <c r="K156" s="151">
        <f>SUM(K149:K155)</f>
        <v>772490.7017844502</v>
      </c>
      <c r="L156" s="136"/>
      <c r="M156" s="151">
        <f>SUM(M149:M155)</f>
        <v>10169258.119987153</v>
      </c>
      <c r="N156" s="9"/>
      <c r="O156" s="151">
        <f>SUM(O149:O155)</f>
        <v>20868733.356228992</v>
      </c>
      <c r="P156" s="136"/>
      <c r="Q156" s="151">
        <f>SUM(Q149:Q155)</f>
        <v>15373607.218783835</v>
      </c>
      <c r="R156" s="9"/>
      <c r="S156" s="151">
        <f>SUM(S149:S155)</f>
        <v>4276152.690005187</v>
      </c>
      <c r="T156" s="9"/>
      <c r="U156" s="151">
        <f>SUM(U149:U155)</f>
        <v>766100.1663502114</v>
      </c>
      <c r="V156" s="136"/>
      <c r="W156" s="151">
        <f>SUM(W149:W155)</f>
        <v>1726850.0361071322</v>
      </c>
      <c r="X156" s="39"/>
      <c r="Y156" s="151">
        <f>SUM(Y149:Y155)</f>
        <v>848010.7651943477</v>
      </c>
      <c r="Z156" s="39"/>
      <c r="AA156" s="151">
        <f>SUM(AA149:AA155)</f>
        <v>1046676.1449401076</v>
      </c>
      <c r="AB156" s="39"/>
      <c r="AC156" s="151">
        <f>SUM(AC149:AC155)</f>
        <v>1150454.2210311475</v>
      </c>
      <c r="AD156" s="39"/>
      <c r="AE156" s="151">
        <f>SUM(AE149:AE155)</f>
        <v>82790.42848568848</v>
      </c>
      <c r="AF156" s="39"/>
      <c r="AG156" s="151">
        <f>SUM(AG149:AG155)</f>
        <v>60712.98088950487</v>
      </c>
      <c r="AH156" s="39"/>
      <c r="AI156" s="151">
        <f>SUM(AI149:AI155)</f>
        <v>3382133.5894163935</v>
      </c>
      <c r="AJ156" s="151"/>
      <c r="AK156" s="71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15"/>
      <c r="B157" s="129"/>
      <c r="C157" s="136"/>
      <c r="D157" s="39"/>
      <c r="E157" s="136"/>
      <c r="F157" s="136"/>
      <c r="G157" s="136"/>
      <c r="H157" s="136"/>
      <c r="I157" s="136"/>
      <c r="J157" s="9"/>
      <c r="K157" s="136"/>
      <c r="L157" s="136"/>
      <c r="M157" s="136"/>
      <c r="N157" s="9"/>
      <c r="O157" s="136"/>
      <c r="P157" s="136"/>
      <c r="Q157" s="136"/>
      <c r="R157" s="9"/>
      <c r="S157" s="136"/>
      <c r="T157" s="9"/>
      <c r="U157" s="136"/>
      <c r="V157" s="136"/>
      <c r="W157" s="136"/>
      <c r="X157" s="39"/>
      <c r="Y157" s="136"/>
      <c r="Z157" s="136"/>
      <c r="AA157" s="136"/>
      <c r="AB157" s="39"/>
      <c r="AC157" s="136"/>
      <c r="AD157" s="39"/>
      <c r="AE157" s="136"/>
      <c r="AF157" s="39"/>
      <c r="AG157" s="136"/>
      <c r="AH157" s="39"/>
      <c r="AI157" s="136"/>
      <c r="AJ157" s="136"/>
      <c r="AK157" s="136"/>
      <c r="AL157" s="39"/>
      <c r="AM157" s="28"/>
      <c r="AN157" s="8"/>
      <c r="AO157" s="8"/>
      <c r="AP157" s="8"/>
      <c r="AQ157" s="8"/>
      <c r="AS157" s="59"/>
      <c r="AT157" s="60"/>
      <c r="AU157" s="60"/>
      <c r="AV157" s="60"/>
      <c r="AW157" s="60"/>
      <c r="AX157" s="8"/>
    </row>
    <row r="158" spans="1:50" ht="15">
      <c r="A158" s="15">
        <f>+A156+1</f>
        <v>11</v>
      </c>
      <c r="B158" s="135" t="s">
        <v>47</v>
      </c>
      <c r="C158" s="9"/>
      <c r="D158" s="9"/>
      <c r="E158" s="9"/>
      <c r="F158" s="9"/>
      <c r="G158" s="9"/>
      <c r="H158" s="9"/>
      <c r="I158" s="9"/>
      <c r="J158" s="39"/>
      <c r="K158" s="9"/>
      <c r="L158" s="9"/>
      <c r="M158" s="9"/>
      <c r="N158" s="39"/>
      <c r="O158" s="9"/>
      <c r="P158" s="9"/>
      <c r="Q158" s="9"/>
      <c r="R158" s="39"/>
      <c r="S158" s="9"/>
      <c r="T158" s="39"/>
      <c r="U158" s="9"/>
      <c r="V158" s="9"/>
      <c r="W158" s="71"/>
      <c r="X158" s="39"/>
      <c r="Y158" s="71"/>
      <c r="Z158" s="39"/>
      <c r="AA158" s="71"/>
      <c r="AB158" s="9"/>
      <c r="AC158" s="71"/>
      <c r="AD158" s="9"/>
      <c r="AE158" s="9"/>
      <c r="AF158" s="9"/>
      <c r="AG158" s="9"/>
      <c r="AH158" s="39"/>
      <c r="AI158" s="71"/>
      <c r="AJ158" s="71"/>
      <c r="AK158" s="136"/>
      <c r="AL158" s="39"/>
      <c r="AM158" s="28"/>
      <c r="AN158" s="8"/>
      <c r="AO158" s="8"/>
      <c r="AP158" s="8"/>
      <c r="AQ158" s="8"/>
      <c r="AS158" s="45"/>
      <c r="AT158" s="15"/>
      <c r="AU158" s="15"/>
      <c r="AV158" s="15"/>
      <c r="AW158" s="15"/>
      <c r="AX158" s="8"/>
    </row>
    <row r="159" spans="1:50" ht="15">
      <c r="A159" s="15">
        <f aca="true" t="shared" si="6" ref="A159:A167">+A158+1</f>
        <v>12</v>
      </c>
      <c r="B159" s="129" t="s">
        <v>48</v>
      </c>
      <c r="C159" s="39">
        <f>K35</f>
        <v>0</v>
      </c>
      <c r="D159" s="39"/>
      <c r="E159" s="39">
        <f>$C$159*E98</f>
        <v>0</v>
      </c>
      <c r="F159" s="39"/>
      <c r="G159" s="39">
        <f>$C$159*G98</f>
        <v>0</v>
      </c>
      <c r="H159" s="39"/>
      <c r="I159" s="39">
        <f>$C$159*I98</f>
        <v>0</v>
      </c>
      <c r="J159" s="39"/>
      <c r="K159" s="39">
        <f>$C$159*K98</f>
        <v>0</v>
      </c>
      <c r="L159" s="39"/>
      <c r="M159" s="39">
        <f>$C$159*M98</f>
        <v>0</v>
      </c>
      <c r="N159" s="39"/>
      <c r="O159" s="39">
        <f>$C$159*O98</f>
        <v>0</v>
      </c>
      <c r="P159" s="39"/>
      <c r="Q159" s="39">
        <f>$C$159*Q98</f>
        <v>0</v>
      </c>
      <c r="R159" s="39"/>
      <c r="S159" s="39">
        <f>$C$159*S98</f>
        <v>0</v>
      </c>
      <c r="T159" s="39"/>
      <c r="U159" s="39">
        <f>$C$159*U98</f>
        <v>0</v>
      </c>
      <c r="V159" s="39"/>
      <c r="W159" s="39">
        <f>$C$159*W98</f>
        <v>0</v>
      </c>
      <c r="X159" s="39"/>
      <c r="Y159" s="39">
        <f>$C$159*Y98</f>
        <v>0</v>
      </c>
      <c r="Z159" s="39"/>
      <c r="AA159" s="39">
        <f>$C$159*AA98</f>
        <v>0</v>
      </c>
      <c r="AB159" s="39"/>
      <c r="AC159" s="39">
        <f>$C$159*AC98</f>
        <v>0</v>
      </c>
      <c r="AD159" s="39"/>
      <c r="AE159" s="39">
        <f>$C$159*AE98</f>
        <v>0</v>
      </c>
      <c r="AF159" s="39"/>
      <c r="AG159" s="39">
        <f>$C$159*AG98</f>
        <v>0</v>
      </c>
      <c r="AH159" s="39"/>
      <c r="AI159" s="39">
        <f>$C$159*AI98</f>
        <v>0</v>
      </c>
      <c r="AJ159" s="39"/>
      <c r="AK159" s="149"/>
      <c r="AL159" s="39"/>
      <c r="AM159" s="28"/>
      <c r="AN159" s="8"/>
      <c r="AO159" s="8"/>
      <c r="AP159" s="8"/>
      <c r="AQ159" s="8"/>
      <c r="AS159" s="40"/>
      <c r="AT159" s="40"/>
      <c r="AU159" s="40"/>
      <c r="AV159" s="40"/>
      <c r="AW159" s="40"/>
      <c r="AX159" s="8"/>
    </row>
    <row r="160" spans="1:50" ht="15">
      <c r="A160" s="15">
        <f t="shared" si="6"/>
        <v>13</v>
      </c>
      <c r="B160" s="129" t="s">
        <v>49</v>
      </c>
      <c r="C160" s="39">
        <f>K38</f>
        <v>4718680.204615382</v>
      </c>
      <c r="D160" s="39"/>
      <c r="E160" s="39">
        <f>$C$160*E89</f>
        <v>731843.2840038865</v>
      </c>
      <c r="F160" s="39"/>
      <c r="G160" s="39">
        <f>$C$160*G89</f>
        <v>0</v>
      </c>
      <c r="H160" s="39"/>
      <c r="I160" s="39">
        <f>$C$160*I89</f>
        <v>6535.927569094489</v>
      </c>
      <c r="J160" s="39"/>
      <c r="K160" s="39">
        <f>$C$160*K89</f>
        <v>0</v>
      </c>
      <c r="L160" s="39"/>
      <c r="M160" s="39">
        <f>$C$160*M89</f>
        <v>66994.40421918353</v>
      </c>
      <c r="N160" s="39"/>
      <c r="O160" s="39">
        <f>$C$160*O89</f>
        <v>562687.7627633282</v>
      </c>
      <c r="P160" s="39"/>
      <c r="Q160" s="39">
        <f>$C$160*Q89</f>
        <v>995049.6444601252</v>
      </c>
      <c r="R160" s="39"/>
      <c r="S160" s="39">
        <f>$C$160*S89</f>
        <v>564816.7360316286</v>
      </c>
      <c r="T160" s="39"/>
      <c r="U160" s="39">
        <f>$C$160*U89</f>
        <v>311396.8055795186</v>
      </c>
      <c r="V160" s="39"/>
      <c r="W160" s="39">
        <f>$C$160*W89</f>
        <v>477430.40645021887</v>
      </c>
      <c r="X160" s="39"/>
      <c r="Y160" s="39">
        <f>$C$160*Y89</f>
        <v>212941.14178868785</v>
      </c>
      <c r="Z160" s="39"/>
      <c r="AA160" s="39">
        <f>$C$160*AA89</f>
        <v>392379.5586839441</v>
      </c>
      <c r="AB160" s="39"/>
      <c r="AC160" s="39">
        <f>$C$160*AC89</f>
        <v>0.0037130959427976186</v>
      </c>
      <c r="AD160" s="39"/>
      <c r="AE160" s="39">
        <f>$C$160*AE89</f>
        <v>2987.3826836142516</v>
      </c>
      <c r="AF160" s="39"/>
      <c r="AG160" s="39">
        <f>$C$160*AG89</f>
        <v>9623.688935315573</v>
      </c>
      <c r="AH160" s="39"/>
      <c r="AI160" s="39">
        <f>$C$160*AI89</f>
        <v>383993.4577337399</v>
      </c>
      <c r="AJ160" s="39"/>
      <c r="AK160" s="149"/>
      <c r="AL160" s="39"/>
      <c r="AM160" s="28"/>
      <c r="AN160" s="8"/>
      <c r="AO160" s="8"/>
      <c r="AP160" s="8"/>
      <c r="AQ160" s="8"/>
      <c r="AS160" s="40"/>
      <c r="AT160" s="40"/>
      <c r="AU160" s="40"/>
      <c r="AV160" s="40"/>
      <c r="AW160" s="40"/>
      <c r="AX160" s="8"/>
    </row>
    <row r="161" spans="1:50" ht="15">
      <c r="A161" s="15">
        <f t="shared" si="6"/>
        <v>14</v>
      </c>
      <c r="B161" s="129" t="s">
        <v>163</v>
      </c>
      <c r="C161" s="39">
        <f>(K36-C164)*0.2081566</f>
        <v>64259530.26080161</v>
      </c>
      <c r="D161" s="39"/>
      <c r="E161" s="39">
        <f>$C161*E$89</f>
        <v>9966326.094447717</v>
      </c>
      <c r="F161" s="39"/>
      <c r="G161" s="39">
        <f>$C161*G$89</f>
        <v>0</v>
      </c>
      <c r="H161" s="39"/>
      <c r="I161" s="39">
        <f>$C161*I$89</f>
        <v>89007.01407945245</v>
      </c>
      <c r="J161" s="39"/>
      <c r="K161" s="39">
        <f>$C161*K$89</f>
        <v>0</v>
      </c>
      <c r="L161" s="39"/>
      <c r="M161" s="39">
        <f>$C161*M$89</f>
        <v>912337.5093349648</v>
      </c>
      <c r="N161" s="39"/>
      <c r="O161" s="39">
        <f>$C161*O$89</f>
        <v>7662746.732297379</v>
      </c>
      <c r="P161" s="39"/>
      <c r="Q161" s="39">
        <f>$C161*Q$89</f>
        <v>13550700.612566127</v>
      </c>
      <c r="R161" s="39"/>
      <c r="S161" s="39">
        <f>$C161*S$89</f>
        <v>7691739.33536147</v>
      </c>
      <c r="T161" s="39"/>
      <c r="U161" s="39">
        <f>$C161*U$89</f>
        <v>4240637.547694348</v>
      </c>
      <c r="V161" s="39"/>
      <c r="W161" s="39">
        <f>$C161*W$89</f>
        <v>6501702.23883933</v>
      </c>
      <c r="X161" s="39"/>
      <c r="Y161" s="39">
        <f>$C161*Y$89</f>
        <v>2899856.983559913</v>
      </c>
      <c r="Z161" s="39"/>
      <c r="AA161" s="39">
        <f>$C161*AA$89</f>
        <v>5343470.002546207</v>
      </c>
      <c r="AB161" s="39"/>
      <c r="AC161" s="39">
        <f>$C161*AC$89</f>
        <v>0.05056536801626964</v>
      </c>
      <c r="AD161" s="39"/>
      <c r="AE161" s="39">
        <f>$C161*AE$89</f>
        <v>40682.52130554204</v>
      </c>
      <c r="AF161" s="39"/>
      <c r="AG161" s="39">
        <f>$C161*AG$89</f>
        <v>131056.50384075126</v>
      </c>
      <c r="AH161" s="39"/>
      <c r="AI161" s="39">
        <f>$C161*AI$89</f>
        <v>5229267.114363046</v>
      </c>
      <c r="AJ161" s="148"/>
      <c r="AK161" s="149"/>
      <c r="AL161" s="39"/>
      <c r="AM161" s="28"/>
      <c r="AN161" s="8"/>
      <c r="AO161" s="8"/>
      <c r="AP161" s="8"/>
      <c r="AQ161" s="8"/>
      <c r="AS161" s="40"/>
      <c r="AT161" s="40"/>
      <c r="AU161" s="40"/>
      <c r="AV161" s="40"/>
      <c r="AW161" s="40"/>
      <c r="AX161" s="8"/>
    </row>
    <row r="162" spans="1:50" ht="15">
      <c r="A162" s="15">
        <f t="shared" si="6"/>
        <v>15</v>
      </c>
      <c r="B162" s="129" t="s">
        <v>186</v>
      </c>
      <c r="C162" s="39">
        <f>(K36-C164)*0.4251472</f>
        <v>131246183.70829979</v>
      </c>
      <c r="E162" s="39">
        <f>$C162*E$92</f>
        <v>24364321.09503837</v>
      </c>
      <c r="F162" s="39"/>
      <c r="G162" s="39">
        <f>$C162*G$92</f>
        <v>0</v>
      </c>
      <c r="H162" s="39"/>
      <c r="I162" s="39">
        <f>$C162*I$92</f>
        <v>217592.26521300702</v>
      </c>
      <c r="J162" s="39"/>
      <c r="K162" s="39">
        <f>$C162*K$92</f>
        <v>0</v>
      </c>
      <c r="L162" s="39"/>
      <c r="M162" s="39">
        <f>$C162*M$92</f>
        <v>2230358.8919158713</v>
      </c>
      <c r="N162" s="39"/>
      <c r="O162" s="39">
        <f>$C162*O$92</f>
        <v>18732842.984102175</v>
      </c>
      <c r="P162" s="39"/>
      <c r="Q162" s="39">
        <f>$C162*Q$92</f>
        <v>33126913.33381357</v>
      </c>
      <c r="R162" s="39"/>
      <c r="S162" s="39">
        <f>$C162*S$92</f>
        <v>18803720.16429278</v>
      </c>
      <c r="T162" s="39"/>
      <c r="U162" s="39">
        <f>$C162*U$92</f>
        <v>10366935.004992595</v>
      </c>
      <c r="V162" s="39"/>
      <c r="W162" s="39">
        <f>$C162*W$92</f>
        <v>15894479.019672243</v>
      </c>
      <c r="X162" s="39"/>
      <c r="Y162" s="39">
        <f>$C162*Y$92</f>
        <v>7089176.694359241</v>
      </c>
      <c r="Z162" s="39"/>
      <c r="AA162" s="39">
        <f>$C162*AA$92</f>
        <v>0</v>
      </c>
      <c r="AB162" s="39"/>
      <c r="AC162" s="39">
        <f>$C162*AC$92</f>
        <v>0</v>
      </c>
      <c r="AD162" s="39"/>
      <c r="AE162" s="39">
        <f>$C162*AE$92</f>
        <v>99455.1053869458</v>
      </c>
      <c r="AF162" s="39"/>
      <c r="AG162" s="39">
        <f>$C162*AG$92</f>
        <v>320389.1495129869</v>
      </c>
      <c r="AH162" s="39"/>
      <c r="AI162" s="39">
        <f>$C162*AI$92</f>
        <v>0</v>
      </c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15">
        <f t="shared" si="6"/>
        <v>16</v>
      </c>
      <c r="B163" s="129" t="s">
        <v>164</v>
      </c>
      <c r="C163" s="39">
        <f>K36-C161-C164-C162</f>
        <v>113201914.137822</v>
      </c>
      <c r="D163" s="39"/>
      <c r="E163" s="39">
        <f>$C163*E$95</f>
        <v>25475922.608909324</v>
      </c>
      <c r="F163" s="39"/>
      <c r="G163" s="39">
        <f>$C163*G$95</f>
        <v>0</v>
      </c>
      <c r="H163" s="39"/>
      <c r="I163" s="39">
        <f>$C163*I$95</f>
        <v>227519.72801707612</v>
      </c>
      <c r="J163" s="39"/>
      <c r="K163" s="39">
        <f>$C163*K$95</f>
        <v>0</v>
      </c>
      <c r="L163" s="39"/>
      <c r="M163" s="39">
        <f>$C163*M$95</f>
        <v>2332117.127290389</v>
      </c>
      <c r="N163" s="39"/>
      <c r="O163" s="39">
        <f>$C163*O$95</f>
        <v>19587513.078910418</v>
      </c>
      <c r="P163" s="39"/>
      <c r="Q163" s="39">
        <f>$C163*Q$95</f>
        <v>34638300.696839176</v>
      </c>
      <c r="R163" s="39"/>
      <c r="S163" s="39">
        <f>$C163*S$95</f>
        <v>19661623.97041567</v>
      </c>
      <c r="T163" s="39"/>
      <c r="U163" s="39">
        <f>$C163*U$95</f>
        <v>10839917.634009842</v>
      </c>
      <c r="V163" s="39"/>
      <c r="W163" s="39">
        <f>$C163*W$95</f>
        <v>0</v>
      </c>
      <c r="X163" s="39"/>
      <c r="Y163" s="39">
        <f>$C163*Y$95</f>
        <v>0</v>
      </c>
      <c r="Z163" s="39"/>
      <c r="AA163" s="39">
        <f>$C163*AA$95</f>
        <v>0</v>
      </c>
      <c r="AB163" s="39"/>
      <c r="AC163" s="39">
        <f>$C163*AC$95</f>
        <v>0</v>
      </c>
      <c r="AD163" s="39"/>
      <c r="AE163" s="39">
        <f>$C163*AE$95</f>
        <v>103992.6603337503</v>
      </c>
      <c r="AF163" s="39"/>
      <c r="AG163" s="39">
        <f>$C163*AG$95</f>
        <v>335006.63309634815</v>
      </c>
      <c r="AH163" s="39"/>
      <c r="AI163" s="39">
        <f>$C163*AI$95</f>
        <v>0</v>
      </c>
      <c r="AJ163" s="148"/>
      <c r="AK163" s="136"/>
      <c r="AL163" s="39"/>
      <c r="AM163" s="2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15">
        <f t="shared" si="6"/>
        <v>17</v>
      </c>
      <c r="B164" s="129" t="s">
        <v>165</v>
      </c>
      <c r="C164" s="39">
        <f>SUM(E164:AI164)</f>
        <v>9301872</v>
      </c>
      <c r="D164" s="39"/>
      <c r="E164" s="39">
        <v>0</v>
      </c>
      <c r="F164" s="39"/>
      <c r="G164" s="39">
        <v>0</v>
      </c>
      <c r="H164" s="39"/>
      <c r="I164" s="39">
        <v>0</v>
      </c>
      <c r="J164" s="39"/>
      <c r="K164" s="39">
        <v>0</v>
      </c>
      <c r="L164" s="39"/>
      <c r="M164" s="39">
        <v>0</v>
      </c>
      <c r="N164" s="39"/>
      <c r="O164" s="39">
        <v>0</v>
      </c>
      <c r="P164" s="39"/>
      <c r="Q164" s="39">
        <v>0</v>
      </c>
      <c r="R164" s="39"/>
      <c r="S164" s="39">
        <v>0</v>
      </c>
      <c r="T164" s="39"/>
      <c r="U164" s="39">
        <v>0</v>
      </c>
      <c r="V164" s="39"/>
      <c r="W164" s="39">
        <v>0</v>
      </c>
      <c r="X164" s="39"/>
      <c r="Y164" s="39">
        <v>168817</v>
      </c>
      <c r="Z164" s="39"/>
      <c r="AA164" s="39">
        <v>2848634</v>
      </c>
      <c r="AB164" s="39"/>
      <c r="AC164" s="39">
        <f>197917-41958</f>
        <v>155959</v>
      </c>
      <c r="AD164" s="39"/>
      <c r="AE164" s="39">
        <v>0</v>
      </c>
      <c r="AF164" s="39"/>
      <c r="AG164" s="39">
        <v>0</v>
      </c>
      <c r="AH164" s="39"/>
      <c r="AI164" s="39">
        <f>6284421-(197917-41958)</f>
        <v>6128462</v>
      </c>
      <c r="AJ164" s="148"/>
      <c r="AK164" s="136"/>
      <c r="AL164" s="39"/>
      <c r="AM164" s="2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15">
        <f t="shared" si="6"/>
        <v>18</v>
      </c>
      <c r="B165" s="152" t="s">
        <v>91</v>
      </c>
      <c r="C165" s="39">
        <f>'[6]SCHH-3'!$E$30+'[6]SCHH-3'!$E$89</f>
        <v>13060251.037947373</v>
      </c>
      <c r="D165" s="39"/>
      <c r="E165" s="39">
        <f>+E$86*($C165)</f>
        <v>1524480.845545681</v>
      </c>
      <c r="F165" s="39"/>
      <c r="G165" s="39">
        <f>+G$86*($C165)</f>
        <v>0</v>
      </c>
      <c r="H165" s="39"/>
      <c r="I165" s="39">
        <f>+I$86*($C165)</f>
        <v>13614.795140902845</v>
      </c>
      <c r="J165" s="39"/>
      <c r="K165" s="39">
        <f>+K$86*($C165)</f>
        <v>0</v>
      </c>
      <c r="L165" s="39"/>
      <c r="M165" s="39">
        <f>+M$86*($C165)</f>
        <v>139554.03871732144</v>
      </c>
      <c r="N165" s="39"/>
      <c r="O165" s="39">
        <f>+O$86*($C165)</f>
        <v>1172118.0409863412</v>
      </c>
      <c r="P165" s="39"/>
      <c r="Q165" s="39">
        <f>+Q$86*($C165)</f>
        <v>2072758.1389384526</v>
      </c>
      <c r="R165" s="39"/>
      <c r="S165" s="39">
        <f>+S$86*($C165)</f>
        <v>1176552.8414950601</v>
      </c>
      <c r="T165" s="39"/>
      <c r="U165" s="39">
        <f>+U$86*($C165)</f>
        <v>648661.3675989785</v>
      </c>
      <c r="V165" s="39"/>
      <c r="W165" s="39">
        <f>+W$86*($C165)</f>
        <v>994520.9932548656</v>
      </c>
      <c r="X165" s="39"/>
      <c r="Y165" s="39">
        <f>+Y$86*($C165)</f>
        <v>443571.320501122</v>
      </c>
      <c r="Z165" s="39">
        <f>$C$165*Z89</f>
        <v>0</v>
      </c>
      <c r="AA165" s="39">
        <f>+AA$86*($C165)</f>
        <v>1234737.5219917824</v>
      </c>
      <c r="AB165" s="39">
        <f>$C$165*AB89</f>
        <v>0</v>
      </c>
      <c r="AC165" s="39">
        <f>+AC$86*($C165)</f>
        <v>1234893.873343827</v>
      </c>
      <c r="AD165" s="39"/>
      <c r="AE165" s="39">
        <f>+AE$86*($C165)</f>
        <v>6222.927475085765</v>
      </c>
      <c r="AF165" s="39"/>
      <c r="AG165" s="39">
        <f>+AG$86*($C165)</f>
        <v>20046.81844603849</v>
      </c>
      <c r="AH165" s="39"/>
      <c r="AI165" s="39">
        <f>+AI$86*($C165)</f>
        <v>2378517.514511916</v>
      </c>
      <c r="AJ165" s="39"/>
      <c r="AK165" s="136"/>
      <c r="AL165" s="39"/>
      <c r="AM165" s="27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15">
        <f t="shared" si="6"/>
        <v>19</v>
      </c>
      <c r="B166" s="129" t="s">
        <v>45</v>
      </c>
      <c r="C166" s="39">
        <f>K28-SUM(C159:C165)</f>
        <v>28926757.477761388</v>
      </c>
      <c r="D166" s="39"/>
      <c r="E166" s="39">
        <f>+E$86*$C166</f>
        <v>3376526.804152708</v>
      </c>
      <c r="F166" s="39"/>
      <c r="G166" s="39">
        <f>+G$86*$C166</f>
        <v>0</v>
      </c>
      <c r="H166" s="39"/>
      <c r="I166" s="39">
        <f>+I$86*$C166</f>
        <v>30155.00054371066</v>
      </c>
      <c r="J166" s="39"/>
      <c r="K166" s="39">
        <f>+K$86*$C166</f>
        <v>0</v>
      </c>
      <c r="L166" s="39"/>
      <c r="M166" s="39">
        <f>+M$86*$C166</f>
        <v>309094.04584098526</v>
      </c>
      <c r="N166" s="39"/>
      <c r="O166" s="39">
        <f>+O$86*$C166</f>
        <v>2596089.0191471754</v>
      </c>
      <c r="P166" s="39"/>
      <c r="Q166" s="39">
        <f>+Q$86*$C166</f>
        <v>4590889.701960281</v>
      </c>
      <c r="R166" s="39"/>
      <c r="S166" s="39">
        <f>+S$86*$C166</f>
        <v>2605911.5254990994</v>
      </c>
      <c r="T166" s="39"/>
      <c r="U166" s="39">
        <f>+U$86*$C166</f>
        <v>1436700.5665671867</v>
      </c>
      <c r="V166" s="39"/>
      <c r="W166" s="39">
        <f>+W$86*$C166</f>
        <v>2202734.6560826334</v>
      </c>
      <c r="X166" s="39"/>
      <c r="Y166" s="39">
        <f>+Y$86*$C166</f>
        <v>982452.7855509685</v>
      </c>
      <c r="Z166" s="39">
        <f>$C$166*Z89</f>
        <v>0</v>
      </c>
      <c r="AA166" s="39">
        <f>+AA$86*$C166</f>
        <v>2734783.025500086</v>
      </c>
      <c r="AB166" s="39">
        <f>$C$166*AB89</f>
        <v>0</v>
      </c>
      <c r="AC166" s="39">
        <f>+AC$86*$C166</f>
        <v>2735129.323410346</v>
      </c>
      <c r="AD166" s="39"/>
      <c r="AE166" s="39">
        <f>+AE$86*$C166</f>
        <v>13782.975024789052</v>
      </c>
      <c r="AF166" s="39"/>
      <c r="AG166" s="39">
        <f>+AG$86*$C166</f>
        <v>44401.09563777633</v>
      </c>
      <c r="AH166" s="39"/>
      <c r="AI166" s="39">
        <f>+AI$86*$C166</f>
        <v>5268106.952843646</v>
      </c>
      <c r="AJ166" s="39"/>
      <c r="AK166" s="136"/>
      <c r="AL166" s="39"/>
      <c r="AM166" s="27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15">
        <f t="shared" si="6"/>
        <v>20</v>
      </c>
      <c r="B167" s="129" t="s">
        <v>46</v>
      </c>
      <c r="C167" s="151">
        <f>SUM(C159:C166)</f>
        <v>364715188.82724756</v>
      </c>
      <c r="D167" s="39"/>
      <c r="E167" s="151">
        <f>SUM(E159:E166)</f>
        <v>65439420.73209768</v>
      </c>
      <c r="F167" s="136"/>
      <c r="G167" s="151">
        <f>SUM(G159:G166)</f>
        <v>0</v>
      </c>
      <c r="H167" s="136"/>
      <c r="I167" s="151">
        <f>SUM(I159:I166)</f>
        <v>584424.7305632436</v>
      </c>
      <c r="J167" s="9"/>
      <c r="K167" s="151">
        <f>SUM(K159:K166)</f>
        <v>0</v>
      </c>
      <c r="L167" s="136"/>
      <c r="M167" s="151">
        <f>SUM(M159:M166)</f>
        <v>5990456.017318714</v>
      </c>
      <c r="N167" s="9"/>
      <c r="O167" s="151">
        <f>SUM(O159:O166)</f>
        <v>50313997.618206814</v>
      </c>
      <c r="P167" s="136"/>
      <c r="Q167" s="151">
        <f>SUM(Q159:Q166)</f>
        <v>88974612.12857772</v>
      </c>
      <c r="R167" s="9"/>
      <c r="S167" s="151">
        <f>SUM(S159:S166)</f>
        <v>50504364.57309571</v>
      </c>
      <c r="T167" s="9"/>
      <c r="U167" s="151">
        <f>SUM(U159:U166)</f>
        <v>27844248.926442467</v>
      </c>
      <c r="V167" s="136"/>
      <c r="W167" s="151">
        <f>SUM(W159:W166)</f>
        <v>26070867.314299293</v>
      </c>
      <c r="X167" s="9"/>
      <c r="Y167" s="151">
        <f>SUM(Y159:Y166)</f>
        <v>11796815.925759934</v>
      </c>
      <c r="Z167" s="39"/>
      <c r="AA167" s="151">
        <f>SUM(AA159:AA166)</f>
        <v>12554004.10872202</v>
      </c>
      <c r="AB167" s="39"/>
      <c r="AC167" s="151">
        <f>SUM(AC159:AC166)</f>
        <v>4125982.2510326374</v>
      </c>
      <c r="AD167" s="39"/>
      <c r="AE167" s="151">
        <f>SUM(AE159:AE166)</f>
        <v>267123.57220972725</v>
      </c>
      <c r="AF167" s="39"/>
      <c r="AG167" s="151">
        <f>SUM(AG159:AG166)</f>
        <v>860523.8894692167</v>
      </c>
      <c r="AH167" s="39"/>
      <c r="AI167" s="151">
        <f>SUM(AI159:AI166)</f>
        <v>19388347.03945235</v>
      </c>
      <c r="AJ167" s="151"/>
      <c r="AK167" s="71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15"/>
      <c r="B168" s="129"/>
      <c r="C168" s="136"/>
      <c r="D168" s="39"/>
      <c r="E168" s="136"/>
      <c r="F168" s="136"/>
      <c r="G168" s="136"/>
      <c r="H168" s="136"/>
      <c r="I168" s="136"/>
      <c r="J168" s="9"/>
      <c r="K168" s="136"/>
      <c r="L168" s="136"/>
      <c r="M168" s="136"/>
      <c r="N168" s="9"/>
      <c r="O168" s="136"/>
      <c r="P168" s="136"/>
      <c r="Q168" s="136"/>
      <c r="R168" s="9"/>
      <c r="S168" s="136"/>
      <c r="T168" s="9"/>
      <c r="U168" s="136"/>
      <c r="V168" s="136"/>
      <c r="W168" s="136"/>
      <c r="X168" s="9"/>
      <c r="Y168" s="136"/>
      <c r="Z168" s="39"/>
      <c r="AA168" s="136"/>
      <c r="AB168" s="39"/>
      <c r="AC168" s="136"/>
      <c r="AD168" s="39"/>
      <c r="AE168" s="136"/>
      <c r="AF168" s="39"/>
      <c r="AG168" s="136"/>
      <c r="AH168" s="39"/>
      <c r="AI168" s="136"/>
      <c r="AJ168" s="136"/>
      <c r="AK168" s="71"/>
      <c r="AL168" s="27"/>
      <c r="AM168" s="12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15">
        <f>+A167+1</f>
        <v>21</v>
      </c>
      <c r="B169" s="135" t="s">
        <v>50</v>
      </c>
      <c r="C169" s="9"/>
      <c r="D169" s="9"/>
      <c r="E169" s="9"/>
      <c r="F169" s="9"/>
      <c r="G169" s="9"/>
      <c r="H169" s="9"/>
      <c r="I169" s="9"/>
      <c r="J169" s="39"/>
      <c r="K169" s="9"/>
      <c r="L169" s="9"/>
      <c r="M169" s="9"/>
      <c r="N169" s="39"/>
      <c r="O169" s="9"/>
      <c r="P169" s="9"/>
      <c r="Q169" s="9"/>
      <c r="R169" s="39"/>
      <c r="S169" s="9"/>
      <c r="T169" s="39"/>
      <c r="U169" s="9"/>
      <c r="V169" s="9"/>
      <c r="W169" s="9"/>
      <c r="X169" s="39"/>
      <c r="Y169" s="9"/>
      <c r="Z169" s="9"/>
      <c r="AA169" s="9"/>
      <c r="AB169" s="9"/>
      <c r="AC169" s="9"/>
      <c r="AD169" s="9"/>
      <c r="AE169" s="9"/>
      <c r="AF169" s="9"/>
      <c r="AG169" s="9"/>
      <c r="AH169" s="39"/>
      <c r="AI169" s="9"/>
      <c r="AJ169" s="9"/>
      <c r="AK169" s="71"/>
      <c r="AL169" s="27"/>
      <c r="AM169" s="12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 hidden="1">
      <c r="A170" s="15"/>
      <c r="B170" s="129"/>
      <c r="C170" s="39">
        <v>0</v>
      </c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9"/>
      <c r="Z170" s="9"/>
      <c r="AA170" s="9"/>
      <c r="AB170" s="9"/>
      <c r="AC170" s="9"/>
      <c r="AD170" s="9"/>
      <c r="AE170" s="9"/>
      <c r="AF170" s="9"/>
      <c r="AG170" s="9"/>
      <c r="AH170" s="39"/>
      <c r="AI170" s="9"/>
      <c r="AJ170" s="9"/>
      <c r="AK170" s="71"/>
      <c r="AL170" s="27"/>
      <c r="AM170" s="12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 hidden="1">
      <c r="A171" s="15"/>
      <c r="B171" s="129"/>
      <c r="C171" s="39">
        <v>0</v>
      </c>
      <c r="D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9"/>
      <c r="Z171" s="9"/>
      <c r="AA171" s="9"/>
      <c r="AB171" s="9"/>
      <c r="AC171" s="9"/>
      <c r="AD171" s="9"/>
      <c r="AE171" s="9"/>
      <c r="AF171" s="9"/>
      <c r="AG171" s="9"/>
      <c r="AH171" s="39"/>
      <c r="AI171" s="9"/>
      <c r="AJ171" s="9"/>
      <c r="AK171" s="136"/>
      <c r="AL171" s="27"/>
      <c r="AM171" s="12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 hidden="1">
      <c r="A172" s="15"/>
      <c r="B172" s="129"/>
      <c r="C172" s="39">
        <v>0</v>
      </c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9"/>
      <c r="Z172" s="9"/>
      <c r="AA172" s="9"/>
      <c r="AB172" s="9"/>
      <c r="AC172" s="9"/>
      <c r="AD172" s="9"/>
      <c r="AE172" s="9"/>
      <c r="AF172" s="9"/>
      <c r="AG172" s="9"/>
      <c r="AH172" s="39"/>
      <c r="AI172" s="9"/>
      <c r="AJ172" s="9"/>
      <c r="AK172" s="136"/>
      <c r="AL172" s="27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15">
        <f>+A169+1</f>
        <v>22</v>
      </c>
      <c r="B173" s="129" t="s">
        <v>45</v>
      </c>
      <c r="C173" s="39">
        <f>M28</f>
        <v>0</v>
      </c>
      <c r="D173" s="39"/>
      <c r="E173" s="39">
        <f>$C173*E$120</f>
        <v>0</v>
      </c>
      <c r="F173" s="39"/>
      <c r="G173" s="39">
        <f>$C173*G$120</f>
        <v>0</v>
      </c>
      <c r="H173" s="39"/>
      <c r="I173" s="39">
        <f>$C173*I$120</f>
        <v>0</v>
      </c>
      <c r="J173" s="39"/>
      <c r="K173" s="39">
        <f>$C173*K$120</f>
        <v>0</v>
      </c>
      <c r="L173" s="39"/>
      <c r="M173" s="39">
        <f>$C173*M$120</f>
        <v>0</v>
      </c>
      <c r="N173" s="39"/>
      <c r="O173" s="39">
        <f>$C173*O$120</f>
        <v>0</v>
      </c>
      <c r="P173" s="39"/>
      <c r="Q173" s="39">
        <f>$C173*Q$120</f>
        <v>0</v>
      </c>
      <c r="R173" s="39"/>
      <c r="S173" s="39">
        <f>$C173*S$120</f>
        <v>0</v>
      </c>
      <c r="T173" s="39"/>
      <c r="U173" s="39">
        <f>$C173*U$120</f>
        <v>0</v>
      </c>
      <c r="V173" s="39"/>
      <c r="W173" s="39">
        <f>$C173*W$120</f>
        <v>0</v>
      </c>
      <c r="X173" s="39"/>
      <c r="Y173" s="39">
        <f>$C173*Y$120</f>
        <v>0</v>
      </c>
      <c r="Z173" s="39"/>
      <c r="AA173" s="39">
        <f>$C173*AA$120</f>
        <v>0</v>
      </c>
      <c r="AB173" s="39"/>
      <c r="AC173" s="39">
        <f>$C173*AC$120</f>
        <v>0</v>
      </c>
      <c r="AD173" s="39"/>
      <c r="AE173" s="39">
        <f>$C173*AE$120</f>
        <v>0</v>
      </c>
      <c r="AF173" s="39"/>
      <c r="AG173" s="39">
        <f>$C173*AG$120</f>
        <v>0</v>
      </c>
      <c r="AH173" s="39"/>
      <c r="AI173" s="39">
        <f>$C173*AI$120</f>
        <v>0</v>
      </c>
      <c r="AJ173" s="39"/>
      <c r="AK173" s="71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15">
        <f>+A173+1</f>
        <v>23</v>
      </c>
      <c r="B174" s="129" t="s">
        <v>46</v>
      </c>
      <c r="C174" s="151">
        <f>SUM(C170:C173)</f>
        <v>0</v>
      </c>
      <c r="D174" s="39"/>
      <c r="E174" s="151">
        <f>SUM(E170:E173)</f>
        <v>0</v>
      </c>
      <c r="F174" s="136"/>
      <c r="G174" s="151">
        <f>SUM(G170:G173)</f>
        <v>0</v>
      </c>
      <c r="H174" s="136"/>
      <c r="I174" s="151">
        <f>SUM(I170:I173)</f>
        <v>0</v>
      </c>
      <c r="J174" s="39"/>
      <c r="K174" s="151">
        <f>SUM(K170:K173)</f>
        <v>0</v>
      </c>
      <c r="L174" s="136"/>
      <c r="M174" s="151">
        <f>SUM(M170:M173)</f>
        <v>0</v>
      </c>
      <c r="N174" s="39"/>
      <c r="O174" s="151">
        <f>SUM(O170:O173)</f>
        <v>0</v>
      </c>
      <c r="P174" s="136"/>
      <c r="Q174" s="151">
        <f>SUM(Q170:Q173)</f>
        <v>0</v>
      </c>
      <c r="R174" s="39"/>
      <c r="S174" s="151">
        <f>SUM(S170:S173)</f>
        <v>0</v>
      </c>
      <c r="T174" s="39"/>
      <c r="U174" s="151">
        <f>SUM(U170:U173)</f>
        <v>0</v>
      </c>
      <c r="V174" s="136"/>
      <c r="W174" s="151">
        <f>SUM(W170:W173)</f>
        <v>0</v>
      </c>
      <c r="X174" s="39"/>
      <c r="Y174" s="151">
        <f>SUM(Y170:Y173)</f>
        <v>0</v>
      </c>
      <c r="Z174" s="39"/>
      <c r="AA174" s="151">
        <f>SUM(AA170:AA173)</f>
        <v>0</v>
      </c>
      <c r="AB174" s="39"/>
      <c r="AC174" s="151">
        <f>SUM(AC170:AC173)</f>
        <v>0</v>
      </c>
      <c r="AD174" s="39"/>
      <c r="AE174" s="151">
        <f>SUM(AE170:AE173)</f>
        <v>0</v>
      </c>
      <c r="AF174" s="39"/>
      <c r="AG174" s="151">
        <f>SUM(AG170:AG173)</f>
        <v>0</v>
      </c>
      <c r="AH174" s="39"/>
      <c r="AI174" s="151">
        <f>SUM(AI170:AI173)</f>
        <v>0</v>
      </c>
      <c r="AJ174" s="151"/>
      <c r="AK174" s="71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15"/>
      <c r="B175" s="8"/>
      <c r="C175" s="9"/>
      <c r="D175" s="9"/>
      <c r="E175" s="9"/>
      <c r="F175" s="9"/>
      <c r="G175" s="9"/>
      <c r="H175" s="9"/>
      <c r="I175" s="9"/>
      <c r="J175" s="39"/>
      <c r="K175" s="9"/>
      <c r="L175" s="9"/>
      <c r="M175" s="9"/>
      <c r="N175" s="39"/>
      <c r="O175" s="9"/>
      <c r="P175" s="9"/>
      <c r="Q175" s="9"/>
      <c r="R175" s="39"/>
      <c r="S175" s="9"/>
      <c r="T175" s="39"/>
      <c r="U175" s="9"/>
      <c r="V175" s="9"/>
      <c r="W175" s="9"/>
      <c r="X175" s="39"/>
      <c r="Y175" s="9"/>
      <c r="Z175" s="9"/>
      <c r="AA175" s="9"/>
      <c r="AB175" s="9"/>
      <c r="AC175" s="9"/>
      <c r="AD175" s="9"/>
      <c r="AE175" s="9"/>
      <c r="AF175" s="9"/>
      <c r="AG175" s="9"/>
      <c r="AH175" s="39"/>
      <c r="AI175" s="9"/>
      <c r="AJ175" s="9"/>
      <c r="AK175" s="71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15"/>
      <c r="B176" s="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39"/>
      <c r="AI176" s="9"/>
      <c r="AJ176" s="9"/>
      <c r="AK176" s="136"/>
      <c r="AL176" s="27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15"/>
      <c r="B177" s="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39"/>
      <c r="AI177" s="9"/>
      <c r="AJ177" s="9"/>
      <c r="AK177" s="147"/>
      <c r="AL177" s="12"/>
      <c r="AM177" s="26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15">
        <f>+A174+1</f>
        <v>24</v>
      </c>
      <c r="B178" s="135" t="s">
        <v>3</v>
      </c>
      <c r="C178" s="160">
        <f>C156+C167+C174</f>
        <v>560844755.1474365</v>
      </c>
      <c r="D178" s="160"/>
      <c r="E178" s="160">
        <f>E156+E167+E174</f>
        <v>200710259.08525226</v>
      </c>
      <c r="F178" s="160"/>
      <c r="G178" s="160">
        <f>G156+G167+G174</f>
        <v>316231.941305083</v>
      </c>
      <c r="H178" s="160"/>
      <c r="I178" s="160">
        <f>I156+I167+I174</f>
        <v>602950.3370883684</v>
      </c>
      <c r="J178" s="160"/>
      <c r="K178" s="160">
        <f>K156+K167+K174</f>
        <v>772490.7017844502</v>
      </c>
      <c r="L178" s="160"/>
      <c r="M178" s="160">
        <f>M156+M167+M174</f>
        <v>16159714.137305867</v>
      </c>
      <c r="N178" s="160"/>
      <c r="O178" s="160">
        <f>O156+O167+O174</f>
        <v>71182730.9744358</v>
      </c>
      <c r="P178" s="160"/>
      <c r="Q178" s="160">
        <f>Q156+Q167+Q174</f>
        <v>104348219.34736156</v>
      </c>
      <c r="R178" s="160"/>
      <c r="S178" s="160">
        <f>S156+S167+S174</f>
        <v>54780517.26310089</v>
      </c>
      <c r="T178" s="160"/>
      <c r="U178" s="160">
        <f>U156+U167+U174</f>
        <v>28610349.09279268</v>
      </c>
      <c r="V178" s="160"/>
      <c r="W178" s="160">
        <f>W156+W167+W174</f>
        <v>27797717.350406423</v>
      </c>
      <c r="X178" s="160"/>
      <c r="Y178" s="160">
        <f>Y156+Y167+Y174</f>
        <v>12644826.690954281</v>
      </c>
      <c r="Z178" s="160"/>
      <c r="AA178" s="160">
        <f>AA156+AA167+AA174</f>
        <v>13600680.253662128</v>
      </c>
      <c r="AB178" s="160"/>
      <c r="AC178" s="160">
        <f>AC156+AC167+AC174</f>
        <v>5276436.472063785</v>
      </c>
      <c r="AD178" s="160"/>
      <c r="AE178" s="160">
        <f>AE156+AE167+AE174</f>
        <v>349914.0006954157</v>
      </c>
      <c r="AF178" s="160"/>
      <c r="AG178" s="160">
        <f>AG156+AG167+AG174</f>
        <v>921236.8703587216</v>
      </c>
      <c r="AH178" s="160"/>
      <c r="AI178" s="160">
        <f>AI156+AI167+AI174</f>
        <v>22770480.628868744</v>
      </c>
      <c r="AJ178" s="39"/>
      <c r="AK178" s="72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129"/>
      <c r="C179" s="140"/>
      <c r="D179" s="140"/>
      <c r="E179" s="140"/>
      <c r="F179" s="140"/>
      <c r="G179" s="140"/>
      <c r="H179" s="140"/>
      <c r="I179" s="140"/>
      <c r="J179" s="25"/>
      <c r="K179" s="140"/>
      <c r="L179" s="140"/>
      <c r="M179" s="140"/>
      <c r="N179" s="25"/>
      <c r="O179" s="140"/>
      <c r="P179" s="140"/>
      <c r="Q179" s="140"/>
      <c r="R179" s="25"/>
      <c r="S179" s="140"/>
      <c r="T179" s="25"/>
      <c r="U179" s="140"/>
      <c r="V179" s="140"/>
      <c r="W179" s="140"/>
      <c r="X179" s="25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6"/>
      <c r="AJ179" s="146"/>
      <c r="AK179" s="72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26.25" customHeight="1">
      <c r="A180" s="15">
        <f>+A178+1</f>
        <v>25</v>
      </c>
      <c r="B180" s="8" t="s">
        <v>127</v>
      </c>
      <c r="C180" s="37">
        <f>SUM(E180:AI180)</f>
        <v>1</v>
      </c>
      <c r="D180" s="13"/>
      <c r="E180" s="37">
        <f>+E156/$C$156</f>
        <v>0.6897014095892091</v>
      </c>
      <c r="F180" s="37"/>
      <c r="G180" s="37">
        <f>+G156/$C$156</f>
        <v>0.0016123624155106855</v>
      </c>
      <c r="H180" s="37"/>
      <c r="I180" s="37">
        <f>+I156/$C$156</f>
        <v>9.445596027516344E-05</v>
      </c>
      <c r="J180" s="25"/>
      <c r="K180" s="37">
        <f>+K156/$C$156</f>
        <v>0.003938675418897985</v>
      </c>
      <c r="L180" s="37"/>
      <c r="M180" s="37">
        <f>+M156/$C$156</f>
        <v>0.05184969462169439</v>
      </c>
      <c r="N180" s="25"/>
      <c r="O180" s="37">
        <f>+O156/$C$156</f>
        <v>0.10640279152078477</v>
      </c>
      <c r="P180" s="37"/>
      <c r="Q180" s="37">
        <f>+Q156/$C$156</f>
        <v>0.07838495494190734</v>
      </c>
      <c r="R180" s="25"/>
      <c r="S180" s="37">
        <f>+S156/$C$156</f>
        <v>0.021802692833288614</v>
      </c>
      <c r="T180" s="25"/>
      <c r="U180" s="37">
        <f>+U156/$C$156</f>
        <v>0.003906092185507227</v>
      </c>
      <c r="V180" s="37"/>
      <c r="W180" s="37">
        <f>+W156/$C$156</f>
        <v>0.008804639037889802</v>
      </c>
      <c r="X180" s="25"/>
      <c r="Y180" s="37">
        <f>+Y156/$C$156</f>
        <v>0.004323727325282197</v>
      </c>
      <c r="Z180" s="13"/>
      <c r="AA180" s="37">
        <f>+AA156/$C$156</f>
        <v>0.0053366566019493935</v>
      </c>
      <c r="AB180" s="13"/>
      <c r="AC180" s="37">
        <f>+AC156/$C$156</f>
        <v>0.0058657867990845785</v>
      </c>
      <c r="AD180" s="13"/>
      <c r="AE180" s="37">
        <f>+AE156/$C$156</f>
        <v>0.00042212110106096897</v>
      </c>
      <c r="AF180" s="13"/>
      <c r="AG180" s="37">
        <f>+AG156/$C$156</f>
        <v>0.00030955547411137715</v>
      </c>
      <c r="AH180" s="13"/>
      <c r="AI180" s="37">
        <f>+AI156/$C$156</f>
        <v>0.017244384173546446</v>
      </c>
      <c r="AJ180" s="37"/>
      <c r="AK180" s="72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26.25" customHeight="1">
      <c r="A181" s="15">
        <f>+A180+1</f>
        <v>26</v>
      </c>
      <c r="B181" s="8" t="s">
        <v>128</v>
      </c>
      <c r="C181" s="37">
        <f>SUM(E181:AI181)</f>
        <v>0.9999999999999999</v>
      </c>
      <c r="D181" s="13"/>
      <c r="E181" s="37">
        <f>+E167/$C$167</f>
        <v>0.17942609119877914</v>
      </c>
      <c r="F181" s="37"/>
      <c r="G181" s="37">
        <f>+G167/$C$167</f>
        <v>0</v>
      </c>
      <c r="H181" s="37"/>
      <c r="I181" s="37">
        <f>+I167/$C$167</f>
        <v>0.001602414016379407</v>
      </c>
      <c r="J181" s="13"/>
      <c r="K181" s="37">
        <f>+K167/$C$167</f>
        <v>0</v>
      </c>
      <c r="L181" s="37"/>
      <c r="M181" s="37">
        <f>+M167/$C$167</f>
        <v>0.016425024788743244</v>
      </c>
      <c r="N181" s="13"/>
      <c r="O181" s="37">
        <f>+O167/$C$167</f>
        <v>0.13795421512329376</v>
      </c>
      <c r="P181" s="37"/>
      <c r="Q181" s="37">
        <f>+Q167/$C$167</f>
        <v>0.24395642093952327</v>
      </c>
      <c r="R181" s="13"/>
      <c r="S181" s="37">
        <f>+S167/$C$167</f>
        <v>0.13847617571259915</v>
      </c>
      <c r="T181" s="13"/>
      <c r="U181" s="37">
        <f>+U167/$C$167</f>
        <v>0.07634518599561611</v>
      </c>
      <c r="V181" s="37"/>
      <c r="W181" s="37">
        <f>+W167/$C$167</f>
        <v>0.07148281210368818</v>
      </c>
      <c r="X181" s="13"/>
      <c r="Y181" s="37">
        <f>+Y167/$C$167</f>
        <v>0.032345282804626105</v>
      </c>
      <c r="Z181" s="13"/>
      <c r="AA181" s="37">
        <f>+AA167/$C$167</f>
        <v>0.034421390973843974</v>
      </c>
      <c r="AB181" s="13"/>
      <c r="AC181" s="37">
        <f>+AC167/$C$167</f>
        <v>0.011312888460444587</v>
      </c>
      <c r="AD181" s="13"/>
      <c r="AE181" s="37">
        <f>+AE167/$C$167</f>
        <v>0.0007324169115870139</v>
      </c>
      <c r="AF181" s="13"/>
      <c r="AG181" s="37">
        <f>+AG167/$C$167</f>
        <v>0.002359440779629323</v>
      </c>
      <c r="AH181" s="13"/>
      <c r="AI181" s="37">
        <f>+AI167/$C$167</f>
        <v>0.053160240191246634</v>
      </c>
      <c r="AJ181" s="37"/>
      <c r="AK181" s="5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26.25" customHeight="1">
      <c r="A182" s="15">
        <f>+A181+1</f>
        <v>27</v>
      </c>
      <c r="B182" s="8" t="s">
        <v>129</v>
      </c>
      <c r="C182" s="37">
        <f>SUM(E182:AI182)</f>
        <v>0</v>
      </c>
      <c r="D182" s="13"/>
      <c r="E182" s="37">
        <f>IF($C$174=0,0,+E174/$C$174)</f>
        <v>0</v>
      </c>
      <c r="F182" s="37"/>
      <c r="G182" s="37">
        <f>IF($C$174=0,0,+G174/$C$174)</f>
        <v>0</v>
      </c>
      <c r="H182" s="37"/>
      <c r="I182" s="37">
        <f>IF($C$174=0,0,+I174/$C$174)</f>
        <v>0</v>
      </c>
      <c r="J182" s="25"/>
      <c r="K182" s="37">
        <f>IF($C$174=0,0,+K174/$C$174)</f>
        <v>0</v>
      </c>
      <c r="L182" s="37"/>
      <c r="M182" s="37">
        <f>IF($C$174=0,0,+M174/$C$174)</f>
        <v>0</v>
      </c>
      <c r="N182" s="25"/>
      <c r="O182" s="37">
        <f>IF($C$174=0,0,+O174/$C$174)</f>
        <v>0</v>
      </c>
      <c r="P182" s="37"/>
      <c r="Q182" s="37">
        <f>IF($C$174=0,0,+Q174/$C$174)</f>
        <v>0</v>
      </c>
      <c r="R182" s="25"/>
      <c r="S182" s="37">
        <f>IF($C$174=0,0,+S174/$C$174)</f>
        <v>0</v>
      </c>
      <c r="T182" s="25"/>
      <c r="U182" s="37">
        <f>IF($C$174=0,0,+U174/$C$174)</f>
        <v>0</v>
      </c>
      <c r="V182" s="37"/>
      <c r="W182" s="37">
        <f>IF($C$174=0,0,+W174/$C$174)</f>
        <v>0</v>
      </c>
      <c r="X182" s="25"/>
      <c r="Y182" s="37">
        <f>IF($C$174=0,0,+Y174/$C$174)</f>
        <v>0</v>
      </c>
      <c r="Z182" s="13"/>
      <c r="AA182" s="37">
        <f>IF($C$174=0,0,+AA174/$C$174)</f>
        <v>0</v>
      </c>
      <c r="AB182" s="13"/>
      <c r="AC182" s="37">
        <f>IF($C$174=0,0,+AC174/$C$174)</f>
        <v>0</v>
      </c>
      <c r="AD182" s="13"/>
      <c r="AE182" s="37">
        <f>IF($C$174=0,0,+AE174/$C$174)</f>
        <v>0</v>
      </c>
      <c r="AF182" s="13"/>
      <c r="AG182" s="37">
        <f>IF($C$174=0,0,+AG174/$C$174)</f>
        <v>0</v>
      </c>
      <c r="AH182" s="13"/>
      <c r="AI182" s="37">
        <f>IF($C$174=0,0,+AI174/$C$174)</f>
        <v>0</v>
      </c>
      <c r="AJ182" s="37"/>
      <c r="AK182" s="5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13"/>
      <c r="D183" s="13"/>
      <c r="E183" s="13"/>
      <c r="F183" s="13"/>
      <c r="G183" s="13"/>
      <c r="H183" s="13"/>
      <c r="I183" s="13"/>
      <c r="J183" s="25"/>
      <c r="K183" s="13"/>
      <c r="L183" s="13"/>
      <c r="M183" s="13"/>
      <c r="N183" s="25"/>
      <c r="O183" s="13"/>
      <c r="P183" s="13"/>
      <c r="Q183" s="13"/>
      <c r="R183" s="25"/>
      <c r="S183" s="13"/>
      <c r="T183" s="25"/>
      <c r="U183" s="13"/>
      <c r="V183" s="13"/>
      <c r="W183" s="13"/>
      <c r="X183" s="25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8"/>
      <c r="AJ183" s="8"/>
      <c r="AK183" s="5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13"/>
      <c r="D184" s="13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8"/>
      <c r="AK184" s="5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13"/>
      <c r="D185" s="13"/>
      <c r="E185" s="13"/>
      <c r="F185" s="13"/>
      <c r="G185" s="13"/>
      <c r="H185" s="13"/>
      <c r="I185" s="13"/>
      <c r="J185" s="25"/>
      <c r="K185" s="13"/>
      <c r="L185" s="13"/>
      <c r="M185" s="13"/>
      <c r="N185" s="25"/>
      <c r="O185" s="13"/>
      <c r="P185" s="13"/>
      <c r="Q185" s="13"/>
      <c r="R185" s="25"/>
      <c r="S185" s="13"/>
      <c r="T185" s="25"/>
      <c r="U185" s="13"/>
      <c r="V185" s="13"/>
      <c r="W185" s="13"/>
      <c r="X185" s="25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8"/>
      <c r="AJ185" s="8"/>
      <c r="AK185" s="5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13"/>
      <c r="D186" s="13"/>
      <c r="E186" s="13"/>
      <c r="F186" s="13"/>
      <c r="G186" s="13"/>
      <c r="H186" s="13"/>
      <c r="I186" s="13"/>
      <c r="J186" s="25"/>
      <c r="K186" s="13"/>
      <c r="L186" s="13"/>
      <c r="M186" s="13"/>
      <c r="N186" s="25"/>
      <c r="O186" s="13"/>
      <c r="P186" s="13"/>
      <c r="Q186" s="13"/>
      <c r="R186" s="25"/>
      <c r="S186" s="13"/>
      <c r="T186" s="25"/>
      <c r="U186" s="13"/>
      <c r="V186" s="13"/>
      <c r="W186" s="13"/>
      <c r="X186" s="25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8"/>
      <c r="AJ186" s="8"/>
      <c r="AK186" s="5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13"/>
      <c r="D187" s="13"/>
      <c r="E187" s="13"/>
      <c r="F187" s="13"/>
      <c r="G187" s="13"/>
      <c r="H187" s="13"/>
      <c r="I187" s="13"/>
      <c r="J187" s="25"/>
      <c r="K187" s="13"/>
      <c r="L187" s="13"/>
      <c r="M187" s="13"/>
      <c r="N187" s="25"/>
      <c r="O187" s="13"/>
      <c r="P187" s="13"/>
      <c r="Q187" s="13"/>
      <c r="R187" s="25"/>
      <c r="S187" s="13"/>
      <c r="T187" s="25"/>
      <c r="U187" s="13"/>
      <c r="V187" s="13"/>
      <c r="W187" s="13"/>
      <c r="X187" s="25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8"/>
      <c r="AJ187" s="8"/>
      <c r="AK187" s="5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8"/>
      <c r="AJ188" s="8"/>
      <c r="AK188" s="5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13"/>
      <c r="D189" s="13"/>
      <c r="E189" s="13"/>
      <c r="F189" s="13"/>
      <c r="G189" s="13"/>
      <c r="H189" s="13"/>
      <c r="I189" s="13"/>
      <c r="J189" s="25"/>
      <c r="K189" s="13"/>
      <c r="L189" s="13"/>
      <c r="M189" s="13"/>
      <c r="N189" s="25"/>
      <c r="O189" s="13"/>
      <c r="P189" s="13"/>
      <c r="Q189" s="13"/>
      <c r="R189" s="25"/>
      <c r="S189" s="13"/>
      <c r="T189" s="25"/>
      <c r="U189" s="13"/>
      <c r="V189" s="13"/>
      <c r="W189" s="13"/>
      <c r="X189" s="25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8"/>
      <c r="AJ189" s="8"/>
      <c r="AK189" s="5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8"/>
      <c r="AJ190" s="8"/>
      <c r="AK190" s="5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8"/>
      <c r="AJ191" s="8"/>
      <c r="AK191" s="5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13"/>
      <c r="D192" s="13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13"/>
      <c r="AI192" s="8"/>
      <c r="AJ192" s="8"/>
      <c r="AK192" s="5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13"/>
      <c r="D193" s="13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13"/>
      <c r="AI193" s="8"/>
      <c r="AJ193" s="8"/>
      <c r="AK193" s="5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8"/>
      <c r="AJ194" s="8"/>
      <c r="AK194" s="5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8"/>
      <c r="AJ195" s="8"/>
      <c r="AK195" s="5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62" ht="15">
      <c r="A196" s="8"/>
      <c r="B196" s="52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1"/>
      <c r="AJ196" s="51"/>
      <c r="AK196" s="58"/>
      <c r="AL196" s="51"/>
      <c r="AM196" s="57"/>
      <c r="AN196" s="58"/>
      <c r="AO196" s="58"/>
      <c r="AP196" s="57"/>
      <c r="AQ196" s="58"/>
      <c r="AR196" s="57"/>
      <c r="AS196" s="58"/>
      <c r="AT196" s="58"/>
      <c r="AU196" s="58"/>
      <c r="AV196" s="58"/>
      <c r="AW196" s="58"/>
      <c r="AX196" s="58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</row>
    <row r="197" spans="1:50" ht="15">
      <c r="A197" s="8"/>
      <c r="B197" s="11" t="s">
        <v>222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X197" s="13"/>
      <c r="Y197" s="13"/>
      <c r="Z197" s="13"/>
      <c r="AA197" s="13"/>
      <c r="AB197" s="13"/>
      <c r="AC197" s="13"/>
      <c r="AD197" s="13"/>
      <c r="AE197" s="54" t="s">
        <v>52</v>
      </c>
      <c r="AF197" s="13"/>
      <c r="AG197" s="54"/>
      <c r="AH197" s="13"/>
      <c r="AI197" s="8"/>
      <c r="AJ197" s="8"/>
      <c r="AK197" s="5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8"/>
      <c r="AJ198" s="8"/>
      <c r="AK198" s="5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8"/>
      <c r="AJ199" s="8"/>
      <c r="AK199" s="5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25.5" customHeight="1" thickBot="1">
      <c r="A200" s="105"/>
      <c r="B200" s="106" t="s">
        <v>225</v>
      </c>
      <c r="C200" s="105"/>
      <c r="D200" s="105"/>
      <c r="E200" s="105"/>
      <c r="F200" s="105"/>
      <c r="G200" s="105"/>
      <c r="H200" s="105"/>
      <c r="I200" s="107" t="s">
        <v>121</v>
      </c>
      <c r="J200" s="105"/>
      <c r="K200" s="105"/>
      <c r="L200" s="105"/>
      <c r="M200" s="105"/>
      <c r="N200" s="105"/>
      <c r="O200" s="106"/>
      <c r="P200" s="106"/>
      <c r="Q200" s="106" t="s">
        <v>202</v>
      </c>
      <c r="R200" s="122"/>
      <c r="S200" s="113"/>
      <c r="T200" s="122"/>
      <c r="U200" s="122"/>
      <c r="V200" s="122"/>
      <c r="W200" s="122"/>
      <c r="X200" s="122"/>
      <c r="Y200" s="107" t="s">
        <v>123</v>
      </c>
      <c r="Z200" s="122"/>
      <c r="AA200" s="122"/>
      <c r="AB200" s="122"/>
      <c r="AC200" s="122"/>
      <c r="AD200" s="122"/>
      <c r="AE200" s="106"/>
      <c r="AF200" s="106"/>
      <c r="AG200" s="106" t="s">
        <v>203</v>
      </c>
      <c r="AH200" s="122"/>
      <c r="AI200" s="122"/>
      <c r="AJ200" s="48"/>
      <c r="AK200" s="5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1:50" ht="15">
      <c r="A201" s="102"/>
      <c r="B201" s="103" t="s">
        <v>0</v>
      </c>
      <c r="C201" s="102"/>
      <c r="D201" s="102"/>
      <c r="E201" s="102"/>
      <c r="F201" s="102"/>
      <c r="G201" s="102"/>
      <c r="H201" s="102"/>
      <c r="I201" s="55" t="s">
        <v>122</v>
      </c>
      <c r="J201" s="102"/>
      <c r="K201" s="123"/>
      <c r="L201" s="123"/>
      <c r="M201" s="123"/>
      <c r="N201" s="102"/>
      <c r="O201" s="13"/>
      <c r="P201" s="102"/>
      <c r="Q201" s="13" t="s">
        <v>1</v>
      </c>
      <c r="R201" s="123"/>
      <c r="S201" s="114"/>
      <c r="T201" s="13"/>
      <c r="U201" s="13"/>
      <c r="V201" s="13"/>
      <c r="X201" s="13"/>
      <c r="Y201" s="55" t="s">
        <v>122</v>
      </c>
      <c r="Z201" s="13"/>
      <c r="AA201" s="13"/>
      <c r="AB201" s="13"/>
      <c r="AC201" s="13"/>
      <c r="AD201" s="13"/>
      <c r="AE201" s="13"/>
      <c r="AF201" s="102"/>
      <c r="AG201" s="13" t="s">
        <v>1</v>
      </c>
      <c r="AH201" s="13"/>
      <c r="AI201" s="8"/>
      <c r="AJ201" s="8"/>
      <c r="AK201" s="5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1:50" ht="15">
      <c r="A202" s="8"/>
      <c r="B202" s="50" t="s">
        <v>93</v>
      </c>
      <c r="C202" s="8"/>
      <c r="D202" s="8"/>
      <c r="E202" s="8"/>
      <c r="F202" s="8"/>
      <c r="G202" s="8"/>
      <c r="H202" s="8"/>
      <c r="I202" s="55" t="s">
        <v>89</v>
      </c>
      <c r="J202" s="8"/>
      <c r="N202" s="8"/>
      <c r="O202" s="54"/>
      <c r="P202" s="11"/>
      <c r="Q202" s="54" t="s">
        <v>226</v>
      </c>
      <c r="S202" s="115"/>
      <c r="T202" s="13"/>
      <c r="U202" s="13"/>
      <c r="V202" s="13"/>
      <c r="X202" s="13"/>
      <c r="Y202" s="55" t="s">
        <v>89</v>
      </c>
      <c r="Z202" s="13"/>
      <c r="AA202" s="13"/>
      <c r="AB202" s="13"/>
      <c r="AC202" s="13"/>
      <c r="AD202" s="13"/>
      <c r="AE202" s="54"/>
      <c r="AF202" s="11"/>
      <c r="AG202" s="54" t="s">
        <v>226</v>
      </c>
      <c r="AH202" s="13"/>
      <c r="AI202" s="8"/>
      <c r="AJ202" s="8"/>
      <c r="AK202" s="58"/>
      <c r="AL202" s="8"/>
      <c r="AM202" s="11"/>
      <c r="AN202" s="8"/>
      <c r="AO202" s="8"/>
      <c r="AP202" s="11"/>
      <c r="AQ202" s="8"/>
      <c r="AR202" s="8"/>
      <c r="AS202" s="8"/>
      <c r="AT202" s="8"/>
      <c r="AU202" s="8"/>
      <c r="AV202" s="8"/>
      <c r="AW202" s="8"/>
      <c r="AX202" s="8"/>
    </row>
    <row r="203" spans="1:50" ht="15">
      <c r="A203" s="8"/>
      <c r="B203" s="50" t="str">
        <f>+$B$4</f>
        <v>DOCKET NO.:  080318-GU   </v>
      </c>
      <c r="C203" s="8"/>
      <c r="D203" s="8"/>
      <c r="E203" s="8"/>
      <c r="F203" s="8"/>
      <c r="G203" s="8"/>
      <c r="H203" s="8"/>
      <c r="I203" s="112"/>
      <c r="J203" s="8"/>
      <c r="N203" s="8"/>
      <c r="O203" s="54"/>
      <c r="P203" s="50"/>
      <c r="Q203" s="54" t="s">
        <v>137</v>
      </c>
      <c r="S203" s="112"/>
      <c r="T203" s="13"/>
      <c r="U203" s="13"/>
      <c r="V203" s="13"/>
      <c r="X203" s="13"/>
      <c r="Y203" s="112"/>
      <c r="Z203" s="13"/>
      <c r="AA203" s="13"/>
      <c r="AB203" s="13"/>
      <c r="AC203" s="13"/>
      <c r="AD203" s="13"/>
      <c r="AE203" s="54"/>
      <c r="AF203" s="50"/>
      <c r="AG203" s="54" t="s">
        <v>137</v>
      </c>
      <c r="AH203" s="13"/>
      <c r="AI203" s="8"/>
      <c r="AJ203" s="8"/>
      <c r="AK203" s="5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1:50" ht="15" thickBot="1">
      <c r="A204" s="58"/>
      <c r="B204" s="58"/>
      <c r="C204" s="58"/>
      <c r="D204" s="58"/>
      <c r="E204" s="58"/>
      <c r="F204" s="58"/>
      <c r="G204" s="58"/>
      <c r="H204" s="58"/>
      <c r="I204" s="125"/>
      <c r="J204" s="58"/>
      <c r="K204" s="58"/>
      <c r="L204" s="58"/>
      <c r="M204" s="58"/>
      <c r="N204" s="58"/>
      <c r="O204" s="125"/>
      <c r="P204" s="109"/>
      <c r="Q204" s="109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51"/>
      <c r="AK204" s="5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1:50" ht="24.75" customHeight="1">
      <c r="A205" s="102"/>
      <c r="B205" s="102"/>
      <c r="C205" s="102"/>
      <c r="D205" s="102"/>
      <c r="E205" s="102"/>
      <c r="F205" s="102"/>
      <c r="G205" s="102"/>
      <c r="H205" s="102"/>
      <c r="I205" s="110" t="s">
        <v>208</v>
      </c>
      <c r="J205" s="102"/>
      <c r="K205" s="102"/>
      <c r="L205" s="102"/>
      <c r="M205" s="102"/>
      <c r="N205" s="102"/>
      <c r="O205" s="123"/>
      <c r="P205" s="123"/>
      <c r="Q205" s="102"/>
      <c r="R205" s="102"/>
      <c r="S205" s="102"/>
      <c r="T205" s="102"/>
      <c r="U205" s="102"/>
      <c r="V205" s="102"/>
      <c r="W205" s="102"/>
      <c r="X205" s="102"/>
      <c r="Y205" s="110" t="s">
        <v>208</v>
      </c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8"/>
      <c r="AK205" s="5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1:50" ht="15">
      <c r="A206" s="8"/>
      <c r="B206" s="8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Q206" s="13"/>
      <c r="R206" s="13"/>
      <c r="S206" s="55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8"/>
      <c r="AJ206" s="8"/>
      <c r="AK206" s="5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1:50" ht="15">
      <c r="A207" s="8"/>
      <c r="B207" s="8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Q207" s="13"/>
      <c r="R207" s="13"/>
      <c r="S207" s="55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8"/>
      <c r="AJ207" s="8"/>
      <c r="AK207" s="5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1:50" ht="22.5" customHeight="1">
      <c r="A208" s="8"/>
      <c r="B208" s="8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8"/>
      <c r="AJ208" s="8"/>
      <c r="AK208" s="5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1:50" ht="15">
      <c r="A209" s="8"/>
      <c r="B209" s="11"/>
      <c r="C209" s="13"/>
      <c r="D209" s="13"/>
      <c r="E209" s="116"/>
      <c r="F209" s="116"/>
      <c r="G209" s="116"/>
      <c r="H209" s="116"/>
      <c r="I209" s="116" t="s">
        <v>94</v>
      </c>
      <c r="J209" s="116"/>
      <c r="K209" s="116"/>
      <c r="L209" s="116"/>
      <c r="M209" s="131" t="s">
        <v>143</v>
      </c>
      <c r="N209" s="116"/>
      <c r="O209" s="131" t="s">
        <v>139</v>
      </c>
      <c r="P209" s="131"/>
      <c r="Q209" s="131" t="s">
        <v>140</v>
      </c>
      <c r="R209" s="116"/>
      <c r="S209" s="131" t="s">
        <v>95</v>
      </c>
      <c r="T209" s="116"/>
      <c r="U209" s="131" t="s">
        <v>96</v>
      </c>
      <c r="V209" s="131"/>
      <c r="W209" s="116" t="s">
        <v>194</v>
      </c>
      <c r="X209" s="116"/>
      <c r="Y209" s="116" t="s">
        <v>98</v>
      </c>
      <c r="Z209" s="116"/>
      <c r="AA209" s="116" t="s">
        <v>99</v>
      </c>
      <c r="AB209" s="116"/>
      <c r="AC209" s="116" t="s">
        <v>217</v>
      </c>
      <c r="AD209" s="116"/>
      <c r="AE209" s="116"/>
      <c r="AF209" s="116"/>
      <c r="AG209" s="116"/>
      <c r="AH209" s="116"/>
      <c r="AI209" s="116"/>
      <c r="AJ209" s="116"/>
      <c r="AK209" s="132"/>
      <c r="AL209" s="15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1:50" ht="15">
      <c r="A210" s="8"/>
      <c r="B210" s="8"/>
      <c r="C210" s="13"/>
      <c r="D210" s="13"/>
      <c r="E210" s="116" t="s">
        <v>101</v>
      </c>
      <c r="F210" s="116"/>
      <c r="G210" s="116" t="s">
        <v>101</v>
      </c>
      <c r="H210" s="116"/>
      <c r="I210" s="116" t="s">
        <v>102</v>
      </c>
      <c r="J210" s="116"/>
      <c r="K210" s="116" t="s">
        <v>94</v>
      </c>
      <c r="L210" s="116"/>
      <c r="M210" s="116" t="s">
        <v>103</v>
      </c>
      <c r="N210" s="116"/>
      <c r="O210" s="116" t="s">
        <v>104</v>
      </c>
      <c r="P210" s="116"/>
      <c r="Q210" s="116" t="s">
        <v>104</v>
      </c>
      <c r="R210" s="116"/>
      <c r="S210" s="116" t="s">
        <v>104</v>
      </c>
      <c r="T210" s="116"/>
      <c r="U210" s="116" t="s">
        <v>104</v>
      </c>
      <c r="V210" s="116"/>
      <c r="W210" s="116" t="s">
        <v>104</v>
      </c>
      <c r="X210" s="116"/>
      <c r="Y210" s="116" t="s">
        <v>195</v>
      </c>
      <c r="Z210" s="116"/>
      <c r="AA210" s="131" t="s">
        <v>105</v>
      </c>
      <c r="AB210" s="116"/>
      <c r="AC210" s="131" t="s">
        <v>105</v>
      </c>
      <c r="AD210" s="116"/>
      <c r="AE210" s="116" t="s">
        <v>196</v>
      </c>
      <c r="AF210" s="116"/>
      <c r="AG210" s="116" t="s">
        <v>107</v>
      </c>
      <c r="AH210" s="116"/>
      <c r="AI210" s="116" t="s">
        <v>108</v>
      </c>
      <c r="AJ210" s="116"/>
      <c r="AK210" s="132"/>
      <c r="AL210" s="15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1:50" ht="15" thickBot="1">
      <c r="A211" s="16" t="s">
        <v>92</v>
      </c>
      <c r="B211" s="8"/>
      <c r="C211" s="133" t="s">
        <v>3</v>
      </c>
      <c r="D211" s="133"/>
      <c r="E211" s="117" t="s">
        <v>111</v>
      </c>
      <c r="F211" s="118"/>
      <c r="G211" s="119" t="s">
        <v>142</v>
      </c>
      <c r="H211" s="118"/>
      <c r="I211" s="117" t="s">
        <v>110</v>
      </c>
      <c r="J211" s="117"/>
      <c r="K211" s="117" t="s">
        <v>142</v>
      </c>
      <c r="L211" s="117"/>
      <c r="M211" s="117" t="s">
        <v>111</v>
      </c>
      <c r="N211" s="117"/>
      <c r="O211" s="117" t="s">
        <v>112</v>
      </c>
      <c r="P211" s="117"/>
      <c r="Q211" s="117" t="s">
        <v>113</v>
      </c>
      <c r="R211" s="120"/>
      <c r="S211" s="117" t="s">
        <v>114</v>
      </c>
      <c r="T211" s="117"/>
      <c r="U211" s="117" t="s">
        <v>115</v>
      </c>
      <c r="V211" s="120"/>
      <c r="W211" s="117" t="s">
        <v>116</v>
      </c>
      <c r="X211" s="117"/>
      <c r="Y211" s="117" t="s">
        <v>111</v>
      </c>
      <c r="Z211" s="117"/>
      <c r="AA211" s="117" t="s">
        <v>111</v>
      </c>
      <c r="AB211" s="117"/>
      <c r="AC211" s="117" t="s">
        <v>117</v>
      </c>
      <c r="AD211" s="120"/>
      <c r="AE211" s="117" t="s">
        <v>197</v>
      </c>
      <c r="AF211" s="117"/>
      <c r="AG211" s="117" t="s">
        <v>111</v>
      </c>
      <c r="AH211" s="120"/>
      <c r="AI211" s="117" t="s">
        <v>119</v>
      </c>
      <c r="AJ211" s="134"/>
      <c r="AK211" s="132"/>
      <c r="AL211" s="1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1:50" ht="15">
      <c r="A212" s="8"/>
      <c r="B212" s="129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6"/>
      <c r="AJ212" s="146"/>
      <c r="AK212" s="147"/>
      <c r="AL212" s="12"/>
      <c r="AM212" s="8"/>
      <c r="AN212" s="8"/>
      <c r="AO212" s="8"/>
      <c r="AP212" s="11"/>
      <c r="AQ212" s="8"/>
      <c r="AR212" s="8"/>
      <c r="AS212" s="8"/>
      <c r="AT212" s="8"/>
      <c r="AU212" s="8"/>
      <c r="AV212" s="8"/>
      <c r="AW212" s="8"/>
      <c r="AX212" s="8"/>
    </row>
    <row r="213" spans="1:50" ht="15">
      <c r="A213" s="15">
        <v>1</v>
      </c>
      <c r="B213" s="159" t="s">
        <v>53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8"/>
      <c r="AJ213" s="8"/>
      <c r="AK213" s="5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1:50" s="167" customFormat="1" ht="11.25">
      <c r="A214" s="161"/>
      <c r="B214" s="162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4"/>
      <c r="V214" s="164"/>
      <c r="W214" s="164"/>
      <c r="X214" s="163"/>
      <c r="Y214" s="164"/>
      <c r="Z214" s="163"/>
      <c r="AA214" s="164"/>
      <c r="AB214" s="163"/>
      <c r="AC214" s="164"/>
      <c r="AD214" s="163"/>
      <c r="AE214" s="164"/>
      <c r="AF214" s="163"/>
      <c r="AG214" s="163"/>
      <c r="AH214" s="163"/>
      <c r="AI214" s="165"/>
      <c r="AJ214" s="165"/>
      <c r="AK214" s="166"/>
      <c r="AL214" s="165"/>
      <c r="AM214" s="165"/>
      <c r="AN214" s="165"/>
      <c r="AO214" s="165"/>
      <c r="AP214" s="165"/>
      <c r="AQ214" s="165"/>
      <c r="AR214" s="165"/>
      <c r="AS214" s="165"/>
      <c r="AT214" s="165"/>
      <c r="AU214" s="165"/>
      <c r="AV214" s="165"/>
      <c r="AW214" s="165"/>
      <c r="AX214" s="165"/>
    </row>
    <row r="215" spans="1:50" ht="15">
      <c r="A215" s="15">
        <f>+A213+1</f>
        <v>2</v>
      </c>
      <c r="B215" s="135" t="s">
        <v>41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41"/>
      <c r="V215" s="41"/>
      <c r="W215" s="41"/>
      <c r="X215" s="13"/>
      <c r="Y215" s="41"/>
      <c r="Z215" s="13"/>
      <c r="AA215" s="41"/>
      <c r="AB215" s="13"/>
      <c r="AC215" s="41"/>
      <c r="AD215" s="13"/>
      <c r="AE215" s="41"/>
      <c r="AF215" s="13"/>
      <c r="AG215" s="13"/>
      <c r="AH215" s="13"/>
      <c r="AI215" s="8"/>
      <c r="AJ215" s="8"/>
      <c r="AK215" s="5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1:50" ht="15">
      <c r="A216" s="15">
        <f aca="true" t="shared" si="7" ref="A216:A262">+A215+1</f>
        <v>3</v>
      </c>
      <c r="B216" s="129" t="s">
        <v>54</v>
      </c>
      <c r="C216" s="39">
        <f>I43</f>
        <v>3093303.72349818</v>
      </c>
      <c r="D216" s="39"/>
      <c r="E216" s="39">
        <f>+E$80*$C216</f>
        <v>2217373.3921849765</v>
      </c>
      <c r="F216" s="39"/>
      <c r="G216" s="39">
        <f>+G$80*$C216</f>
        <v>5183.706266226004</v>
      </c>
      <c r="H216" s="39"/>
      <c r="I216" s="39">
        <f>+I$80*$C216</f>
        <v>303.6736334527355</v>
      </c>
      <c r="J216" s="39"/>
      <c r="K216" s="39">
        <f>+K$80*$C216</f>
        <v>12662.746447798543</v>
      </c>
      <c r="L216" s="39"/>
      <c r="M216" s="39">
        <f>+M$80*$C216</f>
        <v>166695.51728992202</v>
      </c>
      <c r="N216" s="39"/>
      <c r="O216" s="39">
        <f>+O$80*$C216</f>
        <v>342082.40767974895</v>
      </c>
      <c r="P216" s="39"/>
      <c r="Q216" s="39">
        <f>+Q$80*$C216</f>
        <v>252005.73903325098</v>
      </c>
      <c r="R216" s="39"/>
      <c r="S216" s="39">
        <f>+S$80*$C216</f>
        <v>70095.13145015998</v>
      </c>
      <c r="T216" s="39"/>
      <c r="U216" s="39">
        <f>+U$80*$C216</f>
        <v>12557.992138546007</v>
      </c>
      <c r="V216" s="39"/>
      <c r="W216" s="39">
        <f>+W$80*$C216</f>
        <v>11991.094837251367</v>
      </c>
      <c r="X216" s="39"/>
      <c r="Y216" s="39">
        <f>+Y$80*$C216</f>
        <v>0</v>
      </c>
      <c r="Z216" s="39"/>
      <c r="AA216" s="39">
        <f>+AA$80*$C216</f>
        <v>0</v>
      </c>
      <c r="AB216" s="39"/>
      <c r="AC216" s="39">
        <f>+AC$80*$C216</f>
        <v>0</v>
      </c>
      <c r="AD216" s="39"/>
      <c r="AE216" s="39">
        <f>+AE$80*$C216</f>
        <v>1357.1091558735627</v>
      </c>
      <c r="AF216" s="39"/>
      <c r="AG216" s="39">
        <f>+AG$80*$C216</f>
        <v>995.2133809739457</v>
      </c>
      <c r="AH216" s="39"/>
      <c r="AI216" s="39">
        <f>+AI$80*$C216</f>
        <v>0</v>
      </c>
      <c r="AJ216" s="39"/>
      <c r="AK216" s="136"/>
      <c r="AL216" s="39"/>
      <c r="AM216" s="8"/>
      <c r="AN216" s="29"/>
      <c r="AO216" s="12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1:50" ht="15">
      <c r="A217" s="15">
        <f t="shared" si="7"/>
        <v>4</v>
      </c>
      <c r="B217" s="129" t="s">
        <v>55</v>
      </c>
      <c r="C217" s="39">
        <f>I45</f>
        <v>457928.32182849</v>
      </c>
      <c r="D217" s="39"/>
      <c r="E217" s="39">
        <f>+E$80*$C217</f>
        <v>328256.8305973236</v>
      </c>
      <c r="F217" s="39"/>
      <c r="G217" s="39">
        <f>+G$80*$C217</f>
        <v>767.3885668945042</v>
      </c>
      <c r="H217" s="39"/>
      <c r="I217" s="39">
        <f>+I$80*$C217</f>
        <v>44.95541653223403</v>
      </c>
      <c r="J217" s="39"/>
      <c r="K217" s="39">
        <f>+K$80*$C217</f>
        <v>1874.5751303148656</v>
      </c>
      <c r="L217" s="39"/>
      <c r="M217" s="39">
        <f>+M$80*$C217</f>
        <v>24677.36934754669</v>
      </c>
      <c r="N217" s="39"/>
      <c r="O217" s="39">
        <f>+O$80*$C217</f>
        <v>50641.39731441699</v>
      </c>
      <c r="P217" s="39"/>
      <c r="Q217" s="39">
        <f>+Q$80*$C217</f>
        <v>37306.57429143101</v>
      </c>
      <c r="R217" s="39"/>
      <c r="S217" s="39">
        <f>+S$80*$C217</f>
        <v>10376.784429373562</v>
      </c>
      <c r="T217" s="39"/>
      <c r="U217" s="39">
        <f>+U$80*$C217</f>
        <v>1859.0674500712755</v>
      </c>
      <c r="V217" s="39"/>
      <c r="W217" s="39">
        <f>+W$80*$C217</f>
        <v>1775.1447728834764</v>
      </c>
      <c r="X217" s="39"/>
      <c r="Y217" s="39">
        <f>+Y$80*$C217</f>
        <v>0</v>
      </c>
      <c r="Z217" s="39"/>
      <c r="AA217" s="39">
        <f>+AA$80*$C217</f>
        <v>0</v>
      </c>
      <c r="AB217" s="39"/>
      <c r="AC217" s="39">
        <f>+AC$80*$C217</f>
        <v>0</v>
      </c>
      <c r="AD217" s="39"/>
      <c r="AE217" s="39">
        <f>+AE$80*$C217</f>
        <v>200.90452598183893</v>
      </c>
      <c r="AF217" s="39"/>
      <c r="AG217" s="39">
        <f>+AG$80*$C217</f>
        <v>147.32998572001517</v>
      </c>
      <c r="AH217" s="39"/>
      <c r="AI217" s="39">
        <f>+AI$80*$C217</f>
        <v>0</v>
      </c>
      <c r="AJ217" s="39"/>
      <c r="AK217" s="136"/>
      <c r="AL217" s="39"/>
      <c r="AM217" s="8"/>
      <c r="AN217" s="29"/>
      <c r="AO217" s="12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1:50" ht="15">
      <c r="A218" s="15">
        <f t="shared" si="7"/>
        <v>5</v>
      </c>
      <c r="B218" s="129" t="s">
        <v>184</v>
      </c>
      <c r="C218" s="39">
        <f>+I42+I44</f>
        <v>455060.9690874</v>
      </c>
      <c r="D218" s="39"/>
      <c r="E218" s="39">
        <v>0</v>
      </c>
      <c r="F218" s="39"/>
      <c r="G218" s="39">
        <v>0</v>
      </c>
      <c r="H218" s="39"/>
      <c r="I218" s="39">
        <v>0</v>
      </c>
      <c r="J218" s="39"/>
      <c r="K218" s="39">
        <v>0</v>
      </c>
      <c r="L218" s="39"/>
      <c r="M218" s="39">
        <v>0</v>
      </c>
      <c r="N218" s="39"/>
      <c r="O218" s="39">
        <v>0</v>
      </c>
      <c r="P218" s="39"/>
      <c r="Q218" s="39">
        <v>0</v>
      </c>
      <c r="R218" s="39"/>
      <c r="S218" s="39">
        <v>0</v>
      </c>
      <c r="T218" s="39"/>
      <c r="U218" s="39">
        <v>0</v>
      </c>
      <c r="V218" s="39"/>
      <c r="W218" s="39">
        <v>0</v>
      </c>
      <c r="X218" s="39"/>
      <c r="Y218" s="39">
        <f>+$C218*(Y150+Y152)/($Y150+$Y152+$AA150+$AA152+$AC150+$AC152+$AI150+$AI152)</f>
        <v>50461.40511764759</v>
      </c>
      <c r="Z218" s="39"/>
      <c r="AA218" s="39">
        <f>+$C218*(AA150+AA152)/($Y150+$Y152+$AA150+$AA152+$AC150+$AC152+$AI150+$AI152)</f>
        <v>72871.68888339635</v>
      </c>
      <c r="AB218" s="39"/>
      <c r="AC218" s="39">
        <f>+$C218*(AC150+AC152)/($Y150+$Y152+$AA150+$AA152+$AC150+$AC152+$AI150+$AI152)</f>
        <v>84030.7140656113</v>
      </c>
      <c r="AD218" s="39"/>
      <c r="AE218" s="39">
        <v>0</v>
      </c>
      <c r="AF218" s="39"/>
      <c r="AG218" s="39">
        <v>0</v>
      </c>
      <c r="AH218" s="39"/>
      <c r="AI218" s="39">
        <f>+$C218*(AI150+AI152)/($Y150+$Y152+$AA150+$AA152+$AC150+$AC152+$AI150+$AI152)</f>
        <v>247697.16102074477</v>
      </c>
      <c r="AJ218" s="39"/>
      <c r="AK218" s="136"/>
      <c r="AL218" s="39"/>
      <c r="AM218" s="8"/>
      <c r="AN218" s="29"/>
      <c r="AO218" s="12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1:50" ht="15">
      <c r="A219" s="15">
        <f t="shared" si="7"/>
        <v>6</v>
      </c>
      <c r="B219" s="129" t="s">
        <v>56</v>
      </c>
      <c r="C219" s="39">
        <f>I46</f>
        <v>1865591.7567252892</v>
      </c>
      <c r="D219" s="39"/>
      <c r="E219" s="39">
        <f>+$C219*(E153+E154)/($C153+$C154)</f>
        <v>1334823.9595524548</v>
      </c>
      <c r="F219" s="39"/>
      <c r="G219" s="39">
        <f>+$C219*(G153+G154)/($C153+$C154)</f>
        <v>3120.509765214792</v>
      </c>
      <c r="H219" s="39"/>
      <c r="I219" s="39">
        <f>+$C219*(I153+I154)/($C153+$C154)</f>
        <v>182.80675832302325</v>
      </c>
      <c r="J219" s="39"/>
      <c r="K219" s="39">
        <f>+$C219*(K153+K154)/($C153+$C154)</f>
        <v>7622.774500601206</v>
      </c>
      <c r="L219" s="39"/>
      <c r="M219" s="39">
        <f>+$C219*(M153+M154)/($C153+$C154)</f>
        <v>100348.083553632</v>
      </c>
      <c r="N219" s="39"/>
      <c r="O219" s="39">
        <f>+$C219*(O153+O154)/($C153+$C154)</f>
        <v>205928.23722051218</v>
      </c>
      <c r="P219" s="39"/>
      <c r="Q219" s="39">
        <f>+$C219*(Q153+Q154)/($C153+$C154)</f>
        <v>151703.4972963386</v>
      </c>
      <c r="R219" s="39"/>
      <c r="S219" s="39">
        <f>+$C219*(S153+S154)/($C153+$C154)</f>
        <v>42196.16833024894</v>
      </c>
      <c r="T219" s="39"/>
      <c r="U219" s="39">
        <f>+$C219*(U153+U154)/($C153+$C154)</f>
        <v>7559.714051535895</v>
      </c>
      <c r="V219" s="39"/>
      <c r="W219" s="39">
        <f>+$C219*(W153+W154)/($C153+$C154)</f>
        <v>7218.450778944688</v>
      </c>
      <c r="X219" s="39"/>
      <c r="Y219" s="39">
        <f>+$C219*(Y153+Y154)/($C153+$C154)</f>
        <v>2538.9272540759794</v>
      </c>
      <c r="Z219" s="39"/>
      <c r="AA219" s="39">
        <f>+$C219*(AA153+AA154)/($C153+$C154)</f>
        <v>770.4346130556142</v>
      </c>
      <c r="AB219" s="39"/>
      <c r="AC219" s="39">
        <f>+$C219*(AC153+AC154)/($C153+$C154)</f>
        <v>76.5786822804648</v>
      </c>
      <c r="AD219" s="39"/>
      <c r="AE219" s="39">
        <f>+$C219*(AE153+AE154)/($C153+$C154)</f>
        <v>816.9583992360456</v>
      </c>
      <c r="AF219" s="39"/>
      <c r="AG219" s="39">
        <f>+$C219*(AG153+AG154)/($C153+$C154)</f>
        <v>599.1028261064333</v>
      </c>
      <c r="AH219" s="39"/>
      <c r="AI219" s="39">
        <f>+$C219*(AI153+AI154)/($C153+$C154)</f>
        <v>85.55314272869406</v>
      </c>
      <c r="AJ219" s="39"/>
      <c r="AK219" s="136"/>
      <c r="AL219" s="39"/>
      <c r="AM219" s="8"/>
      <c r="AN219" s="29"/>
      <c r="AO219" s="12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1:50" ht="15">
      <c r="A220" s="15">
        <f t="shared" si="7"/>
        <v>7</v>
      </c>
      <c r="B220" s="129" t="s">
        <v>57</v>
      </c>
      <c r="C220" s="39">
        <f>I41</f>
        <v>630097.2658663499</v>
      </c>
      <c r="D220" s="39"/>
      <c r="E220" s="39">
        <f>+$C220*(E153+E154)/($C153+$C154)</f>
        <v>450832.24896064197</v>
      </c>
      <c r="F220" s="39"/>
      <c r="G220" s="39">
        <f>+$C220*(G153+G154)/($C153+$C154)</f>
        <v>1053.9415518336336</v>
      </c>
      <c r="H220" s="39"/>
      <c r="I220" s="39">
        <f>+$C220*(I153+I154)/($C153+$C154)</f>
        <v>61.74236039904889</v>
      </c>
      <c r="J220" s="39"/>
      <c r="K220" s="39">
        <f>+$C220*(K153+K154)/($C153+$C154)</f>
        <v>2574.56614172412</v>
      </c>
      <c r="L220" s="39"/>
      <c r="M220" s="39">
        <f>+$C220*(M153+M154)/($C153+$C154)</f>
        <v>33892.22366261887</v>
      </c>
      <c r="N220" s="39"/>
      <c r="O220" s="39">
        <f>+$C220*(O153+O154)/($C153+$C154)</f>
        <v>69551.56119744176</v>
      </c>
      <c r="P220" s="39"/>
      <c r="Q220" s="39">
        <f>+$C220*(Q153+Q154)/($C153+$C154)</f>
        <v>51237.33985433857</v>
      </c>
      <c r="R220" s="39"/>
      <c r="S220" s="39">
        <f>+$C220*(S153+S154)/($C153+$C154)</f>
        <v>14251.612229245711</v>
      </c>
      <c r="T220" s="39"/>
      <c r="U220" s="39">
        <f>+$C220*(U153+U154)/($C153+$C154)</f>
        <v>2553.267689692952</v>
      </c>
      <c r="V220" s="39"/>
      <c r="W220" s="39">
        <f>+$C220*(W153+W154)/($C153+$C154)</f>
        <v>2438.007180942759</v>
      </c>
      <c r="X220" s="39"/>
      <c r="Y220" s="39">
        <f>+$C220*(Y153+Y154)/($C153+$C154)</f>
        <v>857.5140382454008</v>
      </c>
      <c r="Z220" s="39"/>
      <c r="AA220" s="39">
        <f>+$C220*(AA153+AA154)/($C153+$C154)</f>
        <v>260.21166820937276</v>
      </c>
      <c r="AB220" s="39"/>
      <c r="AC220" s="39">
        <f>+$C220*(AC153+AC154)/($C153+$C154)</f>
        <v>25.86418928719245</v>
      </c>
      <c r="AD220" s="39"/>
      <c r="AE220" s="39">
        <f>+$C220*(AE153+AE154)/($C153+$C154)</f>
        <v>275.9249186374819</v>
      </c>
      <c r="AF220" s="39"/>
      <c r="AG220" s="39">
        <f>+$C220*(AG153+AG154)/($C153+$C154)</f>
        <v>202.3449403341533</v>
      </c>
      <c r="AH220" s="39"/>
      <c r="AI220" s="39">
        <f>+$C220*(AI153+AI154)/($C153+$C154)</f>
        <v>28.89528275695612</v>
      </c>
      <c r="AJ220" s="39"/>
      <c r="AK220" s="136"/>
      <c r="AL220" s="39"/>
      <c r="AM220" s="8"/>
      <c r="AN220" s="29"/>
      <c r="AO220" s="12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1:82" ht="15">
      <c r="A221" s="15">
        <f t="shared" si="7"/>
        <v>8</v>
      </c>
      <c r="B221" s="129" t="s">
        <v>179</v>
      </c>
      <c r="C221" s="39">
        <f>I48</f>
        <v>1573000</v>
      </c>
      <c r="E221" s="39">
        <f>+E$101*$C221</f>
        <v>574688.0664694178</v>
      </c>
      <c r="G221" s="39">
        <f>+G$101*$C221</f>
        <v>1481.5393378801691</v>
      </c>
      <c r="I221" s="39">
        <f>+I$101*$C221</f>
        <v>1119.1662120072517</v>
      </c>
      <c r="K221" s="39">
        <f>+K$101*$C221</f>
        <v>2544.6426740623383</v>
      </c>
      <c r="M221" s="39">
        <f>+M$101*$C221</f>
        <v>48835.34218958023</v>
      </c>
      <c r="O221" s="39">
        <f>+O$101*$C221</f>
        <v>198700.00243078842</v>
      </c>
      <c r="Q221" s="39">
        <f>+Q$101*$C221</f>
        <v>295109.78113488964</v>
      </c>
      <c r="S221" s="39">
        <f>+S$101*$C221</f>
        <v>148080.24968756604</v>
      </c>
      <c r="U221" s="39">
        <f>+U$101*$C221</f>
        <v>75858.36794043028</v>
      </c>
      <c r="W221" s="39">
        <f>+W$101*$C221</f>
        <v>64753.654463549174</v>
      </c>
      <c r="Y221" s="39">
        <f>+Y$101*$C221</f>
        <v>34529.29684669893</v>
      </c>
      <c r="AA221" s="39">
        <f>+AA$101*$C221</f>
        <v>46191.37568486108</v>
      </c>
      <c r="AC221" s="39">
        <f>+AC$101*$C221</f>
        <v>14816.059948344031</v>
      </c>
      <c r="AE221" s="39">
        <f>+AE$101*$C221</f>
        <v>642.2120094713151</v>
      </c>
      <c r="AG221" s="39">
        <f>+AG$101*$C221</f>
        <v>2213.5466176695613</v>
      </c>
      <c r="AI221" s="39">
        <f>+AI$101*$C221</f>
        <v>63436.696352783576</v>
      </c>
      <c r="AR221" s="10"/>
      <c r="AS221" s="10"/>
      <c r="AT221" s="10"/>
      <c r="AU221" s="10"/>
      <c r="AV221" s="10"/>
      <c r="AW221" s="10"/>
      <c r="AX221" s="10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</row>
    <row r="222" spans="1:50" ht="15">
      <c r="A222" s="15">
        <f t="shared" si="7"/>
        <v>9</v>
      </c>
      <c r="B222" s="129" t="s">
        <v>180</v>
      </c>
      <c r="C222" s="39">
        <f>I49</f>
        <v>5815707.0115013495</v>
      </c>
      <c r="E222" s="39">
        <f>+E$104*$C222</f>
        <v>2326282.8046005396</v>
      </c>
      <c r="G222" s="39">
        <f>+G$104*$C222</f>
        <v>0</v>
      </c>
      <c r="I222" s="39">
        <f>+I$104*$C222</f>
        <v>9094.177231832151</v>
      </c>
      <c r="K222" s="39">
        <f>+K$104*$C222</f>
        <v>0</v>
      </c>
      <c r="M222" s="39">
        <f>+M$104*$C222</f>
        <v>83688.3798099657</v>
      </c>
      <c r="O222" s="39">
        <f>+O$104*$C222</f>
        <v>660017.2634805186</v>
      </c>
      <c r="Q222" s="39">
        <f>+Q$104*$C222</f>
        <v>1255406.7085667155</v>
      </c>
      <c r="S222" s="39">
        <f>+S$104*$C222</f>
        <v>753960.6336852332</v>
      </c>
      <c r="U222" s="39">
        <f>+U$104*$C222</f>
        <v>436471.69355147675</v>
      </c>
      <c r="W222" s="39">
        <f>+W$104*$C222</f>
        <v>46866.57443460897</v>
      </c>
      <c r="Y222" s="39">
        <f>+Y$104*$C222</f>
        <v>35247.96841566837</v>
      </c>
      <c r="AA222" s="39">
        <f>+AA$104*$C222</f>
        <v>97265.04214593102</v>
      </c>
      <c r="AC222" s="39">
        <f>+AC$104*$C222</f>
        <v>109951.03556079898</v>
      </c>
      <c r="AE222" s="39">
        <f>+AE$104*$C222</f>
        <v>310.0776812617722</v>
      </c>
      <c r="AG222" s="39">
        <f>+AG$104*$C222</f>
        <v>1144.6523367983461</v>
      </c>
      <c r="AI222" s="39">
        <f>+AI$104*$C222</f>
        <v>0</v>
      </c>
      <c r="AR222" s="8"/>
      <c r="AS222" s="8"/>
      <c r="AT222" s="8"/>
      <c r="AU222" s="8"/>
      <c r="AV222" s="8"/>
      <c r="AW222" s="8"/>
      <c r="AX222" s="8"/>
    </row>
    <row r="223" spans="1:50" ht="15">
      <c r="A223" s="15">
        <f t="shared" si="7"/>
        <v>10</v>
      </c>
      <c r="B223" s="129" t="s">
        <v>58</v>
      </c>
      <c r="C223" s="153">
        <f>I15-SUM(C216:C222)</f>
        <v>38203167.79717604</v>
      </c>
      <c r="D223" s="136"/>
      <c r="E223" s="153">
        <f>+E$77*$C223</f>
        <v>27312214.256879624</v>
      </c>
      <c r="F223" s="136"/>
      <c r="G223" s="153">
        <f>+G$77*$C223</f>
        <v>63849.641511384856</v>
      </c>
      <c r="H223" s="136"/>
      <c r="I223" s="153">
        <f>+I$77*$C223</f>
        <v>3740.461290939105</v>
      </c>
      <c r="J223" s="39"/>
      <c r="K223" s="153">
        <f>+K$77*$C223</f>
        <v>155971.76609124028</v>
      </c>
      <c r="L223" s="136"/>
      <c r="M223" s="153">
        <f>+M$77*$C223</f>
        <v>2053250.7966091482</v>
      </c>
      <c r="N223" s="39"/>
      <c r="O223" s="153">
        <f>+O$77*$C223</f>
        <v>4213556.474064129</v>
      </c>
      <c r="P223" s="136"/>
      <c r="Q223" s="153">
        <f>+Q$77*$C223</f>
        <v>3104048.5841030004</v>
      </c>
      <c r="R223" s="39"/>
      <c r="S223" s="153">
        <f>+S$77*$C223</f>
        <v>863387.8512650632</v>
      </c>
      <c r="T223" s="39"/>
      <c r="U223" s="153">
        <f>+U$77*$C223</f>
        <v>154681.46823309857</v>
      </c>
      <c r="V223" s="136"/>
      <c r="W223" s="153">
        <f>+W$77*$C223</f>
        <v>147698.78294916044</v>
      </c>
      <c r="X223" s="39"/>
      <c r="Y223" s="153">
        <f>+Y$77*$C223</f>
        <v>37103.07590993402</v>
      </c>
      <c r="Z223" s="39"/>
      <c r="AA223" s="153">
        <f>+AA$77*$C223</f>
        <v>31906.8220355698</v>
      </c>
      <c r="AB223" s="39"/>
      <c r="AC223" s="153">
        <f>+AC$77*$C223</f>
        <v>8940.92265831901</v>
      </c>
      <c r="AD223" s="39"/>
      <c r="AE223" s="153">
        <f>+AE$77*$C223</f>
        <v>16716.019126876814</v>
      </c>
      <c r="AF223" s="39"/>
      <c r="AG223" s="153">
        <f>+AG$77*$C223</f>
        <v>12258.41402637633</v>
      </c>
      <c r="AH223" s="39"/>
      <c r="AI223" s="153">
        <f>+AI$77*$C223</f>
        <v>23842.460422184024</v>
      </c>
      <c r="AJ223" s="153"/>
      <c r="AK223" s="136"/>
      <c r="AL223" s="20"/>
      <c r="AM223" s="8"/>
      <c r="AN223" s="29"/>
      <c r="AO223" s="10"/>
      <c r="AP223" s="10"/>
      <c r="AQ223" s="8"/>
      <c r="AR223" s="8"/>
      <c r="AS223" s="8"/>
      <c r="AT223" s="8"/>
      <c r="AU223" s="8"/>
      <c r="AV223" s="8"/>
      <c r="AW223" s="8"/>
      <c r="AX223" s="8"/>
    </row>
    <row r="224" spans="1:50" ht="15">
      <c r="A224" s="15">
        <f t="shared" si="7"/>
        <v>11</v>
      </c>
      <c r="B224" s="129" t="s">
        <v>46</v>
      </c>
      <c r="C224" s="39">
        <f>SUM(C216:C223)</f>
        <v>52093856.8456831</v>
      </c>
      <c r="D224" s="39"/>
      <c r="E224" s="39">
        <f>SUM(E216:E223)</f>
        <v>34544471.559244975</v>
      </c>
      <c r="F224" s="39"/>
      <c r="G224" s="39">
        <f>SUM(G216:G223)</f>
        <v>75456.72699943396</v>
      </c>
      <c r="H224" s="39"/>
      <c r="I224" s="39">
        <f>SUM(I216:I223)</f>
        <v>14546.98290348555</v>
      </c>
      <c r="J224" s="39"/>
      <c r="K224" s="39">
        <f>SUM(K216:K223)</f>
        <v>183251.07098574136</v>
      </c>
      <c r="L224" s="39"/>
      <c r="M224" s="39">
        <f>SUM(M216:M223)</f>
        <v>2511387.7124624136</v>
      </c>
      <c r="N224" s="39"/>
      <c r="O224" s="39">
        <f>SUM(O216:O223)</f>
        <v>5740477.343387556</v>
      </c>
      <c r="P224" s="39"/>
      <c r="Q224" s="39">
        <f>SUM(Q216:Q223)</f>
        <v>5146818.224279964</v>
      </c>
      <c r="R224" s="39"/>
      <c r="S224" s="39">
        <f>SUM(S216:S223)</f>
        <v>1902348.4310768906</v>
      </c>
      <c r="T224" s="39"/>
      <c r="U224" s="39">
        <f>SUM(U216:U223)</f>
        <v>691541.5710548516</v>
      </c>
      <c r="V224" s="39"/>
      <c r="W224" s="39">
        <f>SUM(W216:W223)</f>
        <v>282741.70941734087</v>
      </c>
      <c r="X224" s="39"/>
      <c r="Y224" s="39">
        <f>SUM(Y216:Y223)</f>
        <v>160738.1875822703</v>
      </c>
      <c r="Z224" s="39"/>
      <c r="AA224" s="39">
        <f>SUM(AA216:AA223)</f>
        <v>249265.57503102324</v>
      </c>
      <c r="AB224" s="39"/>
      <c r="AC224" s="39">
        <f>SUM(AC216:AC223)</f>
        <v>217841.17510464098</v>
      </c>
      <c r="AD224" s="39"/>
      <c r="AE224" s="39">
        <f>SUM(AE216:AE223)</f>
        <v>20319.20581733883</v>
      </c>
      <c r="AF224" s="39"/>
      <c r="AG224" s="39">
        <f>SUM(AG216:AG223)</f>
        <v>17560.604113978785</v>
      </c>
      <c r="AH224" s="39"/>
      <c r="AI224" s="39">
        <f>SUM(AI216:AI223)</f>
        <v>335090.766221198</v>
      </c>
      <c r="AJ224" s="39"/>
      <c r="AK224" s="136"/>
      <c r="AL224" s="14"/>
      <c r="AM224" s="8"/>
      <c r="AN224" s="8"/>
      <c r="AO224" s="27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1:50" s="167" customFormat="1" ht="11.25">
      <c r="A225" s="161"/>
      <c r="B225" s="162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9"/>
      <c r="AL225" s="170"/>
      <c r="AM225" s="165"/>
      <c r="AN225" s="165"/>
      <c r="AO225" s="171"/>
      <c r="AP225" s="165"/>
      <c r="AQ225" s="165"/>
      <c r="AR225" s="165"/>
      <c r="AS225" s="165"/>
      <c r="AT225" s="165"/>
      <c r="AU225" s="165"/>
      <c r="AV225" s="165"/>
      <c r="AW225" s="165"/>
      <c r="AX225" s="165"/>
    </row>
    <row r="226" spans="1:50" ht="15">
      <c r="A226" s="15">
        <f>+A224+1</f>
        <v>12</v>
      </c>
      <c r="B226" s="135" t="s">
        <v>47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71"/>
      <c r="AL226" s="13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1:50" ht="15">
      <c r="A227" s="15">
        <f t="shared" si="7"/>
        <v>13</v>
      </c>
      <c r="B227" s="129" t="s">
        <v>59</v>
      </c>
      <c r="C227" s="39">
        <f>K42</f>
        <v>0</v>
      </c>
      <c r="D227" s="39"/>
      <c r="E227" s="39">
        <f>SUM(E$159:E$160)/SUM($C$159:$C$160)*$C227</f>
        <v>0</v>
      </c>
      <c r="F227" s="39"/>
      <c r="G227" s="39">
        <f>SUM(G$159:G$160)/SUM($C$159:$C$160)*$C227</f>
        <v>0</v>
      </c>
      <c r="H227" s="39"/>
      <c r="I227" s="39">
        <f>SUM(I$159:I$160)/SUM($C$159:$C$160)*$C227</f>
        <v>0</v>
      </c>
      <c r="J227" s="39"/>
      <c r="K227" s="39">
        <f>SUM(K$159:K$160)/SUM($C$159:$C$160)*$C227</f>
        <v>0</v>
      </c>
      <c r="L227" s="39"/>
      <c r="M227" s="39">
        <f>SUM(M$159:M$160)/SUM($C$159:$C$160)*$C227</f>
        <v>0</v>
      </c>
      <c r="N227" s="39"/>
      <c r="O227" s="39">
        <f>SUM(O$159:O$160)/SUM($C$159:$C$160)*$C227</f>
        <v>0</v>
      </c>
      <c r="P227" s="39"/>
      <c r="Q227" s="39">
        <f>SUM(Q$159:Q$160)/SUM($C$159:$C$160)*$C227</f>
        <v>0</v>
      </c>
      <c r="R227" s="39"/>
      <c r="S227" s="39">
        <f>SUM(S$159:S$160)/SUM($C$159:$C$160)*$C227</f>
        <v>0</v>
      </c>
      <c r="T227" s="39"/>
      <c r="U227" s="39">
        <f>SUM(U$159:U$160)/SUM($C$159:$C$160)*$C227</f>
        <v>0</v>
      </c>
      <c r="V227" s="39"/>
      <c r="W227" s="39">
        <f>SUM(W$159:W$160)/SUM($C$159:$C$160)*$C227</f>
        <v>0</v>
      </c>
      <c r="X227" s="39"/>
      <c r="Y227" s="39">
        <f>SUM(Y$159:Y$160)/SUM($C$159:$C$160)*$C227</f>
        <v>0</v>
      </c>
      <c r="Z227" s="39"/>
      <c r="AA227" s="39">
        <f>SUM(AA$159:AA$160)/SUM($C$159:$C$160)*$C227</f>
        <v>0</v>
      </c>
      <c r="AB227" s="39"/>
      <c r="AC227" s="39">
        <f>SUM(AC$159:AC$160)/SUM($C$159:$C$160)*$C227</f>
        <v>0</v>
      </c>
      <c r="AD227" s="39"/>
      <c r="AE227" s="39">
        <f>SUM(AE$159:AE$160)/SUM($C$159:$C$160)*$C227</f>
        <v>0</v>
      </c>
      <c r="AF227" s="39"/>
      <c r="AG227" s="39">
        <f>SUM(AG$159:AG$160)/SUM($C$159:$C$160)*$C227</f>
        <v>0</v>
      </c>
      <c r="AH227" s="39"/>
      <c r="AI227" s="39">
        <f>SUM(AI$159:AI$160)/SUM($C$159:$C$160)*$C227</f>
        <v>0</v>
      </c>
      <c r="AJ227" s="39"/>
      <c r="AK227" s="136"/>
      <c r="AL227" s="39"/>
      <c r="AM227" s="8"/>
      <c r="AN227" s="12"/>
      <c r="AO227" s="12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1:50" ht="15">
      <c r="A228" s="15">
        <f t="shared" si="7"/>
        <v>14</v>
      </c>
      <c r="B228" s="129" t="s">
        <v>60</v>
      </c>
      <c r="C228" s="39">
        <f>K44</f>
        <v>0</v>
      </c>
      <c r="D228" s="39"/>
      <c r="E228" s="39">
        <f>SUM(E$159:E$160)/SUM($C$159:$C$160)*$C228</f>
        <v>0</v>
      </c>
      <c r="F228" s="39"/>
      <c r="G228" s="39">
        <f>SUM(G$159:G$160)/SUM($C$159:$C$160)*$C228</f>
        <v>0</v>
      </c>
      <c r="H228" s="39"/>
      <c r="I228" s="39">
        <f>SUM(I$159:I$160)/SUM($C$159:$C$160)*$C228</f>
        <v>0</v>
      </c>
      <c r="J228" s="39"/>
      <c r="K228" s="39">
        <f>SUM(K$159:K$160)/SUM($C$159:$C$160)*$C228</f>
        <v>0</v>
      </c>
      <c r="L228" s="39"/>
      <c r="M228" s="39">
        <f>SUM(M$159:M$160)/SUM($C$159:$C$160)*$C228</f>
        <v>0</v>
      </c>
      <c r="N228" s="39"/>
      <c r="O228" s="39">
        <f>SUM(O$159:O$160)/SUM($C$159:$C$160)*$C228</f>
        <v>0</v>
      </c>
      <c r="P228" s="39"/>
      <c r="Q228" s="39">
        <f>SUM(Q$159:Q$160)/SUM($C$159:$C$160)*$C228</f>
        <v>0</v>
      </c>
      <c r="R228" s="39"/>
      <c r="S228" s="39">
        <f>SUM(S$159:S$160)/SUM($C$159:$C$160)*$C228</f>
        <v>0</v>
      </c>
      <c r="T228" s="39"/>
      <c r="U228" s="39">
        <f>SUM(U$159:U$160)/SUM($C$159:$C$160)*$C228</f>
        <v>0</v>
      </c>
      <c r="V228" s="39"/>
      <c r="W228" s="39">
        <f>SUM(W$159:W$160)/SUM($C$159:$C$160)*$C228</f>
        <v>0</v>
      </c>
      <c r="X228" s="39"/>
      <c r="Y228" s="39">
        <f>SUM(Y$159:Y$160)/SUM($C$159:$C$160)*$C228</f>
        <v>0</v>
      </c>
      <c r="Z228" s="39"/>
      <c r="AA228" s="39">
        <f>SUM(AA$159:AA$160)/SUM($C$159:$C$160)*$C228</f>
        <v>0</v>
      </c>
      <c r="AB228" s="39"/>
      <c r="AC228" s="39">
        <f>SUM(AC$159:AC$160)/SUM($C$159:$C$160)*$C228</f>
        <v>0</v>
      </c>
      <c r="AD228" s="39"/>
      <c r="AE228" s="39">
        <f>SUM(AE$159:AE$160)/SUM($C$159:$C$160)*$C228</f>
        <v>0</v>
      </c>
      <c r="AF228" s="39"/>
      <c r="AG228" s="39">
        <f>SUM(AG$159:AG$160)/SUM($C$159:$C$160)*$C228</f>
        <v>0</v>
      </c>
      <c r="AH228" s="39"/>
      <c r="AI228" s="39">
        <f>SUM(AI$159:AI$160)/SUM($C$159:$C$160)*$C228</f>
        <v>0</v>
      </c>
      <c r="AJ228" s="39"/>
      <c r="AK228" s="136"/>
      <c r="AL228" s="39"/>
      <c r="AM228" s="8"/>
      <c r="AN228" s="12"/>
      <c r="AO228" s="12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1:50" ht="15">
      <c r="A229" s="15">
        <f t="shared" si="7"/>
        <v>15</v>
      </c>
      <c r="B229" s="129" t="s">
        <v>61</v>
      </c>
      <c r="C229" s="39">
        <f>K46</f>
        <v>4730986.094167171</v>
      </c>
      <c r="D229" s="39"/>
      <c r="E229" s="39">
        <f>SUM(E$161:E$164)/SUM($C$161:$C$164)*$C229</f>
        <v>889734.5832779007</v>
      </c>
      <c r="F229" s="39"/>
      <c r="G229" s="39">
        <f>SUM(G$161:G$164)/SUM($C$161:$C$164)*$C229</f>
        <v>0</v>
      </c>
      <c r="H229" s="39"/>
      <c r="I229" s="39">
        <f>SUM(I$161:I$164)/SUM($C$161:$C$164)*$C229</f>
        <v>7946.019208112246</v>
      </c>
      <c r="J229" s="39"/>
      <c r="K229" s="39">
        <f>SUM(K$161:K$164)/SUM($C$161:$C$164)*$C229</f>
        <v>0</v>
      </c>
      <c r="L229" s="39"/>
      <c r="M229" s="39">
        <f>SUM(M$161:M$164)/SUM($C$161:$C$164)*$C229</f>
        <v>81448.09089973138</v>
      </c>
      <c r="N229" s="39"/>
      <c r="O229" s="39">
        <f>SUM(O$161:O$164)/SUM($C$161:$C$164)*$C229</f>
        <v>684084.6572763594</v>
      </c>
      <c r="P229" s="39"/>
      <c r="Q229" s="39">
        <f>SUM(Q$161:Q$164)/SUM($C$161:$C$164)*$C229</f>
        <v>1209726.3172395953</v>
      </c>
      <c r="R229" s="39"/>
      <c r="S229" s="39">
        <f>SUM(S$161:S$164)/SUM($C$161:$C$164)*$C229</f>
        <v>686672.9452132492</v>
      </c>
      <c r="T229" s="39"/>
      <c r="U229" s="39">
        <f>SUM(U$161:U$164)/SUM($C$161:$C$164)*$C229</f>
        <v>378579.01152084785</v>
      </c>
      <c r="V229" s="39"/>
      <c r="W229" s="39">
        <f>SUM(W$161:W$164)/SUM($C$161:$C$164)*$C229</f>
        <v>333185.08428471594</v>
      </c>
      <c r="X229" s="39"/>
      <c r="Y229" s="39">
        <f>SUM(Y$161:Y$164)/SUM($C$161:$C$164)*$C229</f>
        <v>151117.02728284575</v>
      </c>
      <c r="Z229" s="39"/>
      <c r="AA229" s="39">
        <f>SUM(AA$161:AA$164)/SUM($C$161:$C$164)*$C229</f>
        <v>121872.86890796114</v>
      </c>
      <c r="AB229" s="39"/>
      <c r="AC229" s="39">
        <f>SUM(AC$161:AC$164)/SUM($C$161:$C$164)*$C229</f>
        <v>2320.182570760273</v>
      </c>
      <c r="AD229" s="39"/>
      <c r="AE229" s="39">
        <f>SUM(AE$161:AE$164)/SUM($C$161:$C$164)*$C229</f>
        <v>3631.8946216947547</v>
      </c>
      <c r="AF229" s="39"/>
      <c r="AG229" s="39">
        <f>SUM(AG$161:AG$164)/SUM($C$161:$C$164)*$C229</f>
        <v>11699.94867974176</v>
      </c>
      <c r="AH229" s="39"/>
      <c r="AI229" s="39">
        <f>SUM(AI$161:AI$164)/SUM($C$161:$C$164)*$C229</f>
        <v>168967.46318365526</v>
      </c>
      <c r="AJ229" s="39"/>
      <c r="AK229" s="136"/>
      <c r="AL229" s="20"/>
      <c r="AM229" s="8"/>
      <c r="AN229" s="28"/>
      <c r="AO229" s="12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1:50" ht="15">
      <c r="A230" s="15">
        <f t="shared" si="7"/>
        <v>16</v>
      </c>
      <c r="B230" s="129" t="s">
        <v>62</v>
      </c>
      <c r="C230" s="39">
        <f>K47</f>
        <v>2272843.61551217</v>
      </c>
      <c r="D230" s="39"/>
      <c r="E230" s="39">
        <f>SUM(E$161:E$164)/SUM($C$161:$C$164)*$C230</f>
        <v>427443.1433220149</v>
      </c>
      <c r="F230" s="39"/>
      <c r="G230" s="39">
        <f>SUM(G$161:G$164)/SUM($C$161:$C$164)*$C230</f>
        <v>0</v>
      </c>
      <c r="H230" s="39"/>
      <c r="I230" s="39">
        <f>SUM(I$161:I$164)/SUM($C$161:$C$164)*$C230</f>
        <v>3817.398459099514</v>
      </c>
      <c r="J230" s="39"/>
      <c r="K230" s="39">
        <f>SUM(K$161:K$164)/SUM($C$161:$C$164)*$C230</f>
        <v>0</v>
      </c>
      <c r="L230" s="39"/>
      <c r="M230" s="39">
        <f>SUM(M$161:M$164)/SUM($C$161:$C$164)*$C230</f>
        <v>39129.003914288005</v>
      </c>
      <c r="N230" s="39"/>
      <c r="O230" s="39">
        <f>SUM(O$161:O$164)/SUM($C$161:$C$164)*$C230</f>
        <v>328645.53283666115</v>
      </c>
      <c r="P230" s="39"/>
      <c r="Q230" s="39">
        <f>SUM(Q$161:Q$164)/SUM($C$161:$C$164)*$C230</f>
        <v>581172.4409938435</v>
      </c>
      <c r="R230" s="39"/>
      <c r="S230" s="39">
        <f>SUM(S$161:S$164)/SUM($C$161:$C$164)*$C230</f>
        <v>329888.9889778069</v>
      </c>
      <c r="T230" s="39"/>
      <c r="U230" s="39">
        <f>SUM(U$161:U$164)/SUM($C$161:$C$164)*$C230</f>
        <v>181875.59045310164</v>
      </c>
      <c r="V230" s="39"/>
      <c r="W230" s="39">
        <f>SUM(W$161:W$164)/SUM($C$161:$C$164)*$C230</f>
        <v>160067.60039604592</v>
      </c>
      <c r="X230" s="39"/>
      <c r="Y230" s="39">
        <f>SUM(Y$161:Y$164)/SUM($C$161:$C$164)*$C230</f>
        <v>72599.10805454545</v>
      </c>
      <c r="Z230" s="39"/>
      <c r="AA230" s="39">
        <f>SUM(AA$161:AA$164)/SUM($C$161:$C$164)*$C230</f>
        <v>58549.73286501976</v>
      </c>
      <c r="AB230" s="39"/>
      <c r="AC230" s="39">
        <f>SUM(AC$161:AC$164)/SUM($C$161:$C$164)*$C230</f>
        <v>1114.6539088915702</v>
      </c>
      <c r="AD230" s="39"/>
      <c r="AE230" s="39">
        <f>SUM(AE$161:AE$164)/SUM($C$161:$C$164)*$C230</f>
        <v>1744.8219755516</v>
      </c>
      <c r="AF230" s="39"/>
      <c r="AG230" s="39">
        <f>SUM(AG$161:AG$164)/SUM($C$161:$C$164)*$C230</f>
        <v>5620.84798586843</v>
      </c>
      <c r="AH230" s="39"/>
      <c r="AI230" s="39">
        <f>SUM(AI$161:AI$164)/SUM($C$161:$C$164)*$C230</f>
        <v>81174.75136943161</v>
      </c>
      <c r="AJ230" s="39"/>
      <c r="AK230" s="136"/>
      <c r="AL230" s="20"/>
      <c r="AM230" s="8"/>
      <c r="AN230" s="28"/>
      <c r="AO230" s="12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1:50" ht="15">
      <c r="A231" s="15">
        <f t="shared" si="7"/>
        <v>17</v>
      </c>
      <c r="B231" s="129" t="s">
        <v>58</v>
      </c>
      <c r="C231" s="153">
        <f>K15-SUM(C227:C230)</f>
        <v>13027036.931780597</v>
      </c>
      <c r="D231" s="136"/>
      <c r="E231" s="153">
        <f>+E$89*$C231</f>
        <v>2020427.1269897001</v>
      </c>
      <c r="F231" s="136"/>
      <c r="G231" s="153">
        <f>+G$89*$C231</f>
        <v>0</v>
      </c>
      <c r="H231" s="136"/>
      <c r="I231" s="153">
        <f>+I$89*$C231</f>
        <v>18043.979700670756</v>
      </c>
      <c r="J231" s="39"/>
      <c r="K231" s="153">
        <f>+K$89*$C231</f>
        <v>0</v>
      </c>
      <c r="L231" s="136"/>
      <c r="M231" s="153">
        <f>+M$89*$C231</f>
        <v>184953.95749267106</v>
      </c>
      <c r="N231" s="39"/>
      <c r="O231" s="153">
        <f>+O$89*$C231</f>
        <v>1553433.1526449255</v>
      </c>
      <c r="P231" s="136"/>
      <c r="Q231" s="153">
        <f>+Q$89*$C231</f>
        <v>2747070.770902937</v>
      </c>
      <c r="R231" s="39"/>
      <c r="S231" s="153">
        <f>+S$89*$C231</f>
        <v>1559310.6887758542</v>
      </c>
      <c r="T231" s="39"/>
      <c r="U231" s="153">
        <f>+U$89*$C231</f>
        <v>859684.8082129232</v>
      </c>
      <c r="V231" s="136"/>
      <c r="W231" s="153">
        <f>+W$89*$C231</f>
        <v>1318059.9802246979</v>
      </c>
      <c r="X231" s="39"/>
      <c r="Y231" s="153">
        <f>+Y$89*$C231</f>
        <v>587874.5746879603</v>
      </c>
      <c r="Z231" s="39"/>
      <c r="AA231" s="153">
        <f>+AA$89*$C231</f>
        <v>1083256.9236736721</v>
      </c>
      <c r="AB231" s="39"/>
      <c r="AC231" s="153">
        <f>+AC$89*$C231</f>
        <v>0.010250882848716373</v>
      </c>
      <c r="AD231" s="39"/>
      <c r="AE231" s="153">
        <f>+AE$89*$C231</f>
        <v>8247.379110527534</v>
      </c>
      <c r="AF231" s="39"/>
      <c r="AG231" s="153">
        <f>+AG$89*$C231</f>
        <v>26568.47799469449</v>
      </c>
      <c r="AH231" s="39"/>
      <c r="AI231" s="153">
        <f>+AI$89*$C231</f>
        <v>1060105.1011184806</v>
      </c>
      <c r="AJ231" s="153"/>
      <c r="AK231" s="136"/>
      <c r="AL231" s="20"/>
      <c r="AM231" s="8"/>
      <c r="AN231" s="12"/>
      <c r="AO231" s="8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1:50" ht="15">
      <c r="A232" s="15">
        <f t="shared" si="7"/>
        <v>18</v>
      </c>
      <c r="B232" s="129" t="s">
        <v>46</v>
      </c>
      <c r="C232" s="39">
        <f>SUM(C227:C231)</f>
        <v>20030866.64145994</v>
      </c>
      <c r="D232" s="39"/>
      <c r="E232" s="39">
        <f>SUM(E227:E231)</f>
        <v>3337604.853589616</v>
      </c>
      <c r="F232" s="39"/>
      <c r="G232" s="39">
        <f>SUM(G227:G231)</f>
        <v>0</v>
      </c>
      <c r="H232" s="39"/>
      <c r="I232" s="39">
        <f>SUM(I227:I231)</f>
        <v>29807.397367882517</v>
      </c>
      <c r="J232" s="39"/>
      <c r="K232" s="39">
        <f>SUM(K227:K231)</f>
        <v>0</v>
      </c>
      <c r="L232" s="39"/>
      <c r="M232" s="39">
        <f>SUM(M227:M231)</f>
        <v>305531.0523066905</v>
      </c>
      <c r="N232" s="39"/>
      <c r="O232" s="39">
        <f>SUM(O227:O231)</f>
        <v>2566163.342757946</v>
      </c>
      <c r="P232" s="39"/>
      <c r="Q232" s="39">
        <f>SUM(Q227:Q231)</f>
        <v>4537969.5291363755</v>
      </c>
      <c r="R232" s="39"/>
      <c r="S232" s="39">
        <f>SUM(S227:S231)</f>
        <v>2575872.6229669102</v>
      </c>
      <c r="T232" s="39"/>
      <c r="U232" s="39">
        <f>SUM(U227:U231)</f>
        <v>1420139.4101868728</v>
      </c>
      <c r="V232" s="39"/>
      <c r="W232" s="39">
        <f>SUM(W227:W231)</f>
        <v>1811312.6649054596</v>
      </c>
      <c r="X232" s="39"/>
      <c r="Y232" s="39">
        <f>SUM(Y227:Y231)</f>
        <v>811590.7100253515</v>
      </c>
      <c r="Z232" s="39"/>
      <c r="AA232" s="39">
        <f>SUM(AA227:AA231)</f>
        <v>1263679.525446653</v>
      </c>
      <c r="AB232" s="39"/>
      <c r="AC232" s="39">
        <f>SUM(AC227:AC231)</f>
        <v>3434.8467305346917</v>
      </c>
      <c r="AD232" s="39"/>
      <c r="AE232" s="39">
        <f>SUM(AE227:AE231)</f>
        <v>13624.09570777389</v>
      </c>
      <c r="AF232" s="39"/>
      <c r="AG232" s="39">
        <f>SUM(AG227:AG231)</f>
        <v>43889.27466030468</v>
      </c>
      <c r="AH232" s="39"/>
      <c r="AI232" s="39">
        <f>SUM(AI227:AI231)</f>
        <v>1310247.3156715673</v>
      </c>
      <c r="AJ232" s="39"/>
      <c r="AK232" s="136"/>
      <c r="AL232" s="14"/>
      <c r="AM232" s="8"/>
      <c r="AN232" s="8"/>
      <c r="AO232" s="27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1:50" s="167" customFormat="1" ht="11.25">
      <c r="A233" s="161"/>
      <c r="B233" s="162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68"/>
      <c r="AJ233" s="168"/>
      <c r="AK233" s="169"/>
      <c r="AL233" s="170"/>
      <c r="AM233" s="165"/>
      <c r="AN233" s="165"/>
      <c r="AO233" s="171"/>
      <c r="AP233" s="165"/>
      <c r="AQ233" s="165"/>
      <c r="AR233" s="165"/>
      <c r="AS233" s="165"/>
      <c r="AT233" s="165"/>
      <c r="AU233" s="165"/>
      <c r="AV233" s="165"/>
      <c r="AW233" s="165"/>
      <c r="AX233" s="165"/>
    </row>
    <row r="234" spans="1:50" ht="15">
      <c r="A234" s="15">
        <f>+A232+1</f>
        <v>19</v>
      </c>
      <c r="B234" s="135" t="s">
        <v>50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61"/>
      <c r="AL234" s="13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1:50" ht="15">
      <c r="A235" s="15">
        <f t="shared" si="7"/>
        <v>20</v>
      </c>
      <c r="B235" s="129" t="s">
        <v>51</v>
      </c>
      <c r="C235" s="25">
        <v>0</v>
      </c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13"/>
      <c r="AA235" s="25"/>
      <c r="AB235" s="13"/>
      <c r="AC235" s="25"/>
      <c r="AD235" s="13"/>
      <c r="AE235" s="25"/>
      <c r="AF235" s="13"/>
      <c r="AG235" s="25"/>
      <c r="AH235" s="13"/>
      <c r="AI235" s="25"/>
      <c r="AJ235" s="25"/>
      <c r="AK235" s="141"/>
      <c r="AL235" s="14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1:50" ht="15" hidden="1">
      <c r="A236" s="15"/>
      <c r="B236" s="129" t="s">
        <v>51</v>
      </c>
      <c r="C236" s="25">
        <v>0</v>
      </c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13"/>
      <c r="AA236" s="25"/>
      <c r="AB236" s="13"/>
      <c r="AC236" s="25"/>
      <c r="AD236" s="13"/>
      <c r="AE236" s="25"/>
      <c r="AF236" s="13"/>
      <c r="AG236" s="25"/>
      <c r="AH236" s="13"/>
      <c r="AI236" s="25"/>
      <c r="AJ236" s="25"/>
      <c r="AK236" s="141"/>
      <c r="AL236" s="14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1:50" ht="15" hidden="1">
      <c r="A237" s="15"/>
      <c r="B237" s="129" t="s">
        <v>51</v>
      </c>
      <c r="C237" s="25">
        <v>0</v>
      </c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13"/>
      <c r="AA237" s="25"/>
      <c r="AB237" s="13"/>
      <c r="AC237" s="25"/>
      <c r="AD237" s="13"/>
      <c r="AE237" s="25"/>
      <c r="AF237" s="13"/>
      <c r="AG237" s="25"/>
      <c r="AH237" s="13"/>
      <c r="AI237" s="25"/>
      <c r="AJ237" s="25"/>
      <c r="AK237" s="141"/>
      <c r="AL237" s="14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1:50" ht="15">
      <c r="A238" s="15">
        <f>+A235+1</f>
        <v>21</v>
      </c>
      <c r="B238" s="129" t="s">
        <v>45</v>
      </c>
      <c r="C238" s="154">
        <f>M15-SUM(C235:C237)</f>
        <v>0</v>
      </c>
      <c r="D238" s="25"/>
      <c r="E238" s="154">
        <f>$C238*E$120</f>
        <v>0</v>
      </c>
      <c r="F238" s="141"/>
      <c r="G238" s="154">
        <f>$C238*G$120</f>
        <v>0</v>
      </c>
      <c r="H238" s="141"/>
      <c r="I238" s="154">
        <f>$C238*I$120</f>
        <v>0</v>
      </c>
      <c r="J238" s="25"/>
      <c r="K238" s="154">
        <f>$C238*K$120</f>
        <v>0</v>
      </c>
      <c r="L238" s="141"/>
      <c r="M238" s="154">
        <f>$C238*M$120</f>
        <v>0</v>
      </c>
      <c r="N238" s="25"/>
      <c r="O238" s="154">
        <f>$C238*O$120</f>
        <v>0</v>
      </c>
      <c r="P238" s="141"/>
      <c r="Q238" s="154">
        <f>$C238*Q$120</f>
        <v>0</v>
      </c>
      <c r="R238" s="25"/>
      <c r="S238" s="154">
        <f>$C238*S$120</f>
        <v>0</v>
      </c>
      <c r="T238" s="25"/>
      <c r="U238" s="154">
        <f>$C238*U$120</f>
        <v>0</v>
      </c>
      <c r="V238" s="141"/>
      <c r="W238" s="154">
        <f>$C238*W$120</f>
        <v>0</v>
      </c>
      <c r="X238" s="25"/>
      <c r="Y238" s="154">
        <f>$C238*Y$120</f>
        <v>0</v>
      </c>
      <c r="Z238" s="25"/>
      <c r="AA238" s="154">
        <f>$C238*AA$120</f>
        <v>0</v>
      </c>
      <c r="AB238" s="25"/>
      <c r="AC238" s="154">
        <f>$C238*AC$120</f>
        <v>0</v>
      </c>
      <c r="AD238" s="25"/>
      <c r="AE238" s="154">
        <f>$C238*AE$120</f>
        <v>0</v>
      </c>
      <c r="AF238" s="25"/>
      <c r="AG238" s="154">
        <f>$C238*AG$120</f>
        <v>0</v>
      </c>
      <c r="AH238" s="25"/>
      <c r="AI238" s="154">
        <f>$C238*AI$120</f>
        <v>0</v>
      </c>
      <c r="AJ238" s="154"/>
      <c r="AK238" s="155"/>
      <c r="AL238" s="14"/>
      <c r="AM238" s="8"/>
      <c r="AN238" s="29"/>
      <c r="AO238" s="8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1:50" ht="15">
      <c r="A239" s="15">
        <f t="shared" si="7"/>
        <v>22</v>
      </c>
      <c r="B239" s="129" t="s">
        <v>46</v>
      </c>
      <c r="C239" s="25">
        <f>SUM(C235:C238)</f>
        <v>0</v>
      </c>
      <c r="D239" s="25"/>
      <c r="E239" s="25">
        <f>SUM(E235:E238)</f>
        <v>0</v>
      </c>
      <c r="F239" s="25"/>
      <c r="G239" s="25">
        <f>SUM(G235:G238)</f>
        <v>0</v>
      </c>
      <c r="H239" s="25"/>
      <c r="I239" s="25">
        <f>SUM(I235:I238)</f>
        <v>0</v>
      </c>
      <c r="J239" s="25"/>
      <c r="K239" s="25">
        <f>SUM(K235:K238)</f>
        <v>0</v>
      </c>
      <c r="L239" s="25"/>
      <c r="M239" s="25">
        <f>SUM(M235:M238)</f>
        <v>0</v>
      </c>
      <c r="N239" s="25"/>
      <c r="O239" s="25">
        <f>SUM(O235:O238)</f>
        <v>0</v>
      </c>
      <c r="P239" s="25"/>
      <c r="Q239" s="25">
        <f>SUM(Q235:Q238)</f>
        <v>0</v>
      </c>
      <c r="R239" s="25"/>
      <c r="S239" s="25">
        <f>SUM(S235:S238)</f>
        <v>0</v>
      </c>
      <c r="T239" s="25"/>
      <c r="U239" s="25">
        <f>SUM(U235:U238)</f>
        <v>0</v>
      </c>
      <c r="V239" s="25"/>
      <c r="W239" s="25">
        <f>SUM(W235:W238)</f>
        <v>0</v>
      </c>
      <c r="X239" s="25"/>
      <c r="Y239" s="25">
        <f>SUM(Y235:Y238)</f>
        <v>0</v>
      </c>
      <c r="Z239" s="25"/>
      <c r="AA239" s="25">
        <f>SUM(AA235:AA238)</f>
        <v>0</v>
      </c>
      <c r="AB239" s="25"/>
      <c r="AC239" s="25">
        <f>SUM(AC235:AC238)</f>
        <v>0</v>
      </c>
      <c r="AD239" s="25"/>
      <c r="AE239" s="25">
        <f>SUM(AE235:AE238)</f>
        <v>0</v>
      </c>
      <c r="AF239" s="25"/>
      <c r="AG239" s="25">
        <f>SUM(AG235:AG238)</f>
        <v>0</v>
      </c>
      <c r="AH239" s="25"/>
      <c r="AI239" s="25">
        <f>SUM(AI235:AI238)</f>
        <v>0</v>
      </c>
      <c r="AJ239" s="25"/>
      <c r="AK239" s="155"/>
      <c r="AL239" s="14"/>
      <c r="AM239" s="8"/>
      <c r="AN239" s="27"/>
      <c r="AO239" s="27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1:50" s="167" customFormat="1" ht="11.25">
      <c r="A240" s="161"/>
      <c r="B240" s="16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  <c r="AA240" s="172"/>
      <c r="AB240" s="172"/>
      <c r="AC240" s="172"/>
      <c r="AD240" s="172"/>
      <c r="AE240" s="172"/>
      <c r="AF240" s="172"/>
      <c r="AG240" s="172"/>
      <c r="AH240" s="172"/>
      <c r="AI240" s="172"/>
      <c r="AJ240" s="172"/>
      <c r="AK240" s="173"/>
      <c r="AL240" s="170"/>
      <c r="AM240" s="165"/>
      <c r="AN240" s="171"/>
      <c r="AO240" s="171"/>
      <c r="AP240" s="165"/>
      <c r="AQ240" s="165"/>
      <c r="AR240" s="165"/>
      <c r="AS240" s="165"/>
      <c r="AT240" s="165"/>
      <c r="AU240" s="165"/>
      <c r="AV240" s="165"/>
      <c r="AW240" s="165"/>
      <c r="AX240" s="165"/>
    </row>
    <row r="241" spans="1:50" ht="15">
      <c r="A241" s="15">
        <f>+A239+1</f>
        <v>23</v>
      </c>
      <c r="B241" s="135" t="s">
        <v>63</v>
      </c>
      <c r="C241" s="179">
        <f>C224+C232+C239</f>
        <v>72124723.48714304</v>
      </c>
      <c r="D241" s="179"/>
      <c r="E241" s="179">
        <f>E224+E232+E239</f>
        <v>37882076.41283459</v>
      </c>
      <c r="F241" s="179"/>
      <c r="G241" s="179">
        <f>G224+G232+G239</f>
        <v>75456.72699943396</v>
      </c>
      <c r="H241" s="179"/>
      <c r="I241" s="179">
        <f>I224+I232+I239</f>
        <v>44354.38027136806</v>
      </c>
      <c r="J241" s="179"/>
      <c r="K241" s="179">
        <f>K224+K232+K239</f>
        <v>183251.07098574136</v>
      </c>
      <c r="L241" s="179"/>
      <c r="M241" s="179">
        <f>M224+M232+M239</f>
        <v>2816918.7647691043</v>
      </c>
      <c r="N241" s="179"/>
      <c r="O241" s="179">
        <f>O224+O232+O239</f>
        <v>8306640.686145502</v>
      </c>
      <c r="P241" s="179"/>
      <c r="Q241" s="179">
        <f>Q224+Q232+Q239</f>
        <v>9684787.75341634</v>
      </c>
      <c r="R241" s="179"/>
      <c r="S241" s="179">
        <f>S224+S232+S239</f>
        <v>4478221.054043801</v>
      </c>
      <c r="T241" s="179"/>
      <c r="U241" s="179">
        <f>U224+U232+U239</f>
        <v>2111680.9812417245</v>
      </c>
      <c r="V241" s="179"/>
      <c r="W241" s="179">
        <f>W224+W232+W239</f>
        <v>2094054.3743228004</v>
      </c>
      <c r="X241" s="179"/>
      <c r="Y241" s="179">
        <f>Y224+Y232+Y239</f>
        <v>972328.8976076217</v>
      </c>
      <c r="Z241" s="179"/>
      <c r="AA241" s="179">
        <f>AA224+AA232+AA239</f>
        <v>1512945.1004776761</v>
      </c>
      <c r="AB241" s="179"/>
      <c r="AC241" s="179">
        <f>AC224+AC232+AC239</f>
        <v>221276.02183517566</v>
      </c>
      <c r="AD241" s="179"/>
      <c r="AE241" s="179">
        <f>AE224+AE232+AE239</f>
        <v>33943.30152511272</v>
      </c>
      <c r="AF241" s="179"/>
      <c r="AG241" s="179">
        <f>AG224+AG232+AG239</f>
        <v>61449.87877428347</v>
      </c>
      <c r="AH241" s="179"/>
      <c r="AI241" s="179">
        <f>AI224+AI232+AI239</f>
        <v>1645338.0818927654</v>
      </c>
      <c r="AJ241" s="25"/>
      <c r="AK241" s="155"/>
      <c r="AL241" s="14"/>
      <c r="AM241" s="8"/>
      <c r="AN241" s="27"/>
      <c r="AO241" s="27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1:50" s="167" customFormat="1" ht="11.25">
      <c r="A242" s="161"/>
      <c r="B242" s="165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74"/>
      <c r="AL242" s="163"/>
      <c r="AM242" s="165"/>
      <c r="AN242" s="165"/>
      <c r="AO242" s="165"/>
      <c r="AP242" s="165"/>
      <c r="AQ242" s="165"/>
      <c r="AR242" s="165"/>
      <c r="AS242" s="165"/>
      <c r="AT242" s="165"/>
      <c r="AU242" s="165"/>
      <c r="AV242" s="165"/>
      <c r="AW242" s="165"/>
      <c r="AX242" s="165"/>
    </row>
    <row r="243" spans="1:50" ht="15">
      <c r="A243" s="15">
        <f>+A241+1</f>
        <v>24</v>
      </c>
      <c r="B243" s="159" t="s">
        <v>64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25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73"/>
      <c r="AL243" s="13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1:50" ht="15">
      <c r="A244" s="15">
        <f t="shared" si="7"/>
        <v>25</v>
      </c>
      <c r="B244" s="129" t="s">
        <v>41</v>
      </c>
      <c r="C244" s="25">
        <f>I16</f>
        <v>14949490.736604176</v>
      </c>
      <c r="D244" s="25"/>
      <c r="E244" s="25">
        <f>$C244*(E156/$C$156)</f>
        <v>10310684.833676724</v>
      </c>
      <c r="F244" s="25"/>
      <c r="G244" s="25">
        <f>$C244*(G156/$C$156)</f>
        <v>24103.996994725727</v>
      </c>
      <c r="H244" s="25"/>
      <c r="I244" s="25">
        <f>$C244*(I156/$C$156)</f>
        <v>1412.068503150608</v>
      </c>
      <c r="J244" s="25"/>
      <c r="K244" s="25">
        <f>$C244*(K156/$C$156)</f>
        <v>58881.191689306</v>
      </c>
      <c r="L244" s="25"/>
      <c r="M244" s="25">
        <f>$C244*(M156/$C$156)</f>
        <v>775126.5294427758</v>
      </c>
      <c r="N244" s="25"/>
      <c r="O244" s="25">
        <f>$C244*(O156/$C$156)</f>
        <v>1590667.5461887973</v>
      </c>
      <c r="P244" s="25"/>
      <c r="Q244" s="25">
        <f>$C244*(Q156/$C$156)</f>
        <v>1171815.1577931794</v>
      </c>
      <c r="R244" s="25"/>
      <c r="S244" s="25">
        <f>$C244*(S156/$C$156)</f>
        <v>325939.1545442744</v>
      </c>
      <c r="T244" s="25"/>
      <c r="U244" s="25">
        <f>$C244*(U156/$C$156)</f>
        <v>58394.08894356225</v>
      </c>
      <c r="V244" s="25"/>
      <c r="W244" s="25">
        <f>$C244*(W156/$C$156)</f>
        <v>131624.8697360771</v>
      </c>
      <c r="X244" s="25"/>
      <c r="Y244" s="25">
        <f>$C244*(Y156/$C$156)</f>
        <v>64637.52159690856</v>
      </c>
      <c r="Z244" s="25"/>
      <c r="AA244" s="25">
        <f>$C244*(AA156/$C$156)</f>
        <v>79780.29843527998</v>
      </c>
      <c r="AB244" s="25"/>
      <c r="AC244" s="25">
        <f>$C244*(AC156/$C$156)</f>
        <v>87690.52541580997</v>
      </c>
      <c r="AD244" s="25"/>
      <c r="AE244" s="25">
        <f>$C244*(AE156/$C$156)</f>
        <v>6310.495490036111</v>
      </c>
      <c r="AF244" s="25"/>
      <c r="AG244" s="25">
        <f>$C244*(AG156/$C$156)</f>
        <v>4627.696692693146</v>
      </c>
      <c r="AH244" s="25"/>
      <c r="AI244" s="25">
        <f>$C244*(AI156/$C$156)</f>
        <v>257794.76146087627</v>
      </c>
      <c r="AJ244" s="25"/>
      <c r="AK244" s="155"/>
      <c r="AL244" s="20"/>
      <c r="AM244" s="8"/>
      <c r="AN244" s="29"/>
      <c r="AO244" s="12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1:50" ht="15">
      <c r="A245" s="15">
        <f t="shared" si="7"/>
        <v>26</v>
      </c>
      <c r="B245" s="129" t="s">
        <v>47</v>
      </c>
      <c r="C245" s="154">
        <f>K16</f>
        <v>26903999.671113048</v>
      </c>
      <c r="D245" s="25"/>
      <c r="E245" s="154">
        <f>$C245*(E167/$C$167)</f>
        <v>4827279.498601054</v>
      </c>
      <c r="F245" s="141"/>
      <c r="G245" s="154">
        <f>$C245*(G167/$C$167)</f>
        <v>0</v>
      </c>
      <c r="H245" s="141"/>
      <c r="I245" s="154">
        <f>$C245*(I167/$C$167)</f>
        <v>43111.34616965851</v>
      </c>
      <c r="J245" s="25"/>
      <c r="K245" s="154">
        <f>$C245*(K167/$C$167)</f>
        <v>0</v>
      </c>
      <c r="L245" s="141"/>
      <c r="M245" s="154">
        <f>$C245*(M167/$C$167)</f>
        <v>441898.8615143719</v>
      </c>
      <c r="N245" s="25"/>
      <c r="O245" s="154">
        <f>$C245*(O167/$C$167)</f>
        <v>3711520.158305754</v>
      </c>
      <c r="P245" s="141"/>
      <c r="Q245" s="154">
        <f>$C245*(Q167/$C$167)</f>
        <v>6563403.46872285</v>
      </c>
      <c r="R245" s="25"/>
      <c r="S245" s="154">
        <f>$C245*(S167/$C$167)</f>
        <v>3725562.98582876</v>
      </c>
      <c r="T245" s="25"/>
      <c r="U245" s="154">
        <f>$C245*(U167/$C$167)</f>
        <v>2053990.8589171204</v>
      </c>
      <c r="V245" s="141"/>
      <c r="W245" s="154">
        <f>$C245*(W167/$C$167)</f>
        <v>1923173.5533278624</v>
      </c>
      <c r="X245" s="25"/>
      <c r="Y245" s="154">
        <f>$C245*(Y167/$C$167)</f>
        <v>870217.4779377192</v>
      </c>
      <c r="Z245" s="25"/>
      <c r="AA245" s="154">
        <f>$C245*(AA167/$C$167)</f>
        <v>926073.0914395519</v>
      </c>
      <c r="AB245" s="25"/>
      <c r="AC245" s="154">
        <f>$C245*(AC167/$C$167)</f>
        <v>304361.9474191398</v>
      </c>
      <c r="AD245" s="25"/>
      <c r="AE245" s="154">
        <f>$C245*(AE167/$C$167)</f>
        <v>19704.944348454657</v>
      </c>
      <c r="AF245" s="25"/>
      <c r="AG245" s="154">
        <f>$C245*(AG167/$C$167)</f>
        <v>63478.39395915801</v>
      </c>
      <c r="AH245" s="25"/>
      <c r="AI245" s="154">
        <f>$C245*(AI167/$C$167)</f>
        <v>1430223.08462159</v>
      </c>
      <c r="AJ245" s="154"/>
      <c r="AK245" s="155"/>
      <c r="AL245" s="20"/>
      <c r="AM245" s="8"/>
      <c r="AN245" s="12"/>
      <c r="AO245" s="12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1:50" ht="15">
      <c r="A246" s="15">
        <f t="shared" si="7"/>
        <v>27</v>
      </c>
      <c r="B246" s="129" t="s">
        <v>65</v>
      </c>
      <c r="C246" s="25">
        <f>SUM(C244:C245)</f>
        <v>41853490.40771723</v>
      </c>
      <c r="D246" s="25"/>
      <c r="E246" s="25">
        <f>SUM(E244:E245)</f>
        <v>15137964.332277779</v>
      </c>
      <c r="F246" s="25"/>
      <c r="G246" s="25">
        <f>SUM(G244:G245)</f>
        <v>24103.996994725727</v>
      </c>
      <c r="H246" s="25"/>
      <c r="I246" s="25">
        <f>SUM(I244:I245)</f>
        <v>44523.414672809115</v>
      </c>
      <c r="J246" s="25"/>
      <c r="K246" s="25">
        <f>SUM(K244:K245)</f>
        <v>58881.191689306</v>
      </c>
      <c r="L246" s="25"/>
      <c r="M246" s="25">
        <f>SUM(M244:M245)</f>
        <v>1217025.3909571476</v>
      </c>
      <c r="N246" s="25"/>
      <c r="O246" s="25">
        <f>SUM(O244:O245)</f>
        <v>5302187.704494551</v>
      </c>
      <c r="P246" s="25"/>
      <c r="Q246" s="25">
        <f>SUM(Q244:Q245)</f>
        <v>7735218.626516029</v>
      </c>
      <c r="R246" s="25"/>
      <c r="S246" s="25">
        <f>SUM(S244:S245)</f>
        <v>4051502.1403730344</v>
      </c>
      <c r="T246" s="25"/>
      <c r="U246" s="25">
        <f>SUM(U244:U245)</f>
        <v>2112384.947860683</v>
      </c>
      <c r="V246" s="25"/>
      <c r="W246" s="25">
        <f>SUM(W244:W245)</f>
        <v>2054798.4230639394</v>
      </c>
      <c r="X246" s="25"/>
      <c r="Y246" s="25">
        <f>SUM(Y244:Y245)</f>
        <v>934854.9995346278</v>
      </c>
      <c r="Z246" s="25"/>
      <c r="AA246" s="25">
        <f>SUM(AA244:AA245)</f>
        <v>1005853.3898748319</v>
      </c>
      <c r="AB246" s="25"/>
      <c r="AC246" s="25">
        <f>SUM(AC244:AC245)</f>
        <v>392052.47283494973</v>
      </c>
      <c r="AD246" s="25"/>
      <c r="AE246" s="25">
        <f>SUM(AE244:AE245)</f>
        <v>26015.43983849077</v>
      </c>
      <c r="AF246" s="25"/>
      <c r="AG246" s="25">
        <f>SUM(AG244:AG245)</f>
        <v>68106.09065185116</v>
      </c>
      <c r="AH246" s="25"/>
      <c r="AI246" s="25">
        <f>SUM(AI244:AI245)</f>
        <v>1688017.8460824664</v>
      </c>
      <c r="AJ246" s="25"/>
      <c r="AK246" s="155"/>
      <c r="AL246" s="14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1:50" s="167" customFormat="1" ht="11.25">
      <c r="A247" s="161"/>
      <c r="B247" s="16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173"/>
      <c r="AL247" s="170"/>
      <c r="AM247" s="165"/>
      <c r="AN247" s="165"/>
      <c r="AO247" s="165"/>
      <c r="AP247" s="165"/>
      <c r="AQ247" s="165"/>
      <c r="AR247" s="165"/>
      <c r="AS247" s="165"/>
      <c r="AT247" s="165"/>
      <c r="AU247" s="165"/>
      <c r="AV247" s="165"/>
      <c r="AW247" s="165"/>
      <c r="AX247" s="165"/>
    </row>
    <row r="248" spans="1:50" ht="15">
      <c r="A248" s="15">
        <f>+A246+1</f>
        <v>28</v>
      </c>
      <c r="B248" s="159" t="s">
        <v>135</v>
      </c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73"/>
      <c r="AL248" s="13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1:50" ht="15">
      <c r="A249" s="15">
        <f t="shared" si="7"/>
        <v>29</v>
      </c>
      <c r="B249" s="129" t="s">
        <v>47</v>
      </c>
      <c r="C249" s="25">
        <f>K17</f>
        <v>1040978.72</v>
      </c>
      <c r="D249" s="25"/>
      <c r="E249" s="25">
        <f>$C249*E$89</f>
        <v>161450.50140880633</v>
      </c>
      <c r="F249" s="25"/>
      <c r="G249" s="25">
        <f>$C249*G$89</f>
        <v>0</v>
      </c>
      <c r="H249" s="25"/>
      <c r="I249" s="25">
        <f>$C249*I$89</f>
        <v>1441.8780718036103</v>
      </c>
      <c r="J249" s="25"/>
      <c r="K249" s="25">
        <f>$C249*K$89</f>
        <v>0</v>
      </c>
      <c r="L249" s="25"/>
      <c r="M249" s="25">
        <f>$C249*M$89</f>
        <v>14779.503193082512</v>
      </c>
      <c r="N249" s="25"/>
      <c r="O249" s="25">
        <f>$C249*O$89</f>
        <v>124133.43596968275</v>
      </c>
      <c r="P249" s="25"/>
      <c r="Q249" s="25">
        <f>$C249*Q$89</f>
        <v>219515.9367259952</v>
      </c>
      <c r="R249" s="25"/>
      <c r="S249" s="25">
        <f>$C249*S$89</f>
        <v>124603.10455743362</v>
      </c>
      <c r="T249" s="25"/>
      <c r="U249" s="25">
        <f>$C249*U$89</f>
        <v>68696.63423412228</v>
      </c>
      <c r="V249" s="25"/>
      <c r="W249" s="25">
        <f>$C249*W$89</f>
        <v>105324.97898660596</v>
      </c>
      <c r="X249" s="25"/>
      <c r="Y249" s="25">
        <f>$C249*Y$89</f>
        <v>46976.52470657202</v>
      </c>
      <c r="Z249" s="25"/>
      <c r="AA249" s="25">
        <f>$C249*AA$89</f>
        <v>86562.07944616802</v>
      </c>
      <c r="AB249" s="25"/>
      <c r="AC249" s="25">
        <f>$C249*AC$89</f>
        <v>0.0008191387621458263</v>
      </c>
      <c r="AD249" s="25"/>
      <c r="AE249" s="25">
        <f>$C249*AE$89</f>
        <v>659.0405934051654</v>
      </c>
      <c r="AF249" s="25"/>
      <c r="AG249" s="25">
        <f>$C249*AG$89</f>
        <v>2123.0630081191393</v>
      </c>
      <c r="AH249" s="25"/>
      <c r="AI249" s="25">
        <f>$C249*AI$89</f>
        <v>84712.03827906463</v>
      </c>
      <c r="AJ249" s="25"/>
      <c r="AK249" s="155"/>
      <c r="AL249" s="20"/>
      <c r="AM249" s="8"/>
      <c r="AN249" s="12"/>
      <c r="AO249" s="12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1:50" s="167" customFormat="1" ht="11.25">
      <c r="A250" s="161"/>
      <c r="B250" s="162"/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  <c r="AB250" s="172"/>
      <c r="AC250" s="172"/>
      <c r="AD250" s="172"/>
      <c r="AE250" s="172"/>
      <c r="AF250" s="172"/>
      <c r="AG250" s="172"/>
      <c r="AH250" s="172"/>
      <c r="AI250" s="172"/>
      <c r="AJ250" s="172"/>
      <c r="AK250" s="173"/>
      <c r="AL250" s="175"/>
      <c r="AM250" s="165"/>
      <c r="AN250" s="176"/>
      <c r="AO250" s="176"/>
      <c r="AP250" s="165"/>
      <c r="AQ250" s="165"/>
      <c r="AR250" s="165"/>
      <c r="AS250" s="165"/>
      <c r="AT250" s="165"/>
      <c r="AU250" s="165"/>
      <c r="AV250" s="165"/>
      <c r="AW250" s="165"/>
      <c r="AX250" s="165"/>
    </row>
    <row r="251" spans="1:50" ht="15">
      <c r="A251" s="15">
        <f>+A249+1</f>
        <v>30</v>
      </c>
      <c r="B251" s="159" t="s">
        <v>132</v>
      </c>
      <c r="C251" s="25"/>
      <c r="D251" s="25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73"/>
      <c r="AL251" s="13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1:50" ht="15">
      <c r="A252" s="15">
        <f t="shared" si="7"/>
        <v>31</v>
      </c>
      <c r="B252" s="129" t="s">
        <v>47</v>
      </c>
      <c r="C252" s="25">
        <f>K18</f>
        <v>640000</v>
      </c>
      <c r="D252" s="25"/>
      <c r="E252" s="25">
        <f>$C252*E$89</f>
        <v>99260.74271877148</v>
      </c>
      <c r="F252" s="25"/>
      <c r="G252" s="25">
        <f>$C252*G$89</f>
        <v>0</v>
      </c>
      <c r="H252" s="25"/>
      <c r="I252" s="25">
        <f>$C252*I$89</f>
        <v>886.4753411619314</v>
      </c>
      <c r="J252" s="25"/>
      <c r="K252" s="25">
        <f>$C252*K$89</f>
        <v>0</v>
      </c>
      <c r="L252" s="25"/>
      <c r="M252" s="25">
        <f>$C252*M$89</f>
        <v>9086.527766458865</v>
      </c>
      <c r="N252" s="25"/>
      <c r="O252" s="25">
        <f>$C252*O$89</f>
        <v>76317.98565545793</v>
      </c>
      <c r="P252" s="25"/>
      <c r="Q252" s="25">
        <f>$C252*Q$89</f>
        <v>134959.7228122367</v>
      </c>
      <c r="R252" s="25"/>
      <c r="S252" s="25">
        <f>$C252*S$89</f>
        <v>76606.74073794468</v>
      </c>
      <c r="T252" s="25"/>
      <c r="U252" s="25">
        <f>$C252*U$89</f>
        <v>42235.10535339115</v>
      </c>
      <c r="V252" s="25"/>
      <c r="W252" s="25">
        <f>$C252*W$89</f>
        <v>64754.43278170741</v>
      </c>
      <c r="X252" s="25"/>
      <c r="Y252" s="25">
        <f>$C252*Y$89</f>
        <v>28881.45092169232</v>
      </c>
      <c r="Z252" s="25"/>
      <c r="AA252" s="25">
        <f>$C252*AA$89</f>
        <v>53218.888898658304</v>
      </c>
      <c r="AB252" s="25"/>
      <c r="AC252" s="25">
        <f>$C252*AC$89</f>
        <v>0.0005036114549712686</v>
      </c>
      <c r="AD252" s="25"/>
      <c r="AE252" s="25">
        <f>$C252*AE$89</f>
        <v>405.1821345390287</v>
      </c>
      <c r="AF252" s="25"/>
      <c r="AG252" s="25">
        <f>$C252*AG$89</f>
        <v>1305.2719513769207</v>
      </c>
      <c r="AH252" s="25"/>
      <c r="AI252" s="25">
        <f>$C252*AI$89</f>
        <v>52081.47242299186</v>
      </c>
      <c r="AJ252" s="25"/>
      <c r="AK252" s="155"/>
      <c r="AL252" s="14"/>
      <c r="AM252" s="8"/>
      <c r="AN252" s="12"/>
      <c r="AO252" s="12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1:50" ht="15" hidden="1">
      <c r="A253" s="15"/>
      <c r="B253" s="159" t="s">
        <v>66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73"/>
      <c r="AL253" s="13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1:50" ht="15" hidden="1">
      <c r="A254" s="15"/>
      <c r="B254" s="129" t="s">
        <v>47</v>
      </c>
      <c r="C254" s="25">
        <f>K19</f>
        <v>0</v>
      </c>
      <c r="D254" s="25"/>
      <c r="E254" s="25">
        <f>$C254*E$89</f>
        <v>0</v>
      </c>
      <c r="F254" s="25"/>
      <c r="G254" s="25">
        <f>$C254*G$89</f>
        <v>0</v>
      </c>
      <c r="H254" s="25"/>
      <c r="I254" s="25">
        <f>$C254*I$89</f>
        <v>0</v>
      </c>
      <c r="J254" s="25"/>
      <c r="K254" s="25">
        <f>$C254*K$89</f>
        <v>0</v>
      </c>
      <c r="L254" s="25"/>
      <c r="M254" s="25">
        <f>$C254*M$89</f>
        <v>0</v>
      </c>
      <c r="N254" s="25"/>
      <c r="O254" s="25">
        <f>$C254*O$89</f>
        <v>0</v>
      </c>
      <c r="P254" s="25"/>
      <c r="Q254" s="25">
        <f>$C254*Q$89</f>
        <v>0</v>
      </c>
      <c r="R254" s="25"/>
      <c r="S254" s="25">
        <f>$C254*S$89</f>
        <v>0</v>
      </c>
      <c r="T254" s="25"/>
      <c r="U254" s="25">
        <f>$C254*U$89</f>
        <v>0</v>
      </c>
      <c r="V254" s="25"/>
      <c r="W254" s="25">
        <f>$C254*W$89</f>
        <v>0</v>
      </c>
      <c r="X254" s="25"/>
      <c r="Y254" s="25">
        <f>$C254*Y$89</f>
        <v>0</v>
      </c>
      <c r="Z254" s="25"/>
      <c r="AA254" s="25">
        <f>$C254*AA$89</f>
        <v>0</v>
      </c>
      <c r="AB254" s="25"/>
      <c r="AC254" s="25">
        <f>$C254*AC$89</f>
        <v>0</v>
      </c>
      <c r="AD254" s="25"/>
      <c r="AE254" s="25">
        <f>$C254*AE$89</f>
        <v>0</v>
      </c>
      <c r="AF254" s="25"/>
      <c r="AG254" s="25">
        <f>$C254*AG$89</f>
        <v>0</v>
      </c>
      <c r="AH254" s="25"/>
      <c r="AI254" s="25">
        <f>$C254*AI$89</f>
        <v>0</v>
      </c>
      <c r="AJ254" s="25"/>
      <c r="AK254" s="155"/>
      <c r="AL254" s="14"/>
      <c r="AM254" s="8"/>
      <c r="AN254" s="8"/>
      <c r="AO254" s="12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1:50" s="167" customFormat="1" ht="11.25">
      <c r="A255" s="161"/>
      <c r="B255" s="162"/>
      <c r="C255" s="172"/>
      <c r="D255" s="172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2"/>
      <c r="AG255" s="172"/>
      <c r="AH255" s="172"/>
      <c r="AI255" s="172"/>
      <c r="AJ255" s="172"/>
      <c r="AK255" s="173"/>
      <c r="AL255" s="170"/>
      <c r="AM255" s="165"/>
      <c r="AN255" s="165"/>
      <c r="AO255" s="176"/>
      <c r="AP255" s="165"/>
      <c r="AQ255" s="165"/>
      <c r="AR255" s="165"/>
      <c r="AS255" s="165"/>
      <c r="AT255" s="165"/>
      <c r="AU255" s="165"/>
      <c r="AV255" s="165"/>
      <c r="AW255" s="165"/>
      <c r="AX255" s="165"/>
    </row>
    <row r="256" spans="1:50" ht="15">
      <c r="A256" s="15">
        <f>+A252+1</f>
        <v>32</v>
      </c>
      <c r="B256" s="159" t="s">
        <v>67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73"/>
      <c r="AL256" s="13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1:50" ht="15">
      <c r="A257" s="15">
        <f t="shared" si="7"/>
        <v>33</v>
      </c>
      <c r="B257" s="129" t="s">
        <v>41</v>
      </c>
      <c r="C257" s="25">
        <f>I20</f>
        <v>0</v>
      </c>
      <c r="D257" s="25"/>
      <c r="E257" s="25">
        <f>$C257*E$77</f>
        <v>0</v>
      </c>
      <c r="F257" s="25"/>
      <c r="G257" s="25">
        <f>$C257*G$77</f>
        <v>0</v>
      </c>
      <c r="H257" s="25"/>
      <c r="I257" s="25">
        <f>$C257*I$77</f>
        <v>0</v>
      </c>
      <c r="J257" s="25"/>
      <c r="K257" s="25">
        <f>$C257*K$77</f>
        <v>0</v>
      </c>
      <c r="L257" s="25"/>
      <c r="M257" s="25">
        <f>$C257*M$77</f>
        <v>0</v>
      </c>
      <c r="N257" s="25"/>
      <c r="O257" s="25">
        <f>$C257*O$77</f>
        <v>0</v>
      </c>
      <c r="P257" s="25"/>
      <c r="Q257" s="25">
        <f>$C257*Q$77</f>
        <v>0</v>
      </c>
      <c r="R257" s="25"/>
      <c r="S257" s="25">
        <f>$C257*S$77</f>
        <v>0</v>
      </c>
      <c r="T257" s="25"/>
      <c r="U257" s="25">
        <f>$C257*U$77</f>
        <v>0</v>
      </c>
      <c r="V257" s="25"/>
      <c r="W257" s="25">
        <f>$C257*W$77</f>
        <v>0</v>
      </c>
      <c r="X257" s="25"/>
      <c r="Y257" s="25">
        <f>$C257*Y$77</f>
        <v>0</v>
      </c>
      <c r="Z257" s="25"/>
      <c r="AA257" s="25">
        <f>$C257*AA$77</f>
        <v>0</v>
      </c>
      <c r="AB257" s="25"/>
      <c r="AC257" s="25">
        <f>$C257*AC$77</f>
        <v>0</v>
      </c>
      <c r="AD257" s="25"/>
      <c r="AE257" s="25">
        <f>$C257*AE$77</f>
        <v>0</v>
      </c>
      <c r="AF257" s="25"/>
      <c r="AG257" s="25">
        <f>$C257*AG$77</f>
        <v>0</v>
      </c>
      <c r="AH257" s="25"/>
      <c r="AI257" s="25">
        <f>$C257*AI$77</f>
        <v>0</v>
      </c>
      <c r="AJ257" s="25"/>
      <c r="AK257" s="155"/>
      <c r="AL257" s="14"/>
      <c r="AM257" s="8"/>
      <c r="AN257" s="8"/>
      <c r="AO257" s="12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1:50" ht="15">
      <c r="A258" s="15">
        <f t="shared" si="7"/>
        <v>34</v>
      </c>
      <c r="B258" s="129" t="s">
        <v>47</v>
      </c>
      <c r="C258" s="154">
        <f>K20</f>
        <v>156624</v>
      </c>
      <c r="D258" s="25"/>
      <c r="E258" s="154">
        <f>$C258*E$89</f>
        <v>24291.585261851353</v>
      </c>
      <c r="F258" s="141"/>
      <c r="G258" s="154">
        <f>$C258*G$89</f>
        <v>0</v>
      </c>
      <c r="H258" s="141"/>
      <c r="I258" s="154">
        <f>$C258*I$89</f>
        <v>216.94267786585365</v>
      </c>
      <c r="J258" s="25"/>
      <c r="K258" s="154">
        <f>$C258*K$89</f>
        <v>0</v>
      </c>
      <c r="L258" s="141"/>
      <c r="M258" s="154">
        <f>$C258*M$89</f>
        <v>2223.7005076466453</v>
      </c>
      <c r="N258" s="25"/>
      <c r="O258" s="154">
        <f>$C258*O$89</f>
        <v>18676.919039531942</v>
      </c>
      <c r="P258" s="141"/>
      <c r="Q258" s="154">
        <f>$C258*Q$89</f>
        <v>33028.018165224625</v>
      </c>
      <c r="R258" s="25"/>
      <c r="S258" s="154">
        <f>$C258*S$89</f>
        <v>18747.584627093514</v>
      </c>
      <c r="T258" s="25"/>
      <c r="U258" s="154">
        <f>$C258*U$89</f>
        <v>10335.986157608648</v>
      </c>
      <c r="V258" s="141"/>
      <c r="W258" s="154">
        <f>$C258*W$89</f>
        <v>15847.028562503347</v>
      </c>
      <c r="X258" s="25"/>
      <c r="Y258" s="154">
        <f>$C258*Y$89</f>
        <v>7068.013076811153</v>
      </c>
      <c r="Z258" s="25"/>
      <c r="AA258" s="154">
        <f>$C258*AA$89</f>
        <v>13023.992585724152</v>
      </c>
      <c r="AB258" s="25"/>
      <c r="AC258" s="154">
        <f>$C258*AC$89</f>
        <v>0.00012324631331784373</v>
      </c>
      <c r="AD258" s="25"/>
      <c r="AE258" s="154">
        <f>$C258*AE$89</f>
        <v>99.1581978750638</v>
      </c>
      <c r="AF258" s="25"/>
      <c r="AG258" s="154">
        <f>$C258*AG$89</f>
        <v>319.43267830071693</v>
      </c>
      <c r="AH258" s="25"/>
      <c r="AI258" s="154">
        <f>$C258*AI$89</f>
        <v>12745.638338716682</v>
      </c>
      <c r="AJ258" s="154"/>
      <c r="AK258" s="155"/>
      <c r="AL258" s="14"/>
      <c r="AM258" s="8"/>
      <c r="AN258" s="12"/>
      <c r="AO258" s="12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1:50" ht="15">
      <c r="A259" s="15">
        <f t="shared" si="7"/>
        <v>35</v>
      </c>
      <c r="B259" s="129" t="s">
        <v>65</v>
      </c>
      <c r="C259" s="25">
        <f>SUM(C257:C258)</f>
        <v>156624</v>
      </c>
      <c r="D259" s="25"/>
      <c r="E259" s="25">
        <f>SUM(E257:E258)</f>
        <v>24291.585261851353</v>
      </c>
      <c r="F259" s="25"/>
      <c r="G259" s="25">
        <f>SUM(G257:G258)</f>
        <v>0</v>
      </c>
      <c r="H259" s="25"/>
      <c r="I259" s="25">
        <f>SUM(I257:I258)</f>
        <v>216.94267786585365</v>
      </c>
      <c r="J259" s="25"/>
      <c r="K259" s="25">
        <f>SUM(K257:K258)</f>
        <v>0</v>
      </c>
      <c r="L259" s="25"/>
      <c r="M259" s="25">
        <f>SUM(M257:M258)</f>
        <v>2223.7005076466453</v>
      </c>
      <c r="N259" s="25"/>
      <c r="O259" s="25">
        <f>SUM(O257:O258)</f>
        <v>18676.919039531942</v>
      </c>
      <c r="P259" s="25"/>
      <c r="Q259" s="25">
        <f>SUM(Q257:Q258)</f>
        <v>33028.018165224625</v>
      </c>
      <c r="R259" s="25"/>
      <c r="S259" s="25">
        <f>SUM(S257:S258)</f>
        <v>18747.584627093514</v>
      </c>
      <c r="T259" s="25"/>
      <c r="U259" s="25">
        <f>SUM(U257:U258)</f>
        <v>10335.986157608648</v>
      </c>
      <c r="V259" s="25"/>
      <c r="W259" s="25">
        <f>SUM(W257:W258)</f>
        <v>15847.028562503347</v>
      </c>
      <c r="X259" s="25"/>
      <c r="Y259" s="25">
        <f>SUM(Y257:Y258)</f>
        <v>7068.013076811153</v>
      </c>
      <c r="Z259" s="25"/>
      <c r="AA259" s="25">
        <f>SUM(AA257:AA258)</f>
        <v>13023.992585724152</v>
      </c>
      <c r="AB259" s="25"/>
      <c r="AC259" s="25">
        <f>SUM(AC257:AC258)</f>
        <v>0.00012324631331784373</v>
      </c>
      <c r="AD259" s="25"/>
      <c r="AE259" s="25">
        <f>SUM(AE257:AE258)</f>
        <v>99.1581978750638</v>
      </c>
      <c r="AF259" s="25"/>
      <c r="AG259" s="25">
        <f>SUM(AG257:AG258)</f>
        <v>319.43267830071693</v>
      </c>
      <c r="AH259" s="25"/>
      <c r="AI259" s="25">
        <f>SUM(AI257:AI258)</f>
        <v>12745.638338716682</v>
      </c>
      <c r="AJ259" s="25"/>
      <c r="AK259" s="155"/>
      <c r="AL259" s="14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1:50" s="167" customFormat="1" ht="11.25">
      <c r="A260" s="161"/>
      <c r="B260" s="162"/>
      <c r="C260" s="172"/>
      <c r="D260" s="172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2"/>
      <c r="AK260" s="173"/>
      <c r="AL260" s="170"/>
      <c r="AM260" s="165"/>
      <c r="AN260" s="165"/>
      <c r="AO260" s="165"/>
      <c r="AP260" s="165"/>
      <c r="AQ260" s="165"/>
      <c r="AR260" s="165"/>
      <c r="AS260" s="165"/>
      <c r="AT260" s="165"/>
      <c r="AU260" s="165"/>
      <c r="AV260" s="165"/>
      <c r="AW260" s="165"/>
      <c r="AX260" s="165"/>
    </row>
    <row r="261" spans="1:50" ht="15">
      <c r="A261" s="15">
        <f>+A259+1</f>
        <v>36</v>
      </c>
      <c r="B261" s="159" t="s">
        <v>68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73"/>
      <c r="AL261" s="13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1:50" ht="15">
      <c r="A262" s="15">
        <f t="shared" si="7"/>
        <v>37</v>
      </c>
      <c r="B262" s="129" t="s">
        <v>50</v>
      </c>
      <c r="C262" s="25">
        <f>M21</f>
        <v>0</v>
      </c>
      <c r="D262" s="25"/>
      <c r="E262" s="25">
        <f>$C262*E$120</f>
        <v>0</v>
      </c>
      <c r="F262" s="25"/>
      <c r="G262" s="25">
        <f>$C262*G$120</f>
        <v>0</v>
      </c>
      <c r="H262" s="25"/>
      <c r="I262" s="25">
        <f>$C262*I$120</f>
        <v>0</v>
      </c>
      <c r="J262" s="25"/>
      <c r="K262" s="25">
        <f>$C262*K$120</f>
        <v>0</v>
      </c>
      <c r="L262" s="25"/>
      <c r="M262" s="25">
        <f>$C262*M$120</f>
        <v>0</v>
      </c>
      <c r="N262" s="25"/>
      <c r="O262" s="25">
        <f>$C262*O$120</f>
        <v>0</v>
      </c>
      <c r="P262" s="25"/>
      <c r="Q262" s="25">
        <f>$C262*Q$120</f>
        <v>0</v>
      </c>
      <c r="R262" s="25"/>
      <c r="S262" s="25">
        <f>$C262*S$120</f>
        <v>0</v>
      </c>
      <c r="T262" s="25"/>
      <c r="U262" s="25">
        <f>$C262*U$120</f>
        <v>0</v>
      </c>
      <c r="V262" s="25"/>
      <c r="W262" s="25">
        <f>$C262*W$120</f>
        <v>0</v>
      </c>
      <c r="X262" s="25"/>
      <c r="Y262" s="25">
        <f>$C262*Y$120</f>
        <v>0</v>
      </c>
      <c r="Z262" s="25"/>
      <c r="AA262" s="25">
        <f>$C262*AA$120</f>
        <v>0</v>
      </c>
      <c r="AB262" s="25"/>
      <c r="AC262" s="25">
        <f>$C262*AC$120</f>
        <v>0</v>
      </c>
      <c r="AD262" s="25"/>
      <c r="AE262" s="25">
        <f>$C262*AE$120</f>
        <v>0</v>
      </c>
      <c r="AF262" s="25"/>
      <c r="AG262" s="25">
        <f>$C262*AG$120</f>
        <v>0</v>
      </c>
      <c r="AH262" s="25"/>
      <c r="AI262" s="25">
        <f>$C262*AI$120</f>
        <v>0</v>
      </c>
      <c r="AJ262" s="25"/>
      <c r="AK262" s="155"/>
      <c r="AL262" s="14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1:50" ht="15">
      <c r="A263" s="15"/>
      <c r="B263" s="129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155"/>
      <c r="AL263" s="14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1:50" ht="15">
      <c r="A264" s="15"/>
      <c r="B264" s="129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155"/>
      <c r="AL264" s="14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1:50" ht="15">
      <c r="A265" s="8"/>
      <c r="B265" s="52"/>
      <c r="C265" s="6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63"/>
      <c r="AJ265" s="63"/>
      <c r="AK265" s="74"/>
      <c r="AL265" s="51"/>
      <c r="AM265" s="8"/>
      <c r="AN265" s="57"/>
      <c r="AO265" s="58"/>
      <c r="AP265" s="11"/>
      <c r="AQ265" s="8"/>
      <c r="AR265" s="8"/>
      <c r="AS265" s="8"/>
      <c r="AT265" s="8"/>
      <c r="AU265" s="8"/>
      <c r="AV265" s="8"/>
      <c r="AW265" s="8"/>
      <c r="AX265" s="8"/>
    </row>
    <row r="266" spans="1:50" ht="15">
      <c r="A266" s="8"/>
      <c r="B266" s="11" t="s">
        <v>222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X266" s="13"/>
      <c r="Y266" s="13"/>
      <c r="Z266" s="13"/>
      <c r="AA266" s="13"/>
      <c r="AB266" s="13"/>
      <c r="AC266" s="13"/>
      <c r="AD266" s="13"/>
      <c r="AE266" s="54" t="s">
        <v>69</v>
      </c>
      <c r="AF266" s="13"/>
      <c r="AG266" s="54"/>
      <c r="AH266" s="13"/>
      <c r="AI266" s="8"/>
      <c r="AJ266" s="8"/>
      <c r="AK266" s="5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</row>
    <row r="267" spans="1:50" ht="15">
      <c r="A267" s="8"/>
      <c r="B267" s="8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8"/>
      <c r="AJ267" s="8"/>
      <c r="AK267" s="5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</row>
    <row r="268" spans="1:50" ht="15">
      <c r="A268" s="8"/>
      <c r="B268" s="8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8"/>
      <c r="AJ268" s="8"/>
      <c r="AK268" s="5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</row>
    <row r="269" spans="1:50" ht="25.5" customHeight="1" thickBot="1">
      <c r="A269" s="105"/>
      <c r="B269" s="106" t="s">
        <v>225</v>
      </c>
      <c r="C269" s="105"/>
      <c r="D269" s="105"/>
      <c r="E269" s="105"/>
      <c r="F269" s="105"/>
      <c r="G269" s="105"/>
      <c r="H269" s="105"/>
      <c r="I269" s="107" t="s">
        <v>121</v>
      </c>
      <c r="J269" s="105"/>
      <c r="K269" s="105"/>
      <c r="L269" s="105"/>
      <c r="M269" s="105"/>
      <c r="N269" s="105"/>
      <c r="O269" s="106"/>
      <c r="P269" s="106"/>
      <c r="Q269" s="106" t="s">
        <v>204</v>
      </c>
      <c r="R269" s="122"/>
      <c r="S269" s="113"/>
      <c r="T269" s="122"/>
      <c r="U269" s="122"/>
      <c r="V269" s="122"/>
      <c r="W269" s="122"/>
      <c r="X269" s="122"/>
      <c r="Y269" s="107" t="s">
        <v>123</v>
      </c>
      <c r="Z269" s="122"/>
      <c r="AA269" s="122"/>
      <c r="AB269" s="122"/>
      <c r="AC269" s="122"/>
      <c r="AD269" s="122"/>
      <c r="AE269" s="106"/>
      <c r="AF269" s="106"/>
      <c r="AG269" s="106" t="s">
        <v>205</v>
      </c>
      <c r="AH269" s="122"/>
      <c r="AI269" s="122"/>
      <c r="AJ269" s="48"/>
      <c r="AK269" s="5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</row>
    <row r="270" spans="1:50" ht="15">
      <c r="A270" s="102"/>
      <c r="B270" s="103" t="s">
        <v>0</v>
      </c>
      <c r="C270" s="102"/>
      <c r="D270" s="102"/>
      <c r="E270" s="102"/>
      <c r="F270" s="102"/>
      <c r="G270" s="102"/>
      <c r="H270" s="102"/>
      <c r="I270" s="55" t="s">
        <v>122</v>
      </c>
      <c r="J270" s="102"/>
      <c r="K270" s="123"/>
      <c r="L270" s="123"/>
      <c r="M270" s="123"/>
      <c r="N270" s="102"/>
      <c r="O270" s="13"/>
      <c r="P270" s="102"/>
      <c r="Q270" s="13" t="s">
        <v>1</v>
      </c>
      <c r="R270" s="123"/>
      <c r="S270" s="114"/>
      <c r="T270" s="13"/>
      <c r="U270" s="13"/>
      <c r="V270" s="13"/>
      <c r="X270" s="13"/>
      <c r="Y270" s="55" t="s">
        <v>122</v>
      </c>
      <c r="Z270" s="13"/>
      <c r="AA270" s="13"/>
      <c r="AB270" s="13"/>
      <c r="AC270" s="13"/>
      <c r="AD270" s="13"/>
      <c r="AE270" s="13"/>
      <c r="AF270" s="102"/>
      <c r="AG270" s="13" t="s">
        <v>1</v>
      </c>
      <c r="AH270" s="13"/>
      <c r="AI270" s="8"/>
      <c r="AJ270" s="8"/>
      <c r="AK270" s="58"/>
      <c r="AL270" s="8"/>
      <c r="AM270" s="8"/>
      <c r="AN270" s="11"/>
      <c r="AO270" s="8"/>
      <c r="AP270" s="8"/>
      <c r="AQ270" s="8"/>
      <c r="AR270" s="8"/>
      <c r="AS270" s="8"/>
      <c r="AT270" s="8"/>
      <c r="AU270" s="8"/>
      <c r="AV270" s="8"/>
      <c r="AW270" s="8"/>
      <c r="AX270" s="8"/>
    </row>
    <row r="271" spans="1:50" ht="15">
      <c r="A271" s="8"/>
      <c r="B271" s="50" t="s">
        <v>93</v>
      </c>
      <c r="C271" s="8"/>
      <c r="D271" s="8"/>
      <c r="E271" s="8"/>
      <c r="F271" s="8"/>
      <c r="G271" s="8"/>
      <c r="H271" s="8"/>
      <c r="I271" s="55" t="s">
        <v>89</v>
      </c>
      <c r="J271" s="8"/>
      <c r="N271" s="8"/>
      <c r="O271" s="54"/>
      <c r="P271" s="11"/>
      <c r="Q271" s="54" t="s">
        <v>226</v>
      </c>
      <c r="S271" s="115"/>
      <c r="T271" s="13"/>
      <c r="U271" s="13"/>
      <c r="V271" s="13"/>
      <c r="X271" s="13"/>
      <c r="Y271" s="55" t="s">
        <v>89</v>
      </c>
      <c r="Z271" s="13"/>
      <c r="AA271" s="13"/>
      <c r="AB271" s="13"/>
      <c r="AC271" s="13"/>
      <c r="AD271" s="13"/>
      <c r="AE271" s="54"/>
      <c r="AF271" s="11"/>
      <c r="AG271" s="54" t="s">
        <v>226</v>
      </c>
      <c r="AH271" s="13"/>
      <c r="AI271" s="8"/>
      <c r="AJ271" s="8"/>
      <c r="AK271" s="5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</row>
    <row r="272" spans="1:50" ht="15">
      <c r="A272" s="8"/>
      <c r="B272" s="50" t="str">
        <f>+$B$4</f>
        <v>DOCKET NO.:  080318-GU   </v>
      </c>
      <c r="C272" s="8"/>
      <c r="D272" s="8"/>
      <c r="E272" s="8"/>
      <c r="F272" s="8"/>
      <c r="G272" s="8"/>
      <c r="H272" s="8"/>
      <c r="I272" s="112"/>
      <c r="J272" s="8"/>
      <c r="N272" s="8"/>
      <c r="O272" s="54"/>
      <c r="P272" s="50"/>
      <c r="Q272" s="54" t="s">
        <v>137</v>
      </c>
      <c r="S272" s="112"/>
      <c r="T272" s="13"/>
      <c r="U272" s="13"/>
      <c r="V272" s="13"/>
      <c r="X272" s="13"/>
      <c r="Y272" s="112"/>
      <c r="Z272" s="13"/>
      <c r="AA272" s="13"/>
      <c r="AB272" s="13"/>
      <c r="AC272" s="13"/>
      <c r="AD272" s="13"/>
      <c r="AE272" s="54"/>
      <c r="AF272" s="50"/>
      <c r="AG272" s="54" t="s">
        <v>137</v>
      </c>
      <c r="AH272" s="13"/>
      <c r="AI272" s="8"/>
      <c r="AJ272" s="8"/>
      <c r="AK272" s="5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</row>
    <row r="273" spans="1:50" ht="15.75" customHeight="1" thickBot="1">
      <c r="A273" s="58"/>
      <c r="B273" s="58"/>
      <c r="C273" s="58"/>
      <c r="D273" s="58"/>
      <c r="E273" s="58"/>
      <c r="F273" s="58"/>
      <c r="G273" s="58"/>
      <c r="H273" s="58"/>
      <c r="I273" s="125"/>
      <c r="J273" s="58"/>
      <c r="K273" s="58"/>
      <c r="L273" s="58"/>
      <c r="M273" s="58"/>
      <c r="N273" s="58"/>
      <c r="O273" s="125"/>
      <c r="P273" s="109"/>
      <c r="Q273" s="109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51"/>
      <c r="AK273" s="5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</row>
    <row r="274" spans="1:50" ht="25.5" customHeight="1">
      <c r="A274" s="102"/>
      <c r="B274" s="102"/>
      <c r="C274" s="102"/>
      <c r="D274" s="102"/>
      <c r="E274" s="102"/>
      <c r="F274" s="102"/>
      <c r="G274" s="102"/>
      <c r="H274" s="102"/>
      <c r="I274" s="110" t="s">
        <v>209</v>
      </c>
      <c r="J274" s="102"/>
      <c r="K274" s="102"/>
      <c r="L274" s="102"/>
      <c r="M274" s="102"/>
      <c r="N274" s="102"/>
      <c r="O274" s="123"/>
      <c r="P274" s="123"/>
      <c r="Q274" s="102"/>
      <c r="R274" s="102"/>
      <c r="S274" s="102"/>
      <c r="T274" s="102"/>
      <c r="U274" s="102"/>
      <c r="V274" s="102"/>
      <c r="W274" s="102"/>
      <c r="X274" s="102"/>
      <c r="Y274" s="110" t="s">
        <v>209</v>
      </c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8"/>
      <c r="AK274" s="5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</row>
    <row r="275" spans="1:50" ht="15">
      <c r="A275" s="8"/>
      <c r="B275" s="8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Q275" s="13"/>
      <c r="R275" s="55"/>
      <c r="S275" s="55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8"/>
      <c r="AJ275" s="8"/>
      <c r="AK275" s="5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</row>
    <row r="276" spans="1:50" ht="15">
      <c r="A276" s="8"/>
      <c r="B276" s="8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Q276" s="13"/>
      <c r="R276" s="55"/>
      <c r="S276" s="55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8"/>
      <c r="AJ276" s="8"/>
      <c r="AK276" s="5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</row>
    <row r="277" spans="1:50" ht="15">
      <c r="A277" s="8"/>
      <c r="B277" s="11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8"/>
      <c r="AJ277" s="8"/>
      <c r="AK277" s="58"/>
      <c r="AL277" s="8"/>
      <c r="AM277" s="8"/>
      <c r="AN277" s="11"/>
      <c r="AO277" s="8"/>
      <c r="AP277" s="8"/>
      <c r="AQ277" s="8"/>
      <c r="AR277" s="8"/>
      <c r="AS277" s="8"/>
      <c r="AT277" s="8"/>
      <c r="AU277" s="8"/>
      <c r="AV277" s="8"/>
      <c r="AW277" s="8"/>
      <c r="AX277" s="8"/>
    </row>
    <row r="278" spans="1:50" ht="15">
      <c r="A278" s="8"/>
      <c r="B278" s="8"/>
      <c r="C278" s="13"/>
      <c r="D278" s="13"/>
      <c r="E278" s="116"/>
      <c r="F278" s="116"/>
      <c r="G278" s="116"/>
      <c r="H278" s="116"/>
      <c r="I278" s="116" t="s">
        <v>94</v>
      </c>
      <c r="J278" s="116"/>
      <c r="K278" s="116"/>
      <c r="L278" s="116"/>
      <c r="M278" s="131" t="s">
        <v>143</v>
      </c>
      <c r="N278" s="116"/>
      <c r="O278" s="131" t="s">
        <v>139</v>
      </c>
      <c r="P278" s="131"/>
      <c r="Q278" s="131" t="s">
        <v>140</v>
      </c>
      <c r="R278" s="116"/>
      <c r="S278" s="131" t="s">
        <v>95</v>
      </c>
      <c r="T278" s="116"/>
      <c r="U278" s="131" t="s">
        <v>96</v>
      </c>
      <c r="V278" s="131"/>
      <c r="W278" s="116" t="s">
        <v>194</v>
      </c>
      <c r="X278" s="116"/>
      <c r="Y278" s="116" t="s">
        <v>98</v>
      </c>
      <c r="Z278" s="116"/>
      <c r="AA278" s="116" t="s">
        <v>99</v>
      </c>
      <c r="AB278" s="116"/>
      <c r="AC278" s="116" t="s">
        <v>217</v>
      </c>
      <c r="AD278" s="116"/>
      <c r="AE278" s="116"/>
      <c r="AF278" s="116"/>
      <c r="AG278" s="116"/>
      <c r="AH278" s="116"/>
      <c r="AI278" s="116"/>
      <c r="AJ278" s="116"/>
      <c r="AK278" s="132"/>
      <c r="AL278" s="15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</row>
    <row r="279" spans="1:50" ht="15">
      <c r="A279" s="8"/>
      <c r="B279" s="8"/>
      <c r="C279" s="13"/>
      <c r="D279" s="13"/>
      <c r="E279" s="116" t="s">
        <v>101</v>
      </c>
      <c r="F279" s="116"/>
      <c r="G279" s="116" t="s">
        <v>101</v>
      </c>
      <c r="H279" s="116"/>
      <c r="I279" s="116" t="s">
        <v>102</v>
      </c>
      <c r="J279" s="116"/>
      <c r="K279" s="116" t="s">
        <v>94</v>
      </c>
      <c r="L279" s="116"/>
      <c r="M279" s="116" t="s">
        <v>103</v>
      </c>
      <c r="N279" s="116"/>
      <c r="O279" s="116" t="s">
        <v>104</v>
      </c>
      <c r="P279" s="116"/>
      <c r="Q279" s="116" t="s">
        <v>104</v>
      </c>
      <c r="R279" s="116"/>
      <c r="S279" s="116" t="s">
        <v>104</v>
      </c>
      <c r="T279" s="116"/>
      <c r="U279" s="116" t="s">
        <v>104</v>
      </c>
      <c r="V279" s="116"/>
      <c r="W279" s="116" t="s">
        <v>104</v>
      </c>
      <c r="X279" s="116"/>
      <c r="Y279" s="116" t="s">
        <v>195</v>
      </c>
      <c r="Z279" s="116"/>
      <c r="AA279" s="131" t="s">
        <v>105</v>
      </c>
      <c r="AB279" s="116"/>
      <c r="AC279" s="131" t="s">
        <v>105</v>
      </c>
      <c r="AD279" s="116"/>
      <c r="AE279" s="116" t="s">
        <v>196</v>
      </c>
      <c r="AF279" s="116"/>
      <c r="AG279" s="116" t="s">
        <v>107</v>
      </c>
      <c r="AH279" s="116"/>
      <c r="AI279" s="116" t="s">
        <v>108</v>
      </c>
      <c r="AJ279" s="116"/>
      <c r="AK279" s="132"/>
      <c r="AL279" s="15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</row>
    <row r="280" spans="1:50" ht="15" thickBot="1">
      <c r="A280" s="16" t="s">
        <v>92</v>
      </c>
      <c r="B280" s="8"/>
      <c r="C280" s="133" t="s">
        <v>3</v>
      </c>
      <c r="D280" s="133"/>
      <c r="E280" s="117" t="s">
        <v>111</v>
      </c>
      <c r="F280" s="118"/>
      <c r="G280" s="119" t="s">
        <v>142</v>
      </c>
      <c r="H280" s="118"/>
      <c r="I280" s="117" t="s">
        <v>110</v>
      </c>
      <c r="J280" s="117"/>
      <c r="K280" s="117" t="s">
        <v>142</v>
      </c>
      <c r="L280" s="117"/>
      <c r="M280" s="117" t="s">
        <v>111</v>
      </c>
      <c r="N280" s="117"/>
      <c r="O280" s="117" t="s">
        <v>112</v>
      </c>
      <c r="P280" s="117"/>
      <c r="Q280" s="117" t="s">
        <v>113</v>
      </c>
      <c r="R280" s="120"/>
      <c r="S280" s="117" t="s">
        <v>114</v>
      </c>
      <c r="T280" s="117"/>
      <c r="U280" s="117" t="s">
        <v>115</v>
      </c>
      <c r="V280" s="120"/>
      <c r="W280" s="117" t="s">
        <v>116</v>
      </c>
      <c r="X280" s="117"/>
      <c r="Y280" s="117" t="s">
        <v>111</v>
      </c>
      <c r="Z280" s="117"/>
      <c r="AA280" s="117" t="s">
        <v>111</v>
      </c>
      <c r="AB280" s="117"/>
      <c r="AC280" s="117" t="s">
        <v>117</v>
      </c>
      <c r="AD280" s="120"/>
      <c r="AE280" s="117" t="s">
        <v>197</v>
      </c>
      <c r="AF280" s="117"/>
      <c r="AG280" s="117" t="s">
        <v>111</v>
      </c>
      <c r="AH280" s="120"/>
      <c r="AI280" s="117" t="s">
        <v>119</v>
      </c>
      <c r="AJ280" s="134"/>
      <c r="AK280" s="132"/>
      <c r="AL280" s="36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</row>
    <row r="281" spans="1:50" ht="15">
      <c r="A281" s="8"/>
      <c r="B281" s="8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6"/>
      <c r="AJ281" s="146"/>
      <c r="AK281" s="147"/>
      <c r="AL281" s="12"/>
      <c r="AM281" s="8"/>
      <c r="AN281" s="11"/>
      <c r="AO281" s="8"/>
      <c r="AP281" s="8"/>
      <c r="AQ281" s="8"/>
      <c r="AR281" s="8"/>
      <c r="AS281" s="8"/>
      <c r="AT281" s="8"/>
      <c r="AU281" s="8"/>
      <c r="AV281" s="8"/>
      <c r="AW281" s="8"/>
      <c r="AX281" s="8"/>
    </row>
    <row r="282" spans="1:50" ht="15">
      <c r="A282" s="15">
        <v>1</v>
      </c>
      <c r="B282" s="135" t="s">
        <v>70</v>
      </c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8"/>
      <c r="AJ282" s="8"/>
      <c r="AK282" s="5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</row>
    <row r="283" spans="1:50" ht="15">
      <c r="A283" s="15">
        <v>2</v>
      </c>
      <c r="B283" s="129" t="s">
        <v>41</v>
      </c>
      <c r="C283" s="39">
        <f>I22</f>
        <v>3492835.003255436</v>
      </c>
      <c r="D283" s="39"/>
      <c r="E283" s="39">
        <f>$C283*(E156/$C$156)</f>
        <v>2409013.2252078042</v>
      </c>
      <c r="F283" s="39"/>
      <c r="G283" s="39">
        <f>$C283*(G156/$C$156)</f>
        <v>5631.715882829209</v>
      </c>
      <c r="H283" s="39"/>
      <c r="I283" s="39">
        <f>$C283*(I156/$C$156)</f>
        <v>329.91908431519585</v>
      </c>
      <c r="J283" s="39"/>
      <c r="K283" s="39">
        <f>$C283*(K156/$C$156)</f>
        <v>13757.14336958865</v>
      </c>
      <c r="L283" s="39"/>
      <c r="M283" s="39">
        <f>$C283*(M156/$C$156)</f>
        <v>181102.4282827593</v>
      </c>
      <c r="N283" s="39"/>
      <c r="O283" s="39">
        <f>$C283*(O156/$C$156)</f>
        <v>371647.39466788777</v>
      </c>
      <c r="P283" s="39"/>
      <c r="Q283" s="39">
        <f>$C283*(Q156/$C$156)</f>
        <v>273785.71434969414</v>
      </c>
      <c r="R283" s="39"/>
      <c r="S283" s="39">
        <f>$C283*(S156/$C$156)</f>
        <v>76153.20869333691</v>
      </c>
      <c r="T283" s="39"/>
      <c r="U283" s="39">
        <f>$C283*(U156/$C$156)</f>
        <v>13643.33551148217</v>
      </c>
      <c r="V283" s="39"/>
      <c r="W283" s="39">
        <f>$C283*(W156/$C$156)</f>
        <v>30753.151422570765</v>
      </c>
      <c r="X283" s="39"/>
      <c r="Y283" s="39">
        <f>$C283*(Y156/$C$156)</f>
        <v>15102.066146277662</v>
      </c>
      <c r="Z283" s="39"/>
      <c r="AA283" s="39">
        <f>$C283*(AA156/$C$156)</f>
        <v>18640.060979643054</v>
      </c>
      <c r="AB283" s="39"/>
      <c r="AC283" s="39">
        <f>$C283*(AC156/$C$156)</f>
        <v>20488.22545347628</v>
      </c>
      <c r="AD283" s="39"/>
      <c r="AE283" s="39">
        <f>$C283*(AE156/$C$156)</f>
        <v>1474.3993573984778</v>
      </c>
      <c r="AF283" s="39"/>
      <c r="AG283" s="39">
        <f>$C283*(AG156/$C$156)</f>
        <v>1081.22619542555</v>
      </c>
      <c r="AH283" s="39"/>
      <c r="AI283" s="39">
        <f>$C283*(AI156/$C$156)</f>
        <v>60231.78865094709</v>
      </c>
      <c r="AJ283" s="39"/>
      <c r="AK283" s="136"/>
      <c r="AL283" s="39"/>
      <c r="AM283" s="8"/>
      <c r="AN283" s="29"/>
      <c r="AO283" s="8"/>
      <c r="AP283" s="8"/>
      <c r="AQ283" s="8"/>
      <c r="AR283" s="8"/>
      <c r="AS283" s="8"/>
      <c r="AT283" s="8"/>
      <c r="AU283" s="8"/>
      <c r="AV283" s="8"/>
      <c r="AW283" s="8"/>
      <c r="AX283" s="8"/>
    </row>
    <row r="284" spans="1:50" ht="15">
      <c r="A284" s="15">
        <v>3</v>
      </c>
      <c r="B284" s="129" t="s">
        <v>47</v>
      </c>
      <c r="C284" s="153">
        <f>K22</f>
        <v>6285915.248520516</v>
      </c>
      <c r="D284" s="39"/>
      <c r="E284" s="153">
        <f>$C284*(E167/$C$167)</f>
        <v>1127857.2026488385</v>
      </c>
      <c r="F284" s="136"/>
      <c r="G284" s="153">
        <f>$C284*(G167/$C$167)</f>
        <v>0</v>
      </c>
      <c r="H284" s="136"/>
      <c r="I284" s="153">
        <f>$C284*(I167/$C$167)</f>
        <v>10072.638700002319</v>
      </c>
      <c r="J284" s="39"/>
      <c r="K284" s="153">
        <f>$C284*(K167/$C$167)</f>
        <v>0</v>
      </c>
      <c r="L284" s="136"/>
      <c r="M284" s="153">
        <f>$C284*(M167/$C$167)</f>
        <v>103246.31377688862</v>
      </c>
      <c r="N284" s="39"/>
      <c r="O284" s="153">
        <f>$C284*(O167/$C$167)</f>
        <v>867168.5044411918</v>
      </c>
      <c r="P284" s="136"/>
      <c r="Q284" s="153">
        <f>$C284*(Q167/$C$167)</f>
        <v>1533489.386358239</v>
      </c>
      <c r="R284" s="39"/>
      <c r="S284" s="153">
        <f>$C284*(S167/$C$167)</f>
        <v>870449.5044686333</v>
      </c>
      <c r="T284" s="39"/>
      <c r="U284" s="153">
        <f>$C284*(U167/$C$167)</f>
        <v>479899.3688009783</v>
      </c>
      <c r="V284" s="136"/>
      <c r="W284" s="153">
        <f>$C284*(W167/$C$167)</f>
        <v>449334.8986097004</v>
      </c>
      <c r="X284" s="39"/>
      <c r="Y284" s="153">
        <f>$C284*(Y167/$C$167)</f>
        <v>203319.70639930767</v>
      </c>
      <c r="Z284" s="39"/>
      <c r="AA284" s="153">
        <f>$C284*(AA167/$C$167)</f>
        <v>216369.9463977723</v>
      </c>
      <c r="AB284" s="39"/>
      <c r="AC284" s="153">
        <f>$C284*(AC167/$C$167)</f>
        <v>71111.85807832041</v>
      </c>
      <c r="AD284" s="39"/>
      <c r="AE284" s="153">
        <f>$C284*(AE167/$C$167)</f>
        <v>4603.910632819114</v>
      </c>
      <c r="AF284" s="39"/>
      <c r="AG284" s="153">
        <f>$C284*(AG167/$C$167)</f>
        <v>14831.244774653094</v>
      </c>
      <c r="AH284" s="39"/>
      <c r="AI284" s="153">
        <f>$C284*(AI167/$C$167)</f>
        <v>334160.7644331704</v>
      </c>
      <c r="AJ284" s="153"/>
      <c r="AK284" s="136"/>
      <c r="AL284" s="39"/>
      <c r="AM284" s="8"/>
      <c r="AN284" s="28"/>
      <c r="AO284" s="8"/>
      <c r="AP284" s="8"/>
      <c r="AQ284" s="8"/>
      <c r="AR284" s="8"/>
      <c r="AS284" s="8"/>
      <c r="AT284" s="8"/>
      <c r="AU284" s="8"/>
      <c r="AV284" s="8"/>
      <c r="AW284" s="8"/>
      <c r="AX284" s="8"/>
    </row>
    <row r="285" spans="1:50" ht="15">
      <c r="A285" s="15">
        <v>4</v>
      </c>
      <c r="B285" s="129" t="s">
        <v>71</v>
      </c>
      <c r="C285" s="39">
        <f>SUM(C283:C284)</f>
        <v>9778750.251775952</v>
      </c>
      <c r="D285" s="39"/>
      <c r="E285" s="39">
        <f>SUM(E283:E284)</f>
        <v>3536870.4278566428</v>
      </c>
      <c r="F285" s="39"/>
      <c r="G285" s="39">
        <f>SUM(G283:G284)</f>
        <v>5631.715882829209</v>
      </c>
      <c r="H285" s="39"/>
      <c r="I285" s="39">
        <f>SUM(I283:I284)</f>
        <v>10402.557784317514</v>
      </c>
      <c r="J285" s="39"/>
      <c r="K285" s="39">
        <f>SUM(K283:K284)</f>
        <v>13757.14336958865</v>
      </c>
      <c r="L285" s="39"/>
      <c r="M285" s="39">
        <f>SUM(M283:M284)</f>
        <v>284348.7420596479</v>
      </c>
      <c r="N285" s="39"/>
      <c r="O285" s="39">
        <f>SUM(O283:O284)</f>
        <v>1238815.8991090795</v>
      </c>
      <c r="P285" s="39"/>
      <c r="Q285" s="39">
        <f>SUM(Q283:Q284)</f>
        <v>1807275.100707933</v>
      </c>
      <c r="R285" s="39"/>
      <c r="S285" s="39">
        <f>SUM(S283:S284)</f>
        <v>946602.7131619703</v>
      </c>
      <c r="T285" s="39"/>
      <c r="U285" s="39">
        <f>SUM(U283:U284)</f>
        <v>493542.70431246044</v>
      </c>
      <c r="V285" s="39"/>
      <c r="W285" s="39">
        <f>SUM(W283:W284)</f>
        <v>480088.05003227113</v>
      </c>
      <c r="X285" s="39"/>
      <c r="Y285" s="39">
        <f>SUM(Y283:Y284)</f>
        <v>218421.77254558535</v>
      </c>
      <c r="Z285" s="39"/>
      <c r="AA285" s="39">
        <f>SUM(AA283:AA284)</f>
        <v>235010.00737741534</v>
      </c>
      <c r="AB285" s="39"/>
      <c r="AC285" s="39">
        <f>SUM(AC283:AC284)</f>
        <v>91600.08353179668</v>
      </c>
      <c r="AD285" s="39"/>
      <c r="AE285" s="39">
        <f>SUM(AE283:AE284)</f>
        <v>6078.309990217592</v>
      </c>
      <c r="AF285" s="39"/>
      <c r="AG285" s="39">
        <f>SUM(AG283:AG284)</f>
        <v>15912.470970078644</v>
      </c>
      <c r="AH285" s="39"/>
      <c r="AI285" s="39">
        <f>SUM(AI283:AI284)</f>
        <v>394392.5530841175</v>
      </c>
      <c r="AJ285" s="39"/>
      <c r="AK285" s="136"/>
      <c r="AL285" s="39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</row>
    <row r="286" spans="1:50" ht="15">
      <c r="A286" s="15">
        <v>5</v>
      </c>
      <c r="B286" s="129" t="s">
        <v>72</v>
      </c>
      <c r="C286" s="153">
        <f>O22</f>
        <v>1052682.921344249</v>
      </c>
      <c r="D286" s="39"/>
      <c r="E286" s="153">
        <f>+E$126*($C286)</f>
        <v>418317.92653999984</v>
      </c>
      <c r="F286" s="136"/>
      <c r="G286" s="153">
        <f>+G$126*($C286)</f>
        <v>712.8641628601806</v>
      </c>
      <c r="H286" s="136"/>
      <c r="I286" s="153">
        <f>+I$126*($C286)</f>
        <v>990.0795749596242</v>
      </c>
      <c r="J286" s="39"/>
      <c r="K286" s="153">
        <f>+K$126*($C286)</f>
        <v>1869.9338207526232</v>
      </c>
      <c r="L286" s="136"/>
      <c r="M286" s="153">
        <f>+M$126*($C286)</f>
        <v>34360.074755260015</v>
      </c>
      <c r="N286" s="39"/>
      <c r="O286" s="153">
        <f>+O$126*($C286)</f>
        <v>133621.02561776614</v>
      </c>
      <c r="P286" s="136"/>
      <c r="Q286" s="153">
        <f>+Q$126*($C286)</f>
        <v>183922.9722601046</v>
      </c>
      <c r="R286" s="39"/>
      <c r="S286" s="153">
        <f>+S$126*($C286)</f>
        <v>93476.25387238587</v>
      </c>
      <c r="T286" s="39"/>
      <c r="U286" s="153">
        <f>+U$126*($C286)</f>
        <v>47558.81326358211</v>
      </c>
      <c r="V286" s="136"/>
      <c r="W286" s="153">
        <f>+W$126*($C286)</f>
        <v>44882.109964645344</v>
      </c>
      <c r="X286" s="39"/>
      <c r="Y286" s="153">
        <f>+Y$126*($C286)</f>
        <v>20771.102728160775</v>
      </c>
      <c r="Z286" s="39"/>
      <c r="AA286" s="153">
        <f>+AA$126*($C286)</f>
        <v>25663.9083752899</v>
      </c>
      <c r="AB286" s="39"/>
      <c r="AC286" s="153">
        <f>+AC$126*($C286)</f>
        <v>7348.425641465569</v>
      </c>
      <c r="AD286" s="39"/>
      <c r="AE286" s="153">
        <f>+AE$126*($C286)</f>
        <v>626.1031842511375</v>
      </c>
      <c r="AF286" s="39"/>
      <c r="AG286" s="153">
        <f>+AG$126*($C286)</f>
        <v>1491.432797006621</v>
      </c>
      <c r="AH286" s="39"/>
      <c r="AI286" s="153">
        <f>+AI$126*($C286)</f>
        <v>37069.89478575885</v>
      </c>
      <c r="AJ286" s="153"/>
      <c r="AK286" s="136"/>
      <c r="AL286" s="39"/>
      <c r="AM286" s="8"/>
      <c r="AN286" s="12"/>
      <c r="AO286" s="8"/>
      <c r="AP286" s="8"/>
      <c r="AQ286" s="8"/>
      <c r="AR286" s="8"/>
      <c r="AS286" s="8"/>
      <c r="AT286" s="8"/>
      <c r="AU286" s="8"/>
      <c r="AV286" s="8"/>
      <c r="AW286" s="8"/>
      <c r="AX286" s="8"/>
    </row>
    <row r="287" spans="1:50" ht="15">
      <c r="A287" s="15">
        <v>6</v>
      </c>
      <c r="B287" s="129" t="s">
        <v>65</v>
      </c>
      <c r="C287" s="39">
        <f>C285+C286</f>
        <v>10831433.1731202</v>
      </c>
      <c r="D287" s="39"/>
      <c r="E287" s="39">
        <f>E285+E286</f>
        <v>3955188.3543966427</v>
      </c>
      <c r="F287" s="39"/>
      <c r="G287" s="39">
        <f>G285+G286</f>
        <v>6344.580045689389</v>
      </c>
      <c r="H287" s="39"/>
      <c r="I287" s="39">
        <f>I285+I286</f>
        <v>11392.637359277138</v>
      </c>
      <c r="J287" s="39"/>
      <c r="K287" s="39">
        <f>K285+K286</f>
        <v>15627.077190341273</v>
      </c>
      <c r="L287" s="39"/>
      <c r="M287" s="39">
        <f>M285+M286</f>
        <v>318708.81681490794</v>
      </c>
      <c r="N287" s="39"/>
      <c r="O287" s="39">
        <f>O285+O286</f>
        <v>1372436.9247268457</v>
      </c>
      <c r="P287" s="39"/>
      <c r="Q287" s="39">
        <f>Q285+Q286</f>
        <v>1991198.0729680378</v>
      </c>
      <c r="R287" s="39"/>
      <c r="S287" s="39">
        <f>S285+S286</f>
        <v>1040078.9670343561</v>
      </c>
      <c r="T287" s="39"/>
      <c r="U287" s="39">
        <f>U285+U286</f>
        <v>541101.5175760426</v>
      </c>
      <c r="V287" s="39"/>
      <c r="W287" s="39">
        <f>W285+W286</f>
        <v>524970.1599969164</v>
      </c>
      <c r="X287" s="39"/>
      <c r="Y287" s="39">
        <f>Y285+Y286</f>
        <v>239192.87527374612</v>
      </c>
      <c r="Z287" s="39"/>
      <c r="AA287" s="39">
        <f>AA285+AA286</f>
        <v>260673.91575270524</v>
      </c>
      <c r="AB287" s="39"/>
      <c r="AC287" s="39">
        <f>AC285+AC286</f>
        <v>98948.50917326225</v>
      </c>
      <c r="AD287" s="39"/>
      <c r="AE287" s="39">
        <f>AE285+AE286</f>
        <v>6704.413174468729</v>
      </c>
      <c r="AF287" s="39"/>
      <c r="AG287" s="39">
        <f>AG285+AG286</f>
        <v>17403.903767085267</v>
      </c>
      <c r="AH287" s="39"/>
      <c r="AI287" s="39">
        <f>AI285+AI286</f>
        <v>431462.44786987634</v>
      </c>
      <c r="AJ287" s="39"/>
      <c r="AK287" s="136"/>
      <c r="AL287" s="14"/>
      <c r="AM287" s="8"/>
      <c r="AN287" s="27"/>
      <c r="AO287" s="8"/>
      <c r="AP287" s="8"/>
      <c r="AQ287" s="8"/>
      <c r="AR287" s="8"/>
      <c r="AS287" s="8"/>
      <c r="AT287" s="8"/>
      <c r="AU287" s="8"/>
      <c r="AV287" s="8"/>
      <c r="AW287" s="8"/>
      <c r="AX287" s="8"/>
    </row>
    <row r="288" spans="1:50" ht="15">
      <c r="A288" s="15"/>
      <c r="B288" s="8"/>
      <c r="C288" s="9"/>
      <c r="D288" s="9"/>
      <c r="E288" s="9"/>
      <c r="F288" s="9"/>
      <c r="G288" s="9"/>
      <c r="H288" s="9"/>
      <c r="I288" s="9"/>
      <c r="J288" s="39"/>
      <c r="K288" s="9"/>
      <c r="L288" s="9"/>
      <c r="M288" s="9"/>
      <c r="N288" s="39"/>
      <c r="O288" s="9"/>
      <c r="P288" s="9"/>
      <c r="Q288" s="9"/>
      <c r="R288" s="39"/>
      <c r="S288" s="9"/>
      <c r="T288" s="39"/>
      <c r="U288" s="9"/>
      <c r="V288" s="9"/>
      <c r="W288" s="9"/>
      <c r="X288" s="3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71"/>
      <c r="AL288" s="13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</row>
    <row r="289" spans="1:50" ht="15">
      <c r="A289" s="15">
        <v>7</v>
      </c>
      <c r="B289" s="135" t="s">
        <v>193</v>
      </c>
      <c r="C289" s="9"/>
      <c r="D289" s="9"/>
      <c r="E289" s="9"/>
      <c r="F289" s="9"/>
      <c r="G289" s="9"/>
      <c r="H289" s="9"/>
      <c r="I289" s="9"/>
      <c r="J289" s="39"/>
      <c r="K289" s="9"/>
      <c r="L289" s="9"/>
      <c r="M289" s="9"/>
      <c r="N289" s="39"/>
      <c r="O289" s="9"/>
      <c r="P289" s="9"/>
      <c r="Q289" s="9"/>
      <c r="R289" s="39"/>
      <c r="S289" s="9"/>
      <c r="T289" s="39"/>
      <c r="U289" s="9"/>
      <c r="V289" s="9"/>
      <c r="W289" s="9"/>
      <c r="X289" s="3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71"/>
      <c r="AL289" s="13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</row>
    <row r="290" spans="1:50" ht="15">
      <c r="A290" s="15">
        <f>+A289+1</f>
        <v>8</v>
      </c>
      <c r="B290" s="129" t="s">
        <v>41</v>
      </c>
      <c r="C290" s="39">
        <f>I23</f>
        <v>-480321.33785999997</v>
      </c>
      <c r="D290" s="39"/>
      <c r="E290" s="39">
        <f>+$C$290*(E74/$C$74)</f>
        <v>-434216.8643672819</v>
      </c>
      <c r="F290" s="39"/>
      <c r="G290" s="39">
        <f>+$C$290*(G74/$C$74)</f>
        <v>-1015.0986246406248</v>
      </c>
      <c r="H290" s="39"/>
      <c r="I290" s="39">
        <f>+$C$290*(I74/$C$74)</f>
        <v>-89.31733708430079</v>
      </c>
      <c r="J290" s="39"/>
      <c r="K290" s="39">
        <f>+$C$290*(K74/$C$74)</f>
        <v>-1122.8465233454956</v>
      </c>
      <c r="L290" s="39"/>
      <c r="M290" s="39">
        <f>+$C$290*(M74/$C$74)</f>
        <v>-14781.428564322914</v>
      </c>
      <c r="N290" s="39"/>
      <c r="O290" s="39">
        <f>+$C$290*(O74/$C$74)</f>
        <v>-18895.390156247933</v>
      </c>
      <c r="P290" s="39"/>
      <c r="Q290" s="39">
        <f>+$C$290*(Q74/$C$74)</f>
        <v>-8596.639475043285</v>
      </c>
      <c r="R290" s="39"/>
      <c r="S290" s="39">
        <f>+$C$290*(S74/$C$74)</f>
        <v>-1173.4700849686064</v>
      </c>
      <c r="T290" s="39"/>
      <c r="U290" s="39">
        <f>+$C$290*(U74/$C$74)</f>
        <v>-174.38146764077771</v>
      </c>
      <c r="V290" s="39"/>
      <c r="W290" s="39">
        <f>+$C$290*(W74/$C$74)</f>
        <v>-146.73562520992274</v>
      </c>
      <c r="X290" s="39"/>
      <c r="Y290" s="39">
        <f>+$C$290*(Y74/$C$74)</f>
        <v>-36.86112324114001</v>
      </c>
      <c r="Z290" s="39"/>
      <c r="AA290" s="39">
        <f>+$C$290*(AA74/$C$74)</f>
        <v>-19.848297129844617</v>
      </c>
      <c r="AB290" s="39"/>
      <c r="AC290" s="39">
        <f>+$C$290*(AC74/$C$74)</f>
        <v>-4.253206527823847</v>
      </c>
      <c r="AD290" s="39"/>
      <c r="AE290" s="39">
        <f>+$C$290*(AE74/$C$74)</f>
        <v>-21.266032639119235</v>
      </c>
      <c r="AF290" s="39"/>
      <c r="AG290" s="39">
        <f>+$C$290*(AG74/$C$74)</f>
        <v>-15.595090602020772</v>
      </c>
      <c r="AH290" s="39"/>
      <c r="AI290" s="39">
        <f>+$C$290*(AI74/$C$74)</f>
        <v>-11.341884074196926</v>
      </c>
      <c r="AJ290" s="9"/>
      <c r="AK290" s="71"/>
      <c r="AL290" s="13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</row>
    <row r="291" spans="1:50" ht="15">
      <c r="A291" s="15">
        <f>+A290+1</f>
        <v>9</v>
      </c>
      <c r="B291" s="129" t="s">
        <v>47</v>
      </c>
      <c r="C291" s="39">
        <f>K23</f>
        <v>0</v>
      </c>
      <c r="D291" s="39"/>
      <c r="E291" s="39">
        <f>+E175*$C$297</f>
        <v>0</v>
      </c>
      <c r="F291" s="39"/>
      <c r="G291" s="39">
        <f>+G175*$C$297</f>
        <v>0</v>
      </c>
      <c r="H291" s="39"/>
      <c r="I291" s="39">
        <f>+I175*$C$297</f>
        <v>0</v>
      </c>
      <c r="J291" s="39"/>
      <c r="K291" s="39">
        <f>+K175*$C$297</f>
        <v>0</v>
      </c>
      <c r="L291" s="39"/>
      <c r="M291" s="39">
        <f>+M175*$C$297</f>
        <v>0</v>
      </c>
      <c r="N291" s="39"/>
      <c r="O291" s="39">
        <f>+O175*$C$297</f>
        <v>0</v>
      </c>
      <c r="P291" s="39"/>
      <c r="Q291" s="39">
        <f>+Q175*$C$297</f>
        <v>0</v>
      </c>
      <c r="R291" s="39"/>
      <c r="S291" s="39">
        <f>+S175*$C$297</f>
        <v>0</v>
      </c>
      <c r="T291" s="39"/>
      <c r="U291" s="39">
        <f>+U175*$C$297</f>
        <v>0</v>
      </c>
      <c r="V291" s="39"/>
      <c r="W291" s="39">
        <f>+W175*$C$297</f>
        <v>0</v>
      </c>
      <c r="X291" s="39"/>
      <c r="Y291" s="39">
        <f>+Y175*$C$297</f>
        <v>0</v>
      </c>
      <c r="Z291" s="39"/>
      <c r="AA291" s="39">
        <f>+AA175*$C$297</f>
        <v>0</v>
      </c>
      <c r="AB291" s="39"/>
      <c r="AC291" s="39">
        <f>+AC175*$C$297</f>
        <v>0</v>
      </c>
      <c r="AD291" s="39"/>
      <c r="AE291" s="39">
        <f>+AE175*$C$297</f>
        <v>0</v>
      </c>
      <c r="AF291" s="39"/>
      <c r="AG291" s="39">
        <f>+AG175*$C$297</f>
        <v>0</v>
      </c>
      <c r="AH291" s="39"/>
      <c r="AI291" s="39">
        <f>+AI175*$C$297</f>
        <v>0</v>
      </c>
      <c r="AJ291" s="9"/>
      <c r="AK291" s="71"/>
      <c r="AL291" s="13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</row>
    <row r="292" spans="1:50" ht="15">
      <c r="A292" s="15">
        <f>+A291+1</f>
        <v>10</v>
      </c>
      <c r="B292" s="129" t="s">
        <v>50</v>
      </c>
      <c r="C292" s="153">
        <f>M23</f>
        <v>0</v>
      </c>
      <c r="D292" s="39"/>
      <c r="E292" s="153">
        <f>+E176*$C$298</f>
        <v>0</v>
      </c>
      <c r="F292" s="136"/>
      <c r="G292" s="153">
        <f>+G176*$C$298</f>
        <v>0</v>
      </c>
      <c r="H292" s="136"/>
      <c r="I292" s="153">
        <f>+I176*$C$298</f>
        <v>0</v>
      </c>
      <c r="J292" s="39"/>
      <c r="K292" s="153">
        <f>+K176*$C$298</f>
        <v>0</v>
      </c>
      <c r="L292" s="136"/>
      <c r="M292" s="153">
        <f>+M176*$C$298</f>
        <v>0</v>
      </c>
      <c r="N292" s="39"/>
      <c r="O292" s="153">
        <f>+O176*$C$298</f>
        <v>0</v>
      </c>
      <c r="P292" s="136"/>
      <c r="Q292" s="153">
        <f>+Q176*$C$298</f>
        <v>0</v>
      </c>
      <c r="R292" s="39"/>
      <c r="S292" s="153">
        <f>+S176*$C$298</f>
        <v>0</v>
      </c>
      <c r="T292" s="39"/>
      <c r="U292" s="153">
        <f>+U176*$C$298</f>
        <v>0</v>
      </c>
      <c r="V292" s="136"/>
      <c r="W292" s="153">
        <f>+W176*$C$298</f>
        <v>0</v>
      </c>
      <c r="X292" s="39"/>
      <c r="Y292" s="153">
        <f>+Y176*$C$298</f>
        <v>0</v>
      </c>
      <c r="Z292" s="39"/>
      <c r="AA292" s="153">
        <f>+AA176*$C$298</f>
        <v>0</v>
      </c>
      <c r="AB292" s="39"/>
      <c r="AC292" s="153">
        <f>+AC176*$C$298</f>
        <v>0</v>
      </c>
      <c r="AD292" s="39"/>
      <c r="AE292" s="153">
        <f>+AE176*$C$298</f>
        <v>0</v>
      </c>
      <c r="AF292" s="39"/>
      <c r="AG292" s="153">
        <f>+AG176*$C$298</f>
        <v>0</v>
      </c>
      <c r="AH292" s="39"/>
      <c r="AI292" s="153">
        <f>+AI176*$C$298</f>
        <v>0</v>
      </c>
      <c r="AJ292" s="9"/>
      <c r="AK292" s="71"/>
      <c r="AL292" s="13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</row>
    <row r="293" spans="1:50" ht="15">
      <c r="A293" s="15">
        <f>+A292+1</f>
        <v>11</v>
      </c>
      <c r="B293" s="129" t="s">
        <v>65</v>
      </c>
      <c r="C293" s="39">
        <f>SUM(C290:C292)</f>
        <v>-480321.33785999997</v>
      </c>
      <c r="D293" s="39"/>
      <c r="E293" s="39">
        <f>SUM(E290:E292)</f>
        <v>-434216.8643672819</v>
      </c>
      <c r="F293" s="39"/>
      <c r="G293" s="39">
        <f>SUM(G290:G292)</f>
        <v>-1015.0986246406248</v>
      </c>
      <c r="H293" s="39"/>
      <c r="I293" s="39">
        <f>SUM(I290:I292)</f>
        <v>-89.31733708430079</v>
      </c>
      <c r="J293" s="39"/>
      <c r="K293" s="39">
        <f>SUM(K290:K292)</f>
        <v>-1122.8465233454956</v>
      </c>
      <c r="L293" s="39"/>
      <c r="M293" s="39">
        <f>SUM(M290:M292)</f>
        <v>-14781.428564322914</v>
      </c>
      <c r="N293" s="39"/>
      <c r="O293" s="39">
        <f>SUM(O290:O292)</f>
        <v>-18895.390156247933</v>
      </c>
      <c r="P293" s="39"/>
      <c r="Q293" s="39">
        <f>SUM(Q290:Q292)</f>
        <v>-8596.639475043285</v>
      </c>
      <c r="R293" s="39"/>
      <c r="S293" s="39">
        <f>SUM(S290:S292)</f>
        <v>-1173.4700849686064</v>
      </c>
      <c r="T293" s="39"/>
      <c r="U293" s="39">
        <f>SUM(U290:U292)</f>
        <v>-174.38146764077771</v>
      </c>
      <c r="V293" s="39"/>
      <c r="W293" s="39">
        <f>SUM(W290:W292)</f>
        <v>-146.73562520992274</v>
      </c>
      <c r="X293" s="39"/>
      <c r="Y293" s="39">
        <f>SUM(Y290:Y292)</f>
        <v>-36.86112324114001</v>
      </c>
      <c r="Z293" s="39"/>
      <c r="AA293" s="39">
        <f>SUM(AA290:AA292)</f>
        <v>-19.848297129844617</v>
      </c>
      <c r="AB293" s="39"/>
      <c r="AC293" s="39">
        <f>SUM(AC290:AC292)</f>
        <v>-4.253206527823847</v>
      </c>
      <c r="AD293" s="39"/>
      <c r="AE293" s="39">
        <f>SUM(AE290:AE292)</f>
        <v>-21.266032639119235</v>
      </c>
      <c r="AF293" s="39"/>
      <c r="AG293" s="39">
        <f>SUM(AG290:AG292)</f>
        <v>-15.595090602020772</v>
      </c>
      <c r="AH293" s="39"/>
      <c r="AI293" s="39">
        <f>SUM(AI290:AI292)</f>
        <v>-11.341884074196926</v>
      </c>
      <c r="AJ293" s="9"/>
      <c r="AK293" s="71"/>
      <c r="AL293" s="13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</row>
    <row r="294" spans="1:50" ht="15">
      <c r="A294" s="15"/>
      <c r="B294" s="8"/>
      <c r="C294" s="9"/>
      <c r="D294" s="9"/>
      <c r="E294" s="9"/>
      <c r="F294" s="9"/>
      <c r="G294" s="9"/>
      <c r="H294" s="9"/>
      <c r="I294" s="9"/>
      <c r="J294" s="39"/>
      <c r="K294" s="9"/>
      <c r="L294" s="9"/>
      <c r="M294" s="9"/>
      <c r="N294" s="39"/>
      <c r="O294" s="9"/>
      <c r="P294" s="9"/>
      <c r="Q294" s="9"/>
      <c r="R294" s="39"/>
      <c r="S294" s="9"/>
      <c r="T294" s="39"/>
      <c r="U294" s="9"/>
      <c r="V294" s="9"/>
      <c r="W294" s="9"/>
      <c r="X294" s="3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71"/>
      <c r="AL294" s="13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</row>
    <row r="295" spans="1:50" ht="15">
      <c r="A295" s="15">
        <f>+A293+1</f>
        <v>12</v>
      </c>
      <c r="B295" s="135" t="s">
        <v>73</v>
      </c>
      <c r="C295" s="9"/>
      <c r="D295" s="9"/>
      <c r="E295" s="9"/>
      <c r="F295" s="9"/>
      <c r="G295" s="9"/>
      <c r="H295" s="9"/>
      <c r="I295" s="9"/>
      <c r="J295" s="39"/>
      <c r="K295" s="9"/>
      <c r="L295" s="9"/>
      <c r="M295" s="9"/>
      <c r="N295" s="39"/>
      <c r="O295" s="9"/>
      <c r="P295" s="9"/>
      <c r="Q295" s="9"/>
      <c r="R295" s="39"/>
      <c r="S295" s="9"/>
      <c r="T295" s="39"/>
      <c r="U295" s="9"/>
      <c r="V295" s="9"/>
      <c r="W295" s="9"/>
      <c r="X295" s="3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71"/>
      <c r="AL295" s="13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</row>
    <row r="296" spans="1:50" ht="15">
      <c r="A296" s="15">
        <f>+A295+1</f>
        <v>13</v>
      </c>
      <c r="B296" s="129" t="s">
        <v>41</v>
      </c>
      <c r="C296" s="39">
        <f>I24</f>
        <v>16671013.075499583</v>
      </c>
      <c r="D296" s="39"/>
      <c r="E296" s="39">
        <f>+E180*$C$296</f>
        <v>11498021.217452198</v>
      </c>
      <c r="F296" s="39"/>
      <c r="G296" s="39">
        <f>+G180*$C$296</f>
        <v>26879.71491142273</v>
      </c>
      <c r="H296" s="39"/>
      <c r="I296" s="39">
        <f>+I180*$C$296</f>
        <v>1574.676548806119</v>
      </c>
      <c r="J296" s="39"/>
      <c r="K296" s="39">
        <f>+K180*$C$296</f>
        <v>65661.7094085971</v>
      </c>
      <c r="L296" s="39"/>
      <c r="M296" s="39">
        <f>+M180*$C$296</f>
        <v>864386.9369989276</v>
      </c>
      <c r="N296" s="39"/>
      <c r="O296" s="39">
        <f>+O180*$C$296</f>
        <v>1773842.3287126592</v>
      </c>
      <c r="P296" s="39"/>
      <c r="Q296" s="39">
        <f>+Q180*$C$296</f>
        <v>1306756.608758983</v>
      </c>
      <c r="R296" s="39"/>
      <c r="S296" s="39">
        <f>+S180*$C$296</f>
        <v>363472.97730485554</v>
      </c>
      <c r="T296" s="39"/>
      <c r="U296" s="39">
        <f>+U180*$C$296</f>
        <v>65118.513898697725</v>
      </c>
      <c r="V296" s="39"/>
      <c r="W296" s="39">
        <f>+W180*$C$296</f>
        <v>146782.25252571495</v>
      </c>
      <c r="X296" s="39"/>
      <c r="Y296" s="39">
        <f>+Y180*$C$296</f>
        <v>72080.91477467435</v>
      </c>
      <c r="Z296" s="39"/>
      <c r="AA296" s="39">
        <f>+AA180*$C$296</f>
        <v>88967.47199054951</v>
      </c>
      <c r="AB296" s="39"/>
      <c r="AC296" s="39">
        <f>+AC180*$C$296</f>
        <v>97788.60842563186</v>
      </c>
      <c r="AD296" s="39"/>
      <c r="AE296" s="39">
        <f>+AE180*$C$296</f>
        <v>7037.186395231694</v>
      </c>
      <c r="AF296" s="39"/>
      <c r="AG296" s="39">
        <f>+AG180*$C$296</f>
        <v>5160.603356503241</v>
      </c>
      <c r="AH296" s="39"/>
      <c r="AI296" s="39">
        <f>+AI180*$C$296</f>
        <v>287481.3540361309</v>
      </c>
      <c r="AJ296" s="39"/>
      <c r="AK296" s="136"/>
      <c r="AL296" s="24"/>
      <c r="AM296" s="8"/>
      <c r="AN296" s="29"/>
      <c r="AO296" s="8"/>
      <c r="AP296" s="8"/>
      <c r="AQ296" s="8"/>
      <c r="AR296" s="8"/>
      <c r="AS296" s="8"/>
      <c r="AT296" s="8"/>
      <c r="AU296" s="8"/>
      <c r="AV296" s="8"/>
      <c r="AW296" s="8"/>
      <c r="AX296" s="8"/>
    </row>
    <row r="297" spans="1:50" ht="15">
      <c r="A297" s="15">
        <f>+A296+1</f>
        <v>14</v>
      </c>
      <c r="B297" s="129" t="s">
        <v>47</v>
      </c>
      <c r="C297" s="39">
        <f>K24</f>
        <v>31000790.935550403</v>
      </c>
      <c r="D297" s="39"/>
      <c r="E297" s="39">
        <f>+E181*$C$297</f>
        <v>5562350.741636353</v>
      </c>
      <c r="F297" s="39"/>
      <c r="G297" s="39">
        <f>+G181*$C$297</f>
        <v>0</v>
      </c>
      <c r="H297" s="39"/>
      <c r="I297" s="39">
        <f>+I181*$C$297</f>
        <v>49676.10191397364</v>
      </c>
      <c r="J297" s="39"/>
      <c r="K297" s="39">
        <f>+K181*$C$297</f>
        <v>0</v>
      </c>
      <c r="L297" s="39"/>
      <c r="M297" s="39">
        <f>+M181*$C$297</f>
        <v>509188.75958706223</v>
      </c>
      <c r="N297" s="39"/>
      <c r="O297" s="39">
        <f>+O181*$C$297</f>
        <v>4276689.781715175</v>
      </c>
      <c r="P297" s="39"/>
      <c r="Q297" s="39">
        <f>+Q181*$C$297</f>
        <v>7562842.002931291</v>
      </c>
      <c r="R297" s="39"/>
      <c r="S297" s="39">
        <f>+S181*$C$297</f>
        <v>4292870.972820829</v>
      </c>
      <c r="T297" s="39"/>
      <c r="U297" s="39">
        <f>+U181*$C$297</f>
        <v>2366761.1499858056</v>
      </c>
      <c r="V297" s="39"/>
      <c r="W297" s="39">
        <f>+W181*$C$297</f>
        <v>2216023.713511669</v>
      </c>
      <c r="X297" s="39"/>
      <c r="Y297" s="39">
        <f>+Y181*$C$297</f>
        <v>1002729.3499774672</v>
      </c>
      <c r="Z297" s="39"/>
      <c r="AA297" s="39">
        <f>+AA181*$C$297</f>
        <v>1067090.3452909787</v>
      </c>
      <c r="AB297" s="39"/>
      <c r="AC297" s="39">
        <f>+AC181*$C$297</f>
        <v>350708.4900394433</v>
      </c>
      <c r="AD297" s="39"/>
      <c r="AE297" s="39">
        <f>+AE181*$C$297</f>
        <v>22705.503553770523</v>
      </c>
      <c r="AF297" s="39"/>
      <c r="AG297" s="39">
        <f>+AG181*$C$297</f>
        <v>73144.5303341007</v>
      </c>
      <c r="AH297" s="39"/>
      <c r="AI297" s="39">
        <f>+AI181*$C$297</f>
        <v>1648009.492252481</v>
      </c>
      <c r="AJ297" s="39"/>
      <c r="AK297" s="136"/>
      <c r="AL297" s="14"/>
      <c r="AM297" s="8"/>
      <c r="AN297" s="12"/>
      <c r="AO297" s="8"/>
      <c r="AP297" s="8"/>
      <c r="AQ297" s="8"/>
      <c r="AR297" s="8"/>
      <c r="AS297" s="8"/>
      <c r="AT297" s="8"/>
      <c r="AU297" s="8"/>
      <c r="AV297" s="8"/>
      <c r="AW297" s="8"/>
      <c r="AX297" s="8"/>
    </row>
    <row r="298" spans="1:50" ht="15">
      <c r="A298" s="15">
        <f>+A297+1</f>
        <v>15</v>
      </c>
      <c r="B298" s="129" t="s">
        <v>50</v>
      </c>
      <c r="C298" s="153">
        <f>M24</f>
        <v>0</v>
      </c>
      <c r="D298" s="39"/>
      <c r="E298" s="153">
        <f>+E182*$C$298</f>
        <v>0</v>
      </c>
      <c r="F298" s="136"/>
      <c r="G298" s="153">
        <f>+G182*$C$298</f>
        <v>0</v>
      </c>
      <c r="H298" s="136"/>
      <c r="I298" s="153">
        <f>+I182*$C$298</f>
        <v>0</v>
      </c>
      <c r="J298" s="39"/>
      <c r="K298" s="153">
        <f>+K182*$C$298</f>
        <v>0</v>
      </c>
      <c r="L298" s="136"/>
      <c r="M298" s="153">
        <f>+M182*$C$298</f>
        <v>0</v>
      </c>
      <c r="N298" s="39"/>
      <c r="O298" s="153">
        <f>+O182*$C$298</f>
        <v>0</v>
      </c>
      <c r="P298" s="136"/>
      <c r="Q298" s="153">
        <f>+Q182*$C$298</f>
        <v>0</v>
      </c>
      <c r="R298" s="39"/>
      <c r="S298" s="153">
        <f>+S182*$C$298</f>
        <v>0</v>
      </c>
      <c r="T298" s="39"/>
      <c r="U298" s="153">
        <f>+U182*$C$298</f>
        <v>0</v>
      </c>
      <c r="V298" s="136"/>
      <c r="W298" s="153">
        <f>+W182*$C$298</f>
        <v>0</v>
      </c>
      <c r="X298" s="39"/>
      <c r="Y298" s="153">
        <f>+Y182*$C$298</f>
        <v>0</v>
      </c>
      <c r="Z298" s="39"/>
      <c r="AA298" s="153">
        <f>+AA182*$C$298</f>
        <v>0</v>
      </c>
      <c r="AB298" s="39"/>
      <c r="AC298" s="153">
        <f>+AC182*$C$298</f>
        <v>0</v>
      </c>
      <c r="AD298" s="39"/>
      <c r="AE298" s="153">
        <f>+AE182*$C$298</f>
        <v>0</v>
      </c>
      <c r="AF298" s="39"/>
      <c r="AG298" s="153">
        <f>+AG182*$C$298</f>
        <v>0</v>
      </c>
      <c r="AH298" s="39"/>
      <c r="AI298" s="153">
        <f>+AI182*$C$298</f>
        <v>0</v>
      </c>
      <c r="AJ298" s="153"/>
      <c r="AK298" s="136"/>
      <c r="AL298" s="24"/>
      <c r="AM298" s="8"/>
      <c r="AN298" s="29"/>
      <c r="AO298" s="8"/>
      <c r="AP298" s="8"/>
      <c r="AQ298" s="8"/>
      <c r="AR298" s="8"/>
      <c r="AS298" s="8"/>
      <c r="AT298" s="8"/>
      <c r="AU298" s="8"/>
      <c r="AV298" s="8"/>
      <c r="AW298" s="8"/>
      <c r="AX298" s="8"/>
    </row>
    <row r="299" spans="1:50" ht="15">
      <c r="A299" s="15">
        <f>+A298+1</f>
        <v>16</v>
      </c>
      <c r="B299" s="129" t="s">
        <v>65</v>
      </c>
      <c r="C299" s="39">
        <f>SUM(C296:C298)</f>
        <v>47671804.011049986</v>
      </c>
      <c r="D299" s="39"/>
      <c r="E299" s="39">
        <f>SUM(E296:E298)</f>
        <v>17060371.95908855</v>
      </c>
      <c r="F299" s="39"/>
      <c r="G299" s="39">
        <f>SUM(G296:G298)</f>
        <v>26879.71491142273</v>
      </c>
      <c r="H299" s="39"/>
      <c r="I299" s="39">
        <f>SUM(I296:I298)</f>
        <v>51250.77846277976</v>
      </c>
      <c r="J299" s="39"/>
      <c r="K299" s="39">
        <f>SUM(K296:K298)</f>
        <v>65661.7094085971</v>
      </c>
      <c r="L299" s="39"/>
      <c r="M299" s="39">
        <f>SUM(M296:M298)</f>
        <v>1373575.6965859898</v>
      </c>
      <c r="N299" s="39"/>
      <c r="O299" s="39">
        <f>SUM(O296:O298)</f>
        <v>6050532.110427834</v>
      </c>
      <c r="P299" s="39"/>
      <c r="Q299" s="39">
        <f>SUM(Q296:Q298)</f>
        <v>8869598.611690274</v>
      </c>
      <c r="R299" s="39"/>
      <c r="S299" s="39">
        <f>SUM(S296:S298)</f>
        <v>4656343.950125684</v>
      </c>
      <c r="T299" s="39"/>
      <c r="U299" s="39">
        <f>SUM(U296:U298)</f>
        <v>2431879.6638845033</v>
      </c>
      <c r="V299" s="39"/>
      <c r="W299" s="39">
        <f>SUM(W296:W298)</f>
        <v>2362805.9660373842</v>
      </c>
      <c r="X299" s="39"/>
      <c r="Y299" s="39">
        <f>SUM(Y296:Y298)</f>
        <v>1074810.2647521417</v>
      </c>
      <c r="Z299" s="39"/>
      <c r="AA299" s="39">
        <f>SUM(AA296:AA298)</f>
        <v>1156057.8172815281</v>
      </c>
      <c r="AB299" s="39"/>
      <c r="AC299" s="39">
        <f>SUM(AC296:AC298)</f>
        <v>448497.09846507513</v>
      </c>
      <c r="AD299" s="39"/>
      <c r="AE299" s="39">
        <f>SUM(AE296:AE298)</f>
        <v>29742.68994900222</v>
      </c>
      <c r="AF299" s="39"/>
      <c r="AG299" s="39">
        <f>SUM(AG296:AG298)</f>
        <v>78305.13369060394</v>
      </c>
      <c r="AH299" s="39"/>
      <c r="AI299" s="39">
        <f>SUM(AI296:AI298)</f>
        <v>1935490.8462886119</v>
      </c>
      <c r="AJ299" s="39"/>
      <c r="AK299" s="136"/>
      <c r="AL299" s="14"/>
      <c r="AM299" s="8"/>
      <c r="AN299" s="27"/>
      <c r="AO299" s="8"/>
      <c r="AP299" s="8"/>
      <c r="AQ299" s="8"/>
      <c r="AR299" s="8"/>
      <c r="AS299" s="8"/>
      <c r="AT299" s="8"/>
      <c r="AU299" s="8"/>
      <c r="AV299" s="8"/>
      <c r="AW299" s="8"/>
      <c r="AX299" s="8"/>
    </row>
    <row r="300" spans="1:50" ht="15">
      <c r="A300" s="15"/>
      <c r="B300" s="8"/>
      <c r="C300" s="9"/>
      <c r="D300" s="9"/>
      <c r="E300" s="9"/>
      <c r="F300" s="9"/>
      <c r="G300" s="9"/>
      <c r="H300" s="9"/>
      <c r="I300" s="9"/>
      <c r="J300" s="39"/>
      <c r="K300" s="9"/>
      <c r="L300" s="9"/>
      <c r="M300" s="9"/>
      <c r="N300" s="39"/>
      <c r="O300" s="9"/>
      <c r="P300" s="9"/>
      <c r="Q300" s="9"/>
      <c r="R300" s="39"/>
      <c r="S300" s="9"/>
      <c r="T300" s="39"/>
      <c r="U300" s="9"/>
      <c r="V300" s="9"/>
      <c r="W300" s="9"/>
      <c r="X300" s="3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71"/>
      <c r="AL300" s="13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</row>
    <row r="301" spans="1:50" ht="15">
      <c r="A301" s="15">
        <f>+A299+1</f>
        <v>17</v>
      </c>
      <c r="B301" s="135" t="s">
        <v>16</v>
      </c>
      <c r="C301" s="9"/>
      <c r="D301" s="9"/>
      <c r="E301" s="9"/>
      <c r="F301" s="9"/>
      <c r="G301" s="9"/>
      <c r="H301" s="9"/>
      <c r="I301" s="9"/>
      <c r="J301" s="39"/>
      <c r="K301" s="9"/>
      <c r="L301" s="9"/>
      <c r="M301" s="9"/>
      <c r="N301" s="39"/>
      <c r="O301" s="9"/>
      <c r="P301" s="9"/>
      <c r="Q301" s="9"/>
      <c r="R301" s="39"/>
      <c r="S301" s="9"/>
      <c r="T301" s="39"/>
      <c r="U301" s="9"/>
      <c r="V301" s="9"/>
      <c r="W301" s="9"/>
      <c r="X301" s="3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71"/>
      <c r="AL301" s="13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</row>
    <row r="302" spans="1:50" ht="15">
      <c r="A302" s="15">
        <f>+A301+1</f>
        <v>18</v>
      </c>
      <c r="B302" s="129" t="s">
        <v>41</v>
      </c>
      <c r="C302" s="39">
        <f>I25</f>
        <v>5847105.692884105</v>
      </c>
      <c r="D302" s="39"/>
      <c r="E302" s="39">
        <f>+E180*$C$302</f>
        <v>4032757.0383992568</v>
      </c>
      <c r="F302" s="39"/>
      <c r="G302" s="39">
        <f>+G180*$C$302</f>
        <v>9427.653458724897</v>
      </c>
      <c r="H302" s="39"/>
      <c r="I302" s="39">
        <f>+I180*$C$302</f>
        <v>552.293983051743</v>
      </c>
      <c r="J302" s="39"/>
      <c r="K302" s="39">
        <f>+K180*$C$302</f>
        <v>23029.851464261093</v>
      </c>
      <c r="L302" s="39"/>
      <c r="M302" s="39">
        <f>+M180*$C$302</f>
        <v>303170.6445968117</v>
      </c>
      <c r="N302" s="39"/>
      <c r="O302" s="39">
        <f>+O180*$C$302</f>
        <v>622148.3680399413</v>
      </c>
      <c r="P302" s="39"/>
      <c r="Q302" s="39">
        <f>+Q180*$C$302</f>
        <v>458325.11627729045</v>
      </c>
      <c r="R302" s="39"/>
      <c r="S302" s="39">
        <f>+S180*$C$302</f>
        <v>127482.64938572534</v>
      </c>
      <c r="T302" s="39"/>
      <c r="U302" s="39">
        <f>+U180*$C$302</f>
        <v>22839.333854809425</v>
      </c>
      <c r="V302" s="39"/>
      <c r="W302" s="39">
        <f>+W180*$C$302</f>
        <v>51481.65504223509</v>
      </c>
      <c r="X302" s="39"/>
      <c r="Y302" s="39">
        <f>+Y180*$C$302</f>
        <v>25281.290658136102</v>
      </c>
      <c r="Z302" s="39"/>
      <c r="AA302" s="39">
        <f>+AA180*$C$302</f>
        <v>31203.995198225843</v>
      </c>
      <c r="AB302" s="39"/>
      <c r="AC302" s="39">
        <f>+AC180*$C$302</f>
        <v>34297.87538617187</v>
      </c>
      <c r="AD302" s="39"/>
      <c r="AE302" s="39">
        <f>+AE180*$C$302</f>
        <v>2468.186693100098</v>
      </c>
      <c r="AF302" s="39"/>
      <c r="AG302" s="39">
        <f>+AG180*$C$302</f>
        <v>1810.0035749400715</v>
      </c>
      <c r="AH302" s="39"/>
      <c r="AI302" s="39">
        <f>+AI180*$C$302</f>
        <v>100829.73687142399</v>
      </c>
      <c r="AJ302" s="39"/>
      <c r="AK302" s="136"/>
      <c r="AL302" s="24"/>
      <c r="AM302" s="8"/>
      <c r="AN302" s="29"/>
      <c r="AO302" s="8"/>
      <c r="AP302" s="8"/>
      <c r="AQ302" s="8"/>
      <c r="AR302" s="8"/>
      <c r="AS302" s="8"/>
      <c r="AT302" s="8"/>
      <c r="AU302" s="8"/>
      <c r="AV302" s="8"/>
      <c r="AW302" s="8"/>
      <c r="AX302" s="8"/>
    </row>
    <row r="303" spans="1:50" ht="15">
      <c r="A303" s="15">
        <f>+A302+1</f>
        <v>19</v>
      </c>
      <c r="B303" s="129" t="s">
        <v>47</v>
      </c>
      <c r="C303" s="39">
        <f>K25</f>
        <v>10873058.54432813</v>
      </c>
      <c r="D303" s="39"/>
      <c r="E303" s="39">
        <f>+E181*$C$303</f>
        <v>1950910.393984284</v>
      </c>
      <c r="F303" s="39"/>
      <c r="G303" s="39">
        <f>+G181*$C$303</f>
        <v>0</v>
      </c>
      <c r="H303" s="39"/>
      <c r="I303" s="39">
        <f>+I181*$C$303</f>
        <v>17423.14141234527</v>
      </c>
      <c r="J303" s="39"/>
      <c r="K303" s="39">
        <f>+K181*$C$303</f>
        <v>0</v>
      </c>
      <c r="L303" s="39"/>
      <c r="M303" s="39">
        <f>+M181*$C$303</f>
        <v>178590.25612004608</v>
      </c>
      <c r="N303" s="39"/>
      <c r="O303" s="39">
        <f>+O181*$C$303</f>
        <v>1499984.25747241</v>
      </c>
      <c r="P303" s="39"/>
      <c r="Q303" s="39">
        <f>+Q181*$C$303</f>
        <v>2652552.4471401935</v>
      </c>
      <c r="R303" s="39"/>
      <c r="S303" s="39">
        <f>+S181*$C$303</f>
        <v>1505659.5655177599</v>
      </c>
      <c r="T303" s="39"/>
      <c r="U303" s="39">
        <f>+U181*$C$303</f>
        <v>830105.6769079542</v>
      </c>
      <c r="V303" s="39"/>
      <c r="W303" s="39">
        <f>+W181*$C$303</f>
        <v>777236.800916609</v>
      </c>
      <c r="X303" s="39"/>
      <c r="Y303" s="39">
        <f>+Y181*$C$303</f>
        <v>351692.15356754966</v>
      </c>
      <c r="Z303" s="39"/>
      <c r="AA303" s="39">
        <f>+AA181*$C$303</f>
        <v>374265.79923581344</v>
      </c>
      <c r="AB303" s="39"/>
      <c r="AC303" s="39">
        <f>+AC181*$C$303</f>
        <v>123005.69853586813</v>
      </c>
      <c r="AD303" s="39"/>
      <c r="AE303" s="39">
        <f>+AE181*$C$303</f>
        <v>7963.611958541603</v>
      </c>
      <c r="AF303" s="39"/>
      <c r="AG303" s="39">
        <f>+AG181*$C$303</f>
        <v>25654.337728784834</v>
      </c>
      <c r="AH303" s="39"/>
      <c r="AI303" s="39">
        <f>+AI181*$C$303</f>
        <v>578014.4038299699</v>
      </c>
      <c r="AJ303" s="39"/>
      <c r="AK303" s="136"/>
      <c r="AL303" s="24"/>
      <c r="AM303" s="8"/>
      <c r="AN303" s="12"/>
      <c r="AO303" s="8"/>
      <c r="AP303" s="8"/>
      <c r="AQ303" s="8"/>
      <c r="AR303" s="8"/>
      <c r="AS303" s="8"/>
      <c r="AT303" s="8"/>
      <c r="AU303" s="8"/>
      <c r="AV303" s="8"/>
      <c r="AW303" s="8"/>
      <c r="AX303" s="8"/>
    </row>
    <row r="304" spans="1:50" ht="15">
      <c r="A304" s="15">
        <f>+A303+1</f>
        <v>20</v>
      </c>
      <c r="B304" s="129" t="s">
        <v>50</v>
      </c>
      <c r="C304" s="153">
        <f>M25</f>
        <v>0</v>
      </c>
      <c r="D304" s="39"/>
      <c r="E304" s="153">
        <f>+E182*$C$304</f>
        <v>0</v>
      </c>
      <c r="F304" s="136"/>
      <c r="G304" s="153">
        <f>+G182*$C$304</f>
        <v>0</v>
      </c>
      <c r="H304" s="136"/>
      <c r="I304" s="153">
        <f>+I182*$C$304</f>
        <v>0</v>
      </c>
      <c r="J304" s="39"/>
      <c r="K304" s="153">
        <f>+K182*$C$304</f>
        <v>0</v>
      </c>
      <c r="L304" s="136"/>
      <c r="M304" s="153">
        <f>+M182*$C$304</f>
        <v>0</v>
      </c>
      <c r="N304" s="39"/>
      <c r="O304" s="153">
        <f>+O182*$C$304</f>
        <v>0</v>
      </c>
      <c r="P304" s="136"/>
      <c r="Q304" s="153">
        <f>+Q182*$C$304</f>
        <v>0</v>
      </c>
      <c r="R304" s="39"/>
      <c r="S304" s="153">
        <f>+S182*$C$304</f>
        <v>0</v>
      </c>
      <c r="T304" s="39"/>
      <c r="U304" s="153">
        <f>+U182*$C$304</f>
        <v>0</v>
      </c>
      <c r="V304" s="136"/>
      <c r="W304" s="153">
        <f>+W182*$C$304</f>
        <v>0</v>
      </c>
      <c r="X304" s="39"/>
      <c r="Y304" s="153">
        <f>+Y182*$C$304</f>
        <v>0</v>
      </c>
      <c r="Z304" s="39"/>
      <c r="AA304" s="153">
        <f>+AA182*$C$304</f>
        <v>0</v>
      </c>
      <c r="AB304" s="39"/>
      <c r="AC304" s="153">
        <f>+AC182*$C$304</f>
        <v>0</v>
      </c>
      <c r="AD304" s="39"/>
      <c r="AE304" s="153">
        <f>+AE182*$C$304</f>
        <v>0</v>
      </c>
      <c r="AF304" s="39"/>
      <c r="AG304" s="153">
        <f>+AG182*$C$304</f>
        <v>0</v>
      </c>
      <c r="AH304" s="39"/>
      <c r="AI304" s="153">
        <f>+AI182*$C$304</f>
        <v>0</v>
      </c>
      <c r="AJ304" s="153"/>
      <c r="AK304" s="136"/>
      <c r="AL304" s="24"/>
      <c r="AM304" s="8"/>
      <c r="AN304" s="29"/>
      <c r="AO304" s="8"/>
      <c r="AP304" s="8"/>
      <c r="AQ304" s="8"/>
      <c r="AR304" s="8"/>
      <c r="AS304" s="8"/>
      <c r="AT304" s="8"/>
      <c r="AU304" s="8"/>
      <c r="AV304" s="8"/>
      <c r="AW304" s="8"/>
      <c r="AX304" s="8"/>
    </row>
    <row r="305" spans="1:50" ht="15">
      <c r="A305" s="15">
        <f>+A304+1</f>
        <v>21</v>
      </c>
      <c r="B305" s="129" t="s">
        <v>65</v>
      </c>
      <c r="C305" s="39">
        <f>SUM(C302:C304)</f>
        <v>16720164.237212237</v>
      </c>
      <c r="D305" s="39"/>
      <c r="E305" s="39">
        <f>SUM(E302:E304)</f>
        <v>5983667.432383541</v>
      </c>
      <c r="F305" s="39"/>
      <c r="G305" s="39">
        <f>SUM(G302:G304)</f>
        <v>9427.653458724897</v>
      </c>
      <c r="H305" s="39"/>
      <c r="I305" s="39">
        <f>SUM(I302:I304)</f>
        <v>17975.435395397013</v>
      </c>
      <c r="J305" s="9"/>
      <c r="K305" s="39">
        <f>SUM(K302:K304)</f>
        <v>23029.851464261093</v>
      </c>
      <c r="L305" s="39"/>
      <c r="M305" s="39">
        <f>SUM(M302:M304)</f>
        <v>481760.90071685775</v>
      </c>
      <c r="N305" s="9"/>
      <c r="O305" s="39">
        <f>SUM(O302:O304)</f>
        <v>2122132.6255123513</v>
      </c>
      <c r="P305" s="39"/>
      <c r="Q305" s="39">
        <f>SUM(Q302:Q304)</f>
        <v>3110877.563417484</v>
      </c>
      <c r="R305" s="9"/>
      <c r="S305" s="39">
        <f>SUM(S302:S304)</f>
        <v>1633142.2149034853</v>
      </c>
      <c r="T305" s="9"/>
      <c r="U305" s="39">
        <f>SUM(U302:U304)</f>
        <v>852945.0107627636</v>
      </c>
      <c r="V305" s="39"/>
      <c r="W305" s="39">
        <f>SUM(W302:W304)</f>
        <v>828718.455958844</v>
      </c>
      <c r="X305" s="9"/>
      <c r="Y305" s="39">
        <f>SUM(Y302:Y304)</f>
        <v>376973.4442256858</v>
      </c>
      <c r="Z305" s="39"/>
      <c r="AA305" s="39">
        <f>SUM(AA302:AA304)</f>
        <v>405469.7944340393</v>
      </c>
      <c r="AB305" s="39"/>
      <c r="AC305" s="39">
        <f>SUM(AC302:AC304)</f>
        <v>157303.57392204</v>
      </c>
      <c r="AD305" s="39"/>
      <c r="AE305" s="39">
        <f>SUM(AE302:AE304)</f>
        <v>10431.7986516417</v>
      </c>
      <c r="AF305" s="39"/>
      <c r="AG305" s="39">
        <f>SUM(AG302:AG304)</f>
        <v>27464.341303724905</v>
      </c>
      <c r="AH305" s="39"/>
      <c r="AI305" s="39">
        <f>SUM(AI302:AI304)</f>
        <v>678844.140701394</v>
      </c>
      <c r="AJ305" s="39"/>
      <c r="AK305" s="136"/>
      <c r="AL305" s="14"/>
      <c r="AM305" s="8"/>
      <c r="AN305" s="27"/>
      <c r="AO305" s="8"/>
      <c r="AP305" s="8"/>
      <c r="AQ305" s="8"/>
      <c r="AR305" s="8"/>
      <c r="AS305" s="8"/>
      <c r="AT305" s="8"/>
      <c r="AU305" s="8"/>
      <c r="AV305" s="8"/>
      <c r="AW305" s="8"/>
      <c r="AX305" s="8"/>
    </row>
    <row r="306" spans="1:50" ht="15">
      <c r="A306" s="15"/>
      <c r="B306" s="8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71"/>
      <c r="AL306" s="13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</row>
    <row r="307" spans="1:50" ht="15">
      <c r="A307" s="15">
        <f>+A305+1</f>
        <v>22</v>
      </c>
      <c r="B307" s="135" t="s">
        <v>74</v>
      </c>
      <c r="C307" s="9"/>
      <c r="D307" s="9"/>
      <c r="E307" s="3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39"/>
      <c r="AJ307" s="39"/>
      <c r="AK307" s="136"/>
      <c r="AL307" s="13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</row>
    <row r="308" spans="1:50" ht="15">
      <c r="A308" s="15">
        <f>+A307+1</f>
        <v>23</v>
      </c>
      <c r="B308" s="129" t="s">
        <v>41</v>
      </c>
      <c r="C308" s="39">
        <f>SUM(E308:AI308)</f>
        <v>-9780512.59079229</v>
      </c>
      <c r="D308" s="39"/>
      <c r="E308" s="39">
        <f>-E428</f>
        <v>-8031861.520783558</v>
      </c>
      <c r="F308" s="39"/>
      <c r="G308" s="39">
        <f>-G428</f>
        <v>-18776.63502298941</v>
      </c>
      <c r="H308" s="39"/>
      <c r="I308" s="39">
        <f>-I428</f>
        <v>-1925.1816368537256</v>
      </c>
      <c r="J308" s="39"/>
      <c r="K308" s="39">
        <f>-K428</f>
        <v>-24202.283434732548</v>
      </c>
      <c r="L308" s="39"/>
      <c r="M308" s="39">
        <f>-M428</f>
        <v>-318604.8282165081</v>
      </c>
      <c r="N308" s="39"/>
      <c r="O308" s="39">
        <f>-O428</f>
        <v>-407278.8031696607</v>
      </c>
      <c r="P308" s="39"/>
      <c r="Q308" s="39">
        <f>-Q428</f>
        <v>-185295.40844220016</v>
      </c>
      <c r="R308" s="39"/>
      <c r="S308" s="39">
        <f>-S428</f>
        <v>-25293.443946347004</v>
      </c>
      <c r="T308" s="39"/>
      <c r="U308" s="39">
        <f>-U428</f>
        <v>-3758.687957666798</v>
      </c>
      <c r="V308" s="39"/>
      <c r="W308" s="39">
        <f>-W428</f>
        <v>-343473.4780150518</v>
      </c>
      <c r="X308" s="39"/>
      <c r="Y308" s="39">
        <f>-Y428</f>
        <v>-114005.52457589304</v>
      </c>
      <c r="Z308" s="9"/>
      <c r="AA308" s="39">
        <f>-AA428</f>
        <v>-86494.20561838591</v>
      </c>
      <c r="AB308" s="9"/>
      <c r="AC308" s="39">
        <f>-AC428</f>
        <v>-56120.28904477665</v>
      </c>
      <c r="AD308" s="39"/>
      <c r="AE308" s="39">
        <f>-AE428</f>
        <v>-458.376580203268</v>
      </c>
      <c r="AF308" s="39"/>
      <c r="AG308" s="39">
        <f>-AG428</f>
        <v>-336.1428254823966</v>
      </c>
      <c r="AH308" s="39"/>
      <c r="AI308" s="39">
        <f>-AI428</f>
        <v>-162627.78152198438</v>
      </c>
      <c r="AJ308" s="39"/>
      <c r="AK308" s="136"/>
      <c r="AL308" s="14"/>
      <c r="AM308" s="8"/>
      <c r="AN308" s="12"/>
      <c r="AO308" s="8"/>
      <c r="AP308" s="8"/>
      <c r="AQ308" s="8"/>
      <c r="AR308" s="8"/>
      <c r="AS308" s="8"/>
      <c r="AT308" s="8"/>
      <c r="AU308" s="8"/>
      <c r="AV308" s="8"/>
      <c r="AW308" s="8"/>
      <c r="AX308" s="8"/>
    </row>
    <row r="309" spans="1:50" ht="15">
      <c r="A309" s="15"/>
      <c r="B309" s="8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71"/>
      <c r="AL309" s="13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</row>
    <row r="310" spans="1:50" ht="15">
      <c r="A310" s="15">
        <f>+A308+1</f>
        <v>24</v>
      </c>
      <c r="B310" s="135" t="s">
        <v>75</v>
      </c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71"/>
      <c r="AL310" s="13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</row>
    <row r="311" spans="1:50" ht="15">
      <c r="A311" s="15">
        <f aca="true" t="shared" si="8" ref="A311:A316">+A310+1</f>
        <v>25</v>
      </c>
      <c r="B311" s="129" t="s">
        <v>41</v>
      </c>
      <c r="C311" s="39">
        <f>C224+C244+C257+C283+C290+C296+C302+C308</f>
        <v>82793467.4252741</v>
      </c>
      <c r="D311" s="39"/>
      <c r="E311" s="39">
        <f>E224+E244+E257+E283+E290+E296+E302+E308</f>
        <v>54328869.48883012</v>
      </c>
      <c r="F311" s="39"/>
      <c r="G311" s="39">
        <f>G224+G244+G257+G283+G290+G296+G302+G308</f>
        <v>121708.07459950651</v>
      </c>
      <c r="H311" s="39"/>
      <c r="I311" s="39">
        <f>I224+I244+I257+I283+I290+I296+I302+I308</f>
        <v>16401.442048871188</v>
      </c>
      <c r="J311" s="39"/>
      <c r="K311" s="39">
        <f>K224+K244+K257+K283+K290+K296+K302+K308</f>
        <v>319255.83695941616</v>
      </c>
      <c r="L311" s="39"/>
      <c r="M311" s="39">
        <f>M224+M244+M257+M283+M290+M296+M302+M308</f>
        <v>4301787.9950028565</v>
      </c>
      <c r="N311" s="39"/>
      <c r="O311" s="39">
        <f>O224+O244+O257+O283+O290+O296+O302+O308</f>
        <v>9672608.787670935</v>
      </c>
      <c r="P311" s="39"/>
      <c r="Q311" s="39">
        <f>Q224+Q244+Q257+Q283+Q290+Q296+Q302+Q308</f>
        <v>8163608.773541869</v>
      </c>
      <c r="R311" s="39"/>
      <c r="S311" s="39">
        <f>S224+S244+S257+S283+S290+S296+S302+S308</f>
        <v>2768929.5069737667</v>
      </c>
      <c r="T311" s="39"/>
      <c r="U311" s="39">
        <f>U224+U244+U257+U283+U290+U296+U302+U308</f>
        <v>847603.7738380956</v>
      </c>
      <c r="V311" s="39"/>
      <c r="W311" s="39">
        <f>W224+W244+W257+W283+W290+W296+W302+W308</f>
        <v>299763.42450367694</v>
      </c>
      <c r="X311" s="39"/>
      <c r="Y311" s="39">
        <f>Y224+Y244+Y257+Y283+Y290+Y296+Y302+Y308</f>
        <v>223797.59505913281</v>
      </c>
      <c r="Z311" s="39"/>
      <c r="AA311" s="39">
        <f>AA224+AA244+AA257+AA283+AA290+AA296+AA302+AA308</f>
        <v>381343.3477192059</v>
      </c>
      <c r="AB311" s="39"/>
      <c r="AC311" s="39">
        <f>AC224+AC244+AC257+AC283+AC290+AC296+AC302+AC308</f>
        <v>401981.86753442645</v>
      </c>
      <c r="AD311" s="39"/>
      <c r="AE311" s="39">
        <f>AE224+AE244+AE257+AE283+AE290+AE296+AE302+AE308</f>
        <v>37129.831140262824</v>
      </c>
      <c r="AF311" s="39"/>
      <c r="AG311" s="39">
        <f>AG224+AG244+AG257+AG283+AG290+AG296+AG302+AG308</f>
        <v>29888.396017456373</v>
      </c>
      <c r="AH311" s="39"/>
      <c r="AI311" s="39">
        <f>AI224+AI244+AI257+AI283+AI290+AI296+AI302+AI308</f>
        <v>878789.2838345178</v>
      </c>
      <c r="AJ311" s="39"/>
      <c r="AK311" s="136"/>
      <c r="AL311" s="20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</row>
    <row r="312" spans="1:50" ht="15">
      <c r="A312" s="15">
        <f t="shared" si="8"/>
        <v>26</v>
      </c>
      <c r="B312" s="129" t="s">
        <v>47</v>
      </c>
      <c r="C312" s="39">
        <f>C232+C245+C249+C252+C254+C258+C284+C291+C297+C303</f>
        <v>96932233.76097202</v>
      </c>
      <c r="D312" s="39"/>
      <c r="E312" s="39">
        <f>E232+E245+E249+E252+E254+E258+E284+E291+E297+E303</f>
        <v>17091005.519849572</v>
      </c>
      <c r="F312" s="39"/>
      <c r="G312" s="39">
        <f>G232+G245+G249+G252+G254+G258+G284+G291+G297+G303</f>
        <v>0</v>
      </c>
      <c r="H312" s="39"/>
      <c r="I312" s="39">
        <f>I232+I245+I249+I252+I254+I258+I284+I291+I297+I303</f>
        <v>152635.92165469367</v>
      </c>
      <c r="J312" s="39"/>
      <c r="K312" s="39">
        <f>K232+K245+K249+K252+K254+K258+K284+K291+K297+K303</f>
        <v>0</v>
      </c>
      <c r="L312" s="39"/>
      <c r="M312" s="39">
        <f>M232+M245+M249+M252+M254+M258+M284+M291+M297+M303</f>
        <v>1564544.9747722475</v>
      </c>
      <c r="N312" s="39"/>
      <c r="O312" s="39">
        <f>O232+O245+O249+O252+O254+O258+O284+O291+O297+O303</f>
        <v>13140654.385357149</v>
      </c>
      <c r="P312" s="39"/>
      <c r="Q312" s="39">
        <f>Q232+Q245+Q249+Q252+Q254+Q258+Q284+Q291+Q297+Q303</f>
        <v>23237760.511992406</v>
      </c>
      <c r="R312" s="39"/>
      <c r="S312" s="39">
        <f>S232+S245+S249+S252+S254+S258+S284+S291+S297+S303</f>
        <v>13190373.081525367</v>
      </c>
      <c r="T312" s="39"/>
      <c r="U312" s="39">
        <f>U232+U245+U249+U252+U254+U258+U284+U291+U297+U303</f>
        <v>7272164.190543854</v>
      </c>
      <c r="V312" s="39"/>
      <c r="W312" s="39">
        <f>W232+W245+W249+W252+W254+W258+W284+W291+W297+W303</f>
        <v>7363008.071602117</v>
      </c>
      <c r="X312" s="39"/>
      <c r="Y312" s="39">
        <f>Y232+Y245+Y249+Y252+Y254+Y258+Y284+Y291+Y297+Y303</f>
        <v>3322475.386612471</v>
      </c>
      <c r="Z312" s="39"/>
      <c r="AA312" s="39">
        <f>AA232+AA245+AA249+AA252+AA254+AA258+AA284+AA291+AA297+AA303</f>
        <v>4000283.6687413193</v>
      </c>
      <c r="AB312" s="39"/>
      <c r="AC312" s="39">
        <f>AC232+AC245+AC249+AC252+AC254+AC258+AC284+AC291+AC297+AC303</f>
        <v>852622.8422493028</v>
      </c>
      <c r="AD312" s="39"/>
      <c r="AE312" s="39">
        <f>AE232+AE245+AE249+AE252+AE254+AE258+AE284+AE291+AE297+AE303</f>
        <v>69765.44712717904</v>
      </c>
      <c r="AF312" s="39"/>
      <c r="AG312" s="39">
        <f>AG232+AG245+AG249+AG252+AG254+AG258+AG284+AG291+AG297+AG303</f>
        <v>224745.5490947981</v>
      </c>
      <c r="AH312" s="39"/>
      <c r="AI312" s="39">
        <f>AI232+AI245+AI249+AI252+AI254+AI258+AI284+AI291+AI297+AI303</f>
        <v>5450194.209849551</v>
      </c>
      <c r="AJ312" s="39"/>
      <c r="AK312" s="136"/>
      <c r="AL312" s="20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</row>
    <row r="313" spans="1:50" ht="15">
      <c r="A313" s="15">
        <f t="shared" si="8"/>
        <v>27</v>
      </c>
      <c r="B313" s="129" t="s">
        <v>50</v>
      </c>
      <c r="C313" s="153">
        <f>C239+C262+C292+C298+C304</f>
        <v>0</v>
      </c>
      <c r="D313" s="39"/>
      <c r="E313" s="153">
        <f>E239+E262+E292+E298+E304</f>
        <v>0</v>
      </c>
      <c r="F313" s="136"/>
      <c r="G313" s="153">
        <f>G239+G262+G292+G298+G304</f>
        <v>0</v>
      </c>
      <c r="H313" s="136"/>
      <c r="I313" s="153">
        <f>I239+I262+I292+I298+I304</f>
        <v>0</v>
      </c>
      <c r="J313" s="39"/>
      <c r="K313" s="153">
        <f>K239+K262+K292+K298+K304</f>
        <v>0</v>
      </c>
      <c r="L313" s="136"/>
      <c r="M313" s="153">
        <f>M239+M262+M292+M298+M304</f>
        <v>0</v>
      </c>
      <c r="N313" s="39"/>
      <c r="O313" s="153">
        <f>O239+O262+O292+O298+O304</f>
        <v>0</v>
      </c>
      <c r="P313" s="136"/>
      <c r="Q313" s="153">
        <f>Q239+Q262+Q292+Q298+Q304</f>
        <v>0</v>
      </c>
      <c r="R313" s="39"/>
      <c r="S313" s="153">
        <f>S239+S262+S292+S298+S304</f>
        <v>0</v>
      </c>
      <c r="T313" s="39"/>
      <c r="U313" s="153">
        <f>U239+U262+U292+U298+U304</f>
        <v>0</v>
      </c>
      <c r="V313" s="136"/>
      <c r="W313" s="153">
        <f>W239+W262+W292+W298+W304</f>
        <v>0</v>
      </c>
      <c r="X313" s="39"/>
      <c r="Y313" s="153">
        <f>Y239+Y262+Y292+Y298+Y304</f>
        <v>0</v>
      </c>
      <c r="Z313" s="39"/>
      <c r="AA313" s="153">
        <f>AA239+AA262+AA292+AA298+AA304</f>
        <v>0</v>
      </c>
      <c r="AB313" s="39"/>
      <c r="AC313" s="153">
        <f>AC239+AC262+AC292+AC298+AC304</f>
        <v>0</v>
      </c>
      <c r="AD313" s="39"/>
      <c r="AE313" s="153">
        <f>AE239+AE262+AE292+AE298+AE304</f>
        <v>0</v>
      </c>
      <c r="AF313" s="39"/>
      <c r="AG313" s="153">
        <f>AG239+AG262+AG292+AG298+AG304</f>
        <v>0</v>
      </c>
      <c r="AH313" s="39"/>
      <c r="AI313" s="153">
        <f>AI239+AI262+AI292+AI298+AI304</f>
        <v>0</v>
      </c>
      <c r="AJ313" s="153"/>
      <c r="AK313" s="136"/>
      <c r="AL313" s="14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</row>
    <row r="314" spans="1:50" ht="15">
      <c r="A314" s="15">
        <f t="shared" si="8"/>
        <v>28</v>
      </c>
      <c r="B314" s="129" t="s">
        <v>71</v>
      </c>
      <c r="C314" s="39">
        <f>C311+C312+C313</f>
        <v>179725701.18624613</v>
      </c>
      <c r="D314" s="39"/>
      <c r="E314" s="39">
        <f>E311+E312+E313</f>
        <v>71419875.00867969</v>
      </c>
      <c r="F314" s="39"/>
      <c r="G314" s="39">
        <f>G311+G312+G313</f>
        <v>121708.07459950651</v>
      </c>
      <c r="H314" s="39"/>
      <c r="I314" s="39">
        <f>I311+I312+I313</f>
        <v>169037.36370356486</v>
      </c>
      <c r="J314" s="39"/>
      <c r="K314" s="39">
        <f>K311+K312+K313</f>
        <v>319255.83695941616</v>
      </c>
      <c r="L314" s="39"/>
      <c r="M314" s="39">
        <f>M311+M312+M313</f>
        <v>5866332.969775104</v>
      </c>
      <c r="N314" s="39"/>
      <c r="O314" s="39">
        <f>O311+O312+O313</f>
        <v>22813263.17302808</v>
      </c>
      <c r="P314" s="39"/>
      <c r="Q314" s="39">
        <f>Q311+Q312+Q313</f>
        <v>31401369.285534274</v>
      </c>
      <c r="R314" s="39"/>
      <c r="S314" s="39">
        <f>S311+S312+S313</f>
        <v>15959302.588499133</v>
      </c>
      <c r="T314" s="39"/>
      <c r="U314" s="39">
        <f>U311+U312+U313</f>
        <v>8119767.964381949</v>
      </c>
      <c r="V314" s="39"/>
      <c r="W314" s="39">
        <f>W311+W312+W313</f>
        <v>7662771.496105794</v>
      </c>
      <c r="X314" s="39"/>
      <c r="Y314" s="39">
        <f>Y311+Y312+Y313</f>
        <v>3546272.981671604</v>
      </c>
      <c r="Z314" s="39"/>
      <c r="AA314" s="39">
        <f>AA311+AA312+AA313</f>
        <v>4381627.016460525</v>
      </c>
      <c r="AB314" s="39"/>
      <c r="AC314" s="39">
        <f>AC311+AC312+AC313</f>
        <v>1254604.7097837292</v>
      </c>
      <c r="AD314" s="39"/>
      <c r="AE314" s="39">
        <f>AE311+AE312+AE313</f>
        <v>106895.27826744187</v>
      </c>
      <c r="AF314" s="39"/>
      <c r="AG314" s="39">
        <f>AG311+AG312+AG313</f>
        <v>254633.94511225447</v>
      </c>
      <c r="AH314" s="39"/>
      <c r="AI314" s="39">
        <f>AI311+AI312+AI313</f>
        <v>6328983.493684069</v>
      </c>
      <c r="AJ314" s="39"/>
      <c r="AK314" s="136"/>
      <c r="AL314" s="14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</row>
    <row r="315" spans="1:50" ht="15">
      <c r="A315" s="15">
        <f t="shared" si="8"/>
        <v>29</v>
      </c>
      <c r="B315" s="129" t="s">
        <v>72</v>
      </c>
      <c r="C315" s="153">
        <f>C286</f>
        <v>1052682.921344249</v>
      </c>
      <c r="D315" s="39"/>
      <c r="E315" s="153">
        <f>E286</f>
        <v>418317.92653999984</v>
      </c>
      <c r="F315" s="136"/>
      <c r="G315" s="153">
        <f>G286</f>
        <v>712.8641628601806</v>
      </c>
      <c r="H315" s="136"/>
      <c r="I315" s="153">
        <f>I286</f>
        <v>990.0795749596242</v>
      </c>
      <c r="J315" s="39"/>
      <c r="K315" s="153">
        <f>K286</f>
        <v>1869.9338207526232</v>
      </c>
      <c r="L315" s="136"/>
      <c r="M315" s="153">
        <f>M286</f>
        <v>34360.074755260015</v>
      </c>
      <c r="N315" s="39"/>
      <c r="O315" s="153">
        <f>O286</f>
        <v>133621.02561776614</v>
      </c>
      <c r="P315" s="136"/>
      <c r="Q315" s="153">
        <f>Q286</f>
        <v>183922.9722601046</v>
      </c>
      <c r="R315" s="39"/>
      <c r="S315" s="153">
        <f>S286</f>
        <v>93476.25387238587</v>
      </c>
      <c r="T315" s="39"/>
      <c r="U315" s="153">
        <f>U286</f>
        <v>47558.81326358211</v>
      </c>
      <c r="V315" s="136"/>
      <c r="W315" s="153">
        <f>W286</f>
        <v>44882.109964645344</v>
      </c>
      <c r="X315" s="39"/>
      <c r="Y315" s="153">
        <f>Y286</f>
        <v>20771.102728160775</v>
      </c>
      <c r="Z315" s="39"/>
      <c r="AA315" s="153">
        <f>AA286</f>
        <v>25663.9083752899</v>
      </c>
      <c r="AB315" s="39"/>
      <c r="AC315" s="153">
        <f>AC286</f>
        <v>7348.425641465569</v>
      </c>
      <c r="AD315" s="39"/>
      <c r="AE315" s="153">
        <f>AE286</f>
        <v>626.1031842511375</v>
      </c>
      <c r="AF315" s="39"/>
      <c r="AG315" s="153">
        <f>AG286</f>
        <v>1491.432797006621</v>
      </c>
      <c r="AH315" s="39"/>
      <c r="AI315" s="153">
        <f>AI286</f>
        <v>37069.89478575885</v>
      </c>
      <c r="AJ315" s="153"/>
      <c r="AK315" s="136"/>
      <c r="AL315" s="14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</row>
    <row r="316" spans="1:50" ht="15">
      <c r="A316" s="15">
        <f t="shared" si="8"/>
        <v>30</v>
      </c>
      <c r="B316" s="135" t="s">
        <v>65</v>
      </c>
      <c r="C316" s="160">
        <f>C314+C315</f>
        <v>180778384.10759038</v>
      </c>
      <c r="D316" s="160"/>
      <c r="E316" s="160">
        <f>E314+E315</f>
        <v>71838192.93521969</v>
      </c>
      <c r="F316" s="160"/>
      <c r="G316" s="160">
        <f>G314+G315</f>
        <v>122420.93876236668</v>
      </c>
      <c r="H316" s="160"/>
      <c r="I316" s="160">
        <f>I314+I315</f>
        <v>170027.44327852447</v>
      </c>
      <c r="J316" s="160"/>
      <c r="K316" s="160">
        <f>K314+K315</f>
        <v>321125.77078016876</v>
      </c>
      <c r="L316" s="160"/>
      <c r="M316" s="160">
        <f>M314+M315</f>
        <v>5900693.044530364</v>
      </c>
      <c r="N316" s="160"/>
      <c r="O316" s="160">
        <f>O314+O315</f>
        <v>22946884.19864585</v>
      </c>
      <c r="P316" s="160"/>
      <c r="Q316" s="160">
        <f>Q314+Q315</f>
        <v>31585292.25779438</v>
      </c>
      <c r="R316" s="160"/>
      <c r="S316" s="160">
        <f>S314+S315</f>
        <v>16052778.842371518</v>
      </c>
      <c r="T316" s="160"/>
      <c r="U316" s="160">
        <f>U314+U315</f>
        <v>8167326.777645531</v>
      </c>
      <c r="V316" s="160"/>
      <c r="W316" s="160">
        <f>W314+W315</f>
        <v>7707653.606070439</v>
      </c>
      <c r="X316" s="160"/>
      <c r="Y316" s="160">
        <f>Y314+Y315</f>
        <v>3567044.0843997644</v>
      </c>
      <c r="Z316" s="160"/>
      <c r="AA316" s="160">
        <f>AA314+AA315</f>
        <v>4407290.924835815</v>
      </c>
      <c r="AB316" s="160"/>
      <c r="AC316" s="160">
        <f>AC314+AC315</f>
        <v>1261953.1354251946</v>
      </c>
      <c r="AD316" s="160"/>
      <c r="AE316" s="160">
        <f>AE314+AE315</f>
        <v>107521.38145169301</v>
      </c>
      <c r="AF316" s="160"/>
      <c r="AG316" s="160">
        <f>AG314+AG315</f>
        <v>256125.3779092611</v>
      </c>
      <c r="AH316" s="160"/>
      <c r="AI316" s="160">
        <f>AI314+AI315</f>
        <v>6366053.388469828</v>
      </c>
      <c r="AJ316" s="39"/>
      <c r="AK316" s="136"/>
      <c r="AL316" s="14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</row>
    <row r="317" spans="1:50" ht="15">
      <c r="A317" s="8"/>
      <c r="B317" s="129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  <c r="AI317" s="146"/>
      <c r="AJ317" s="146"/>
      <c r="AK317" s="147"/>
      <c r="AL317" s="12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</row>
    <row r="318" spans="1:50" ht="15">
      <c r="A318" s="8"/>
      <c r="B318" s="129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6"/>
      <c r="AJ318" s="146"/>
      <c r="AK318" s="147"/>
      <c r="AL318" s="12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</row>
    <row r="319" spans="1:50" ht="15">
      <c r="A319" s="8"/>
      <c r="B319" s="129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  <c r="AI319" s="146"/>
      <c r="AJ319" s="146"/>
      <c r="AK319" s="147"/>
      <c r="AL319" s="12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</row>
    <row r="320" spans="1:50" ht="15">
      <c r="A320" s="8"/>
      <c r="B320" s="129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  <c r="AI320" s="146"/>
      <c r="AJ320" s="146"/>
      <c r="AK320" s="147"/>
      <c r="AL320" s="12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</row>
    <row r="321" spans="1:50" ht="15">
      <c r="A321" s="8"/>
      <c r="B321" s="129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40"/>
      <c r="AG321" s="140"/>
      <c r="AH321" s="140"/>
      <c r="AI321" s="146"/>
      <c r="AJ321" s="146"/>
      <c r="AK321" s="147"/>
      <c r="AL321" s="12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</row>
    <row r="322" spans="1:50" ht="15">
      <c r="A322" s="8"/>
      <c r="B322" s="129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6"/>
      <c r="AJ322" s="146"/>
      <c r="AK322" s="147"/>
      <c r="AL322" s="12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</row>
    <row r="323" spans="1:50" ht="15">
      <c r="A323" s="8"/>
      <c r="B323" s="129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  <c r="AI323" s="146"/>
      <c r="AJ323" s="146"/>
      <c r="AK323" s="147"/>
      <c r="AL323" s="12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</row>
    <row r="324" spans="1:50" ht="15">
      <c r="A324" s="8"/>
      <c r="B324" s="8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8"/>
      <c r="AJ324" s="8"/>
      <c r="AK324" s="5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</row>
    <row r="325" spans="1:50" ht="15">
      <c r="A325" s="8"/>
      <c r="B325" s="8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8"/>
      <c r="AJ325" s="8"/>
      <c r="AK325" s="5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</row>
    <row r="326" spans="1:50" ht="15">
      <c r="A326" s="8"/>
      <c r="B326" s="8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8"/>
      <c r="AJ326" s="8"/>
      <c r="AK326" s="5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</row>
    <row r="327" spans="1:50" ht="15">
      <c r="A327" s="8"/>
      <c r="B327" s="8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8"/>
      <c r="AJ327" s="8"/>
      <c r="AK327" s="5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</row>
    <row r="328" spans="1:50" ht="15">
      <c r="A328" s="8"/>
      <c r="B328" s="8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8"/>
      <c r="AJ328" s="8"/>
      <c r="AK328" s="5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</row>
    <row r="329" spans="1:50" ht="15">
      <c r="A329" s="8"/>
      <c r="B329" s="8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8"/>
      <c r="AJ329" s="8"/>
      <c r="AK329" s="5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</row>
    <row r="330" spans="1:50" ht="15">
      <c r="A330" s="8"/>
      <c r="B330" s="52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1"/>
      <c r="AJ330" s="51"/>
      <c r="AK330" s="58"/>
      <c r="AL330" s="51"/>
      <c r="AM330" s="8"/>
      <c r="AN330" s="57"/>
      <c r="AO330" s="58"/>
      <c r="AP330" s="8"/>
      <c r="AQ330" s="8"/>
      <c r="AR330" s="8"/>
      <c r="AS330" s="8"/>
      <c r="AT330" s="8"/>
      <c r="AU330" s="8"/>
      <c r="AV330" s="8"/>
      <c r="AW330" s="8"/>
      <c r="AX330" s="8"/>
    </row>
    <row r="331" spans="1:50" ht="15">
      <c r="A331" s="8"/>
      <c r="B331" s="11" t="s">
        <v>222</v>
      </c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X331" s="13"/>
      <c r="Y331" s="13"/>
      <c r="Z331" s="13"/>
      <c r="AA331" s="13"/>
      <c r="AB331" s="13"/>
      <c r="AC331" s="13"/>
      <c r="AD331" s="13"/>
      <c r="AE331" s="54" t="s">
        <v>69</v>
      </c>
      <c r="AF331" s="13"/>
      <c r="AG331" s="54"/>
      <c r="AH331" s="13"/>
      <c r="AI331" s="8"/>
      <c r="AJ331" s="8"/>
      <c r="AK331" s="5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</row>
    <row r="332" spans="1:50" ht="15">
      <c r="A332" s="8"/>
      <c r="B332" s="8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8"/>
      <c r="AJ332" s="8"/>
      <c r="AK332" s="5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</row>
    <row r="333" spans="1:50" ht="15">
      <c r="A333" s="8"/>
      <c r="B333" s="8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8"/>
      <c r="AJ333" s="8"/>
      <c r="AK333" s="5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</row>
    <row r="334" spans="1:50" ht="25.5" customHeight="1" thickBot="1">
      <c r="A334" s="105"/>
      <c r="B334" s="106" t="s">
        <v>225</v>
      </c>
      <c r="C334" s="105"/>
      <c r="D334" s="105"/>
      <c r="E334" s="105"/>
      <c r="F334" s="105"/>
      <c r="G334" s="105"/>
      <c r="H334" s="105"/>
      <c r="I334" s="107" t="s">
        <v>121</v>
      </c>
      <c r="J334" s="105"/>
      <c r="K334" s="105"/>
      <c r="L334" s="105"/>
      <c r="M334" s="105"/>
      <c r="N334" s="105"/>
      <c r="O334" s="106"/>
      <c r="P334" s="106"/>
      <c r="Q334" s="106" t="s">
        <v>206</v>
      </c>
      <c r="R334" s="122"/>
      <c r="S334" s="113"/>
      <c r="T334" s="122"/>
      <c r="U334" s="122"/>
      <c r="V334" s="122"/>
      <c r="W334" s="122"/>
      <c r="X334" s="122"/>
      <c r="Y334" s="107" t="s">
        <v>123</v>
      </c>
      <c r="Z334" s="122"/>
      <c r="AA334" s="122"/>
      <c r="AB334" s="122"/>
      <c r="AC334" s="122"/>
      <c r="AD334" s="122"/>
      <c r="AE334" s="106"/>
      <c r="AF334" s="106"/>
      <c r="AG334" s="106" t="s">
        <v>207</v>
      </c>
      <c r="AH334" s="122"/>
      <c r="AI334" s="122"/>
      <c r="AJ334" s="48"/>
      <c r="AK334" s="5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</row>
    <row r="335" spans="1:50" ht="15">
      <c r="A335" s="102"/>
      <c r="B335" s="103" t="s">
        <v>0</v>
      </c>
      <c r="C335" s="102"/>
      <c r="D335" s="102"/>
      <c r="E335" s="102"/>
      <c r="F335" s="102"/>
      <c r="G335" s="102"/>
      <c r="H335" s="102"/>
      <c r="I335" s="55" t="s">
        <v>122</v>
      </c>
      <c r="J335" s="102"/>
      <c r="K335" s="123"/>
      <c r="L335" s="123"/>
      <c r="M335" s="123"/>
      <c r="N335" s="102"/>
      <c r="O335" s="13"/>
      <c r="P335" s="102"/>
      <c r="Q335" s="13" t="s">
        <v>1</v>
      </c>
      <c r="R335" s="123"/>
      <c r="S335" s="114"/>
      <c r="T335" s="13"/>
      <c r="U335" s="13"/>
      <c r="V335" s="13"/>
      <c r="X335" s="13"/>
      <c r="Y335" s="55" t="s">
        <v>122</v>
      </c>
      <c r="Z335" s="13"/>
      <c r="AA335" s="13"/>
      <c r="AB335" s="13"/>
      <c r="AC335" s="13"/>
      <c r="AD335" s="13"/>
      <c r="AE335" s="13"/>
      <c r="AF335" s="102"/>
      <c r="AG335" s="13" t="s">
        <v>1</v>
      </c>
      <c r="AH335" s="13"/>
      <c r="AI335" s="8"/>
      <c r="AJ335" s="8"/>
      <c r="AK335" s="58"/>
      <c r="AL335" s="64"/>
      <c r="AM335" s="8"/>
      <c r="AN335" s="64"/>
      <c r="AO335" s="64"/>
      <c r="AP335" s="8"/>
      <c r="AQ335" s="8"/>
      <c r="AR335" s="8"/>
      <c r="AS335" s="8"/>
      <c r="AT335" s="8"/>
      <c r="AU335" s="8"/>
      <c r="AV335" s="8"/>
      <c r="AW335" s="8"/>
      <c r="AX335" s="8"/>
    </row>
    <row r="336" spans="1:50" ht="15">
      <c r="A336" s="8"/>
      <c r="B336" s="50" t="s">
        <v>93</v>
      </c>
      <c r="C336" s="8"/>
      <c r="D336" s="8"/>
      <c r="E336" s="8"/>
      <c r="F336" s="8"/>
      <c r="G336" s="8"/>
      <c r="H336" s="8"/>
      <c r="I336" s="55" t="s">
        <v>89</v>
      </c>
      <c r="J336" s="8"/>
      <c r="N336" s="8"/>
      <c r="O336" s="54"/>
      <c r="P336" s="11"/>
      <c r="Q336" s="54" t="s">
        <v>226</v>
      </c>
      <c r="S336" s="115"/>
      <c r="T336" s="13"/>
      <c r="U336" s="13"/>
      <c r="V336" s="13"/>
      <c r="X336" s="13"/>
      <c r="Y336" s="55" t="s">
        <v>89</v>
      </c>
      <c r="Z336" s="13"/>
      <c r="AA336" s="13"/>
      <c r="AB336" s="13"/>
      <c r="AC336" s="13"/>
      <c r="AD336" s="13"/>
      <c r="AE336" s="54"/>
      <c r="AF336" s="11"/>
      <c r="AG336" s="54" t="s">
        <v>226</v>
      </c>
      <c r="AH336" s="13"/>
      <c r="AI336" s="8"/>
      <c r="AJ336" s="8"/>
      <c r="AK336" s="5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</row>
    <row r="337" spans="1:50" ht="15">
      <c r="A337" s="8"/>
      <c r="B337" s="50" t="str">
        <f>+$B$4</f>
        <v>DOCKET NO.:  080318-GU   </v>
      </c>
      <c r="C337" s="8"/>
      <c r="D337" s="8"/>
      <c r="E337" s="8"/>
      <c r="F337" s="8"/>
      <c r="G337" s="8"/>
      <c r="H337" s="8"/>
      <c r="I337" s="112"/>
      <c r="J337" s="8"/>
      <c r="N337" s="8"/>
      <c r="O337" s="54"/>
      <c r="P337" s="50"/>
      <c r="Q337" s="54" t="s">
        <v>137</v>
      </c>
      <c r="S337" s="112"/>
      <c r="T337" s="13"/>
      <c r="U337" s="13"/>
      <c r="V337" s="13"/>
      <c r="X337" s="13"/>
      <c r="Y337" s="112"/>
      <c r="Z337" s="13"/>
      <c r="AA337" s="13"/>
      <c r="AB337" s="13"/>
      <c r="AC337" s="13"/>
      <c r="AD337" s="13"/>
      <c r="AE337" s="54"/>
      <c r="AF337" s="50"/>
      <c r="AG337" s="54" t="s">
        <v>137</v>
      </c>
      <c r="AH337" s="13"/>
      <c r="AI337" s="8"/>
      <c r="AJ337" s="8"/>
      <c r="AK337" s="5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</row>
    <row r="338" spans="1:50" ht="15" thickBot="1">
      <c r="A338" s="58"/>
      <c r="B338" s="58"/>
      <c r="C338" s="58"/>
      <c r="D338" s="58"/>
      <c r="E338" s="58"/>
      <c r="F338" s="58"/>
      <c r="G338" s="58"/>
      <c r="H338" s="58"/>
      <c r="I338" s="125"/>
      <c r="J338" s="58"/>
      <c r="K338" s="58"/>
      <c r="L338" s="58"/>
      <c r="M338" s="58"/>
      <c r="N338" s="58"/>
      <c r="O338" s="125"/>
      <c r="P338" s="109"/>
      <c r="Q338" s="109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51"/>
      <c r="AK338" s="5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</row>
    <row r="339" spans="1:50" ht="25.5" customHeight="1">
      <c r="A339" s="102"/>
      <c r="B339" s="102"/>
      <c r="C339" s="102"/>
      <c r="D339" s="102"/>
      <c r="E339" s="102"/>
      <c r="F339" s="102"/>
      <c r="G339" s="102"/>
      <c r="H339" s="102"/>
      <c r="I339" s="110" t="s">
        <v>210</v>
      </c>
      <c r="J339" s="102"/>
      <c r="K339" s="102"/>
      <c r="L339" s="102"/>
      <c r="M339" s="102"/>
      <c r="N339" s="102"/>
      <c r="O339" s="123"/>
      <c r="P339" s="123"/>
      <c r="Q339" s="102"/>
      <c r="R339" s="102"/>
      <c r="S339" s="102"/>
      <c r="T339" s="102"/>
      <c r="U339" s="102"/>
      <c r="V339" s="102"/>
      <c r="W339" s="102"/>
      <c r="X339" s="102"/>
      <c r="Y339" s="110" t="s">
        <v>210</v>
      </c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102"/>
      <c r="AJ339" s="8"/>
      <c r="AK339" s="5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</row>
    <row r="340" spans="1:50" ht="15">
      <c r="A340" s="8"/>
      <c r="B340" s="8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8"/>
      <c r="AJ340" s="8"/>
      <c r="AK340" s="5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</row>
    <row r="341" spans="1:50" ht="15">
      <c r="A341" s="8"/>
      <c r="B341" s="8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8"/>
      <c r="AJ341" s="8"/>
      <c r="AK341" s="5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</row>
    <row r="342" spans="1:50" ht="15">
      <c r="A342" s="8"/>
      <c r="B342" s="11"/>
      <c r="C342" s="13"/>
      <c r="D342" s="13"/>
      <c r="E342" s="116"/>
      <c r="F342" s="116"/>
      <c r="G342" s="116"/>
      <c r="H342" s="116"/>
      <c r="I342" s="116" t="s">
        <v>94</v>
      </c>
      <c r="J342" s="116"/>
      <c r="K342" s="116"/>
      <c r="L342" s="116"/>
      <c r="M342" s="131" t="s">
        <v>143</v>
      </c>
      <c r="N342" s="116"/>
      <c r="O342" s="131" t="s">
        <v>139</v>
      </c>
      <c r="P342" s="131"/>
      <c r="Q342" s="131" t="s">
        <v>140</v>
      </c>
      <c r="R342" s="116"/>
      <c r="S342" s="131" t="s">
        <v>95</v>
      </c>
      <c r="T342" s="116"/>
      <c r="U342" s="131" t="s">
        <v>96</v>
      </c>
      <c r="V342" s="131"/>
      <c r="W342" s="116" t="s">
        <v>194</v>
      </c>
      <c r="X342" s="116"/>
      <c r="Y342" s="116" t="s">
        <v>98</v>
      </c>
      <c r="Z342" s="116"/>
      <c r="AA342" s="116" t="s">
        <v>99</v>
      </c>
      <c r="AB342" s="116"/>
      <c r="AC342" s="116" t="s">
        <v>217</v>
      </c>
      <c r="AD342" s="116"/>
      <c r="AE342" s="116"/>
      <c r="AF342" s="116"/>
      <c r="AG342" s="116"/>
      <c r="AH342" s="116"/>
      <c r="AI342" s="116"/>
      <c r="AJ342" s="116"/>
      <c r="AK342" s="132"/>
      <c r="AL342" s="15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</row>
    <row r="343" spans="1:50" ht="15">
      <c r="A343" s="8"/>
      <c r="B343" s="8"/>
      <c r="C343" s="13"/>
      <c r="D343" s="13"/>
      <c r="E343" s="116" t="s">
        <v>101</v>
      </c>
      <c r="F343" s="116"/>
      <c r="G343" s="116" t="s">
        <v>101</v>
      </c>
      <c r="H343" s="116"/>
      <c r="I343" s="116" t="s">
        <v>102</v>
      </c>
      <c r="J343" s="116"/>
      <c r="K343" s="116" t="s">
        <v>94</v>
      </c>
      <c r="L343" s="116"/>
      <c r="M343" s="116" t="s">
        <v>103</v>
      </c>
      <c r="N343" s="116"/>
      <c r="O343" s="116" t="s">
        <v>104</v>
      </c>
      <c r="P343" s="116"/>
      <c r="Q343" s="116" t="s">
        <v>104</v>
      </c>
      <c r="R343" s="116"/>
      <c r="S343" s="116" t="s">
        <v>104</v>
      </c>
      <c r="T343" s="116"/>
      <c r="U343" s="116" t="s">
        <v>104</v>
      </c>
      <c r="V343" s="116"/>
      <c r="W343" s="116" t="s">
        <v>104</v>
      </c>
      <c r="X343" s="116"/>
      <c r="Y343" s="116" t="s">
        <v>195</v>
      </c>
      <c r="Z343" s="116"/>
      <c r="AA343" s="131" t="s">
        <v>105</v>
      </c>
      <c r="AB343" s="116"/>
      <c r="AC343" s="131" t="s">
        <v>105</v>
      </c>
      <c r="AD343" s="116"/>
      <c r="AE343" s="116" t="s">
        <v>196</v>
      </c>
      <c r="AF343" s="116"/>
      <c r="AG343" s="116" t="s">
        <v>107</v>
      </c>
      <c r="AH343" s="116"/>
      <c r="AI343" s="116" t="s">
        <v>108</v>
      </c>
      <c r="AJ343" s="116"/>
      <c r="AK343" s="132"/>
      <c r="AL343" s="15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</row>
    <row r="344" spans="1:50" ht="15" thickBot="1">
      <c r="A344" s="16" t="s">
        <v>92</v>
      </c>
      <c r="B344" s="156" t="s">
        <v>76</v>
      </c>
      <c r="C344" s="133" t="s">
        <v>3</v>
      </c>
      <c r="D344" s="133"/>
      <c r="E344" s="117" t="s">
        <v>111</v>
      </c>
      <c r="F344" s="118"/>
      <c r="G344" s="119" t="s">
        <v>142</v>
      </c>
      <c r="H344" s="118"/>
      <c r="I344" s="117" t="s">
        <v>110</v>
      </c>
      <c r="J344" s="117"/>
      <c r="K344" s="117" t="s">
        <v>142</v>
      </c>
      <c r="L344" s="117"/>
      <c r="M344" s="117" t="s">
        <v>111</v>
      </c>
      <c r="N344" s="117"/>
      <c r="O344" s="117" t="s">
        <v>112</v>
      </c>
      <c r="P344" s="117"/>
      <c r="Q344" s="117" t="s">
        <v>113</v>
      </c>
      <c r="R344" s="120"/>
      <c r="S344" s="117" t="s">
        <v>114</v>
      </c>
      <c r="T344" s="117"/>
      <c r="U344" s="117" t="s">
        <v>115</v>
      </c>
      <c r="V344" s="120"/>
      <c r="W344" s="117" t="s">
        <v>116</v>
      </c>
      <c r="X344" s="117"/>
      <c r="Y344" s="117" t="s">
        <v>111</v>
      </c>
      <c r="Z344" s="117"/>
      <c r="AA344" s="117" t="s">
        <v>111</v>
      </c>
      <c r="AB344" s="117"/>
      <c r="AC344" s="117" t="s">
        <v>117</v>
      </c>
      <c r="AD344" s="120"/>
      <c r="AE344" s="117" t="s">
        <v>197</v>
      </c>
      <c r="AF344" s="117"/>
      <c r="AG344" s="117" t="s">
        <v>111</v>
      </c>
      <c r="AH344" s="120"/>
      <c r="AI344" s="117" t="s">
        <v>119</v>
      </c>
      <c r="AJ344" s="134"/>
      <c r="AK344" s="132"/>
      <c r="AL344" s="36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</row>
    <row r="345" spans="1:50" ht="26.25" customHeight="1">
      <c r="A345" s="15">
        <v>1</v>
      </c>
      <c r="B345" s="129" t="s">
        <v>77</v>
      </c>
      <c r="C345" s="25">
        <f>C178</f>
        <v>560844755.1474365</v>
      </c>
      <c r="D345" s="25"/>
      <c r="E345" s="25">
        <f>E178</f>
        <v>200710259.08525226</v>
      </c>
      <c r="F345" s="25"/>
      <c r="G345" s="25">
        <f>G178</f>
        <v>316231.941305083</v>
      </c>
      <c r="H345" s="25"/>
      <c r="I345" s="25">
        <f>I178</f>
        <v>602950.3370883684</v>
      </c>
      <c r="J345" s="25"/>
      <c r="K345" s="25">
        <f>K178</f>
        <v>772490.7017844502</v>
      </c>
      <c r="L345" s="25"/>
      <c r="M345" s="25">
        <f>M178</f>
        <v>16159714.137305867</v>
      </c>
      <c r="N345" s="25"/>
      <c r="O345" s="25">
        <f>O178</f>
        <v>71182730.9744358</v>
      </c>
      <c r="P345" s="25"/>
      <c r="Q345" s="25">
        <f>Q178</f>
        <v>104348219.34736156</v>
      </c>
      <c r="R345" s="25"/>
      <c r="S345" s="25">
        <f>S178</f>
        <v>54780517.26310089</v>
      </c>
      <c r="T345" s="25"/>
      <c r="U345" s="25">
        <f>U178</f>
        <v>28610349.09279268</v>
      </c>
      <c r="V345" s="25"/>
      <c r="W345" s="25">
        <f>W178</f>
        <v>27797717.350406423</v>
      </c>
      <c r="X345" s="25"/>
      <c r="Y345" s="25">
        <f>Y178</f>
        <v>12644826.690954281</v>
      </c>
      <c r="Z345" s="25"/>
      <c r="AA345" s="25">
        <f>AA178</f>
        <v>13600680.253662128</v>
      </c>
      <c r="AB345" s="25"/>
      <c r="AC345" s="25">
        <f>AC178</f>
        <v>5276436.472063785</v>
      </c>
      <c r="AD345" s="25"/>
      <c r="AE345" s="25">
        <f>AE178</f>
        <v>349914.0006954157</v>
      </c>
      <c r="AF345" s="25"/>
      <c r="AG345" s="25">
        <f>AG178</f>
        <v>921236.8703587216</v>
      </c>
      <c r="AH345" s="25"/>
      <c r="AI345" s="39">
        <f>AI178</f>
        <v>22770480.628868744</v>
      </c>
      <c r="AJ345" s="25"/>
      <c r="AK345" s="136"/>
      <c r="AL345" s="14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</row>
    <row r="346" spans="1:50" ht="26.25" customHeight="1">
      <c r="A346" s="15">
        <v>2</v>
      </c>
      <c r="B346" s="129" t="s">
        <v>8</v>
      </c>
      <c r="C346" s="25">
        <f>E14</f>
        <v>0</v>
      </c>
      <c r="D346" s="25"/>
      <c r="E346" s="25">
        <v>0</v>
      </c>
      <c r="F346" s="25"/>
      <c r="G346" s="25">
        <v>0</v>
      </c>
      <c r="H346" s="25"/>
      <c r="I346" s="25">
        <v>0</v>
      </c>
      <c r="J346" s="25"/>
      <c r="K346" s="25">
        <v>0</v>
      </c>
      <c r="L346" s="25"/>
      <c r="M346" s="25">
        <v>0</v>
      </c>
      <c r="N346" s="25"/>
      <c r="O346" s="25">
        <v>0</v>
      </c>
      <c r="P346" s="25"/>
      <c r="Q346" s="25">
        <v>0</v>
      </c>
      <c r="R346" s="25"/>
      <c r="S346" s="25">
        <v>0</v>
      </c>
      <c r="T346" s="25"/>
      <c r="U346" s="25">
        <v>0</v>
      </c>
      <c r="V346" s="25"/>
      <c r="W346" s="25">
        <v>0</v>
      </c>
      <c r="X346" s="25"/>
      <c r="Y346" s="25">
        <v>0</v>
      </c>
      <c r="Z346" s="25"/>
      <c r="AA346" s="25">
        <v>0</v>
      </c>
      <c r="AB346" s="25"/>
      <c r="AC346" s="25">
        <v>0</v>
      </c>
      <c r="AD346" s="25"/>
      <c r="AE346" s="25">
        <v>0</v>
      </c>
      <c r="AF346" s="25"/>
      <c r="AG346" s="25">
        <v>0</v>
      </c>
      <c r="AH346" s="25"/>
      <c r="AI346" s="39">
        <v>0</v>
      </c>
      <c r="AJ346" s="25"/>
      <c r="AK346" s="136"/>
      <c r="AL346" s="14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</row>
    <row r="347" spans="1:50" ht="26.25" customHeight="1">
      <c r="A347" s="15">
        <v>3</v>
      </c>
      <c r="B347" s="129" t="s">
        <v>9</v>
      </c>
      <c r="C347" s="25">
        <f>C241</f>
        <v>72124723.48714304</v>
      </c>
      <c r="D347" s="25"/>
      <c r="E347" s="25">
        <f>E241</f>
        <v>37882076.41283459</v>
      </c>
      <c r="F347" s="25"/>
      <c r="G347" s="25">
        <f>G241</f>
        <v>75456.72699943396</v>
      </c>
      <c r="H347" s="25"/>
      <c r="I347" s="25">
        <f>I241</f>
        <v>44354.38027136806</v>
      </c>
      <c r="J347" s="25"/>
      <c r="K347" s="25">
        <f>K241</f>
        <v>183251.07098574136</v>
      </c>
      <c r="L347" s="25"/>
      <c r="M347" s="25">
        <f>M241</f>
        <v>2816918.7647691043</v>
      </c>
      <c r="N347" s="25"/>
      <c r="O347" s="25">
        <f>O241</f>
        <v>8306640.686145502</v>
      </c>
      <c r="P347" s="25"/>
      <c r="Q347" s="25">
        <f>Q241</f>
        <v>9684787.75341634</v>
      </c>
      <c r="R347" s="25"/>
      <c r="S347" s="25">
        <f>S241</f>
        <v>4478221.054043801</v>
      </c>
      <c r="T347" s="25"/>
      <c r="U347" s="25">
        <f>U241</f>
        <v>2111680.9812417245</v>
      </c>
      <c r="V347" s="25"/>
      <c r="W347" s="25">
        <f>W241</f>
        <v>2094054.3743228004</v>
      </c>
      <c r="X347" s="25"/>
      <c r="Y347" s="25">
        <f>Y241</f>
        <v>972328.8976076217</v>
      </c>
      <c r="Z347" s="25"/>
      <c r="AA347" s="25">
        <f>AA241</f>
        <v>1512945.1004776761</v>
      </c>
      <c r="AB347" s="25"/>
      <c r="AC347" s="25">
        <f>AC241</f>
        <v>221276.02183517566</v>
      </c>
      <c r="AD347" s="25"/>
      <c r="AE347" s="25">
        <f>AE241</f>
        <v>33943.30152511272</v>
      </c>
      <c r="AF347" s="25"/>
      <c r="AG347" s="25">
        <f>AG241</f>
        <v>61449.87877428347</v>
      </c>
      <c r="AH347" s="25"/>
      <c r="AI347" s="39">
        <f>AI241</f>
        <v>1645338.0818927654</v>
      </c>
      <c r="AJ347" s="25"/>
      <c r="AK347" s="136"/>
      <c r="AL347" s="14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</row>
    <row r="348" spans="1:50" ht="26.25" customHeight="1">
      <c r="A348" s="15">
        <v>4</v>
      </c>
      <c r="B348" s="129" t="s">
        <v>78</v>
      </c>
      <c r="C348" s="25">
        <f>C246</f>
        <v>41853490.40771723</v>
      </c>
      <c r="D348" s="25"/>
      <c r="E348" s="25">
        <f>E246</f>
        <v>15137964.332277779</v>
      </c>
      <c r="F348" s="25"/>
      <c r="G348" s="25">
        <f>G246</f>
        <v>24103.996994725727</v>
      </c>
      <c r="H348" s="25"/>
      <c r="I348" s="25">
        <f>I246</f>
        <v>44523.414672809115</v>
      </c>
      <c r="J348" s="25"/>
      <c r="K348" s="25">
        <f>K246</f>
        <v>58881.191689306</v>
      </c>
      <c r="L348" s="25"/>
      <c r="M348" s="25">
        <f>M246</f>
        <v>1217025.3909571476</v>
      </c>
      <c r="N348" s="25"/>
      <c r="O348" s="25">
        <f>O246</f>
        <v>5302187.704494551</v>
      </c>
      <c r="P348" s="25"/>
      <c r="Q348" s="25">
        <f>Q246</f>
        <v>7735218.626516029</v>
      </c>
      <c r="R348" s="25"/>
      <c r="S348" s="25">
        <f>S246</f>
        <v>4051502.1403730344</v>
      </c>
      <c r="T348" s="25"/>
      <c r="U348" s="25">
        <f>U246</f>
        <v>2112384.947860683</v>
      </c>
      <c r="V348" s="25"/>
      <c r="W348" s="25">
        <f>W246</f>
        <v>2054798.4230639394</v>
      </c>
      <c r="X348" s="25"/>
      <c r="Y348" s="25">
        <f>Y246</f>
        <v>934854.9995346278</v>
      </c>
      <c r="Z348" s="25"/>
      <c r="AA348" s="25">
        <f>AA246</f>
        <v>1005853.3898748319</v>
      </c>
      <c r="AB348" s="25"/>
      <c r="AC348" s="25">
        <f>AC246</f>
        <v>392052.47283494973</v>
      </c>
      <c r="AD348" s="25"/>
      <c r="AE348" s="25">
        <f>AE246</f>
        <v>26015.43983849077</v>
      </c>
      <c r="AF348" s="25"/>
      <c r="AG348" s="25">
        <f>AG246</f>
        <v>68106.09065185116</v>
      </c>
      <c r="AH348" s="25"/>
      <c r="AI348" s="39">
        <f>AI246</f>
        <v>1688017.8460824664</v>
      </c>
      <c r="AJ348" s="25"/>
      <c r="AK348" s="136"/>
      <c r="AL348" s="14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</row>
    <row r="349" spans="1:50" ht="26.25" customHeight="1">
      <c r="A349" s="15">
        <v>5</v>
      </c>
      <c r="B349" s="129" t="s">
        <v>79</v>
      </c>
      <c r="C349" s="25">
        <f>C249+C252+C254+C259+C262</f>
        <v>1837602.72</v>
      </c>
      <c r="D349" s="25"/>
      <c r="E349" s="25">
        <f>E249+E252+E254+E259+E262</f>
        <v>285002.8293894292</v>
      </c>
      <c r="F349" s="25"/>
      <c r="G349" s="25">
        <f>G249+G252+G254+G259+G262</f>
        <v>0</v>
      </c>
      <c r="H349" s="25"/>
      <c r="I349" s="25">
        <f>I249+I252+I254+I259+I262</f>
        <v>2545.2960908313953</v>
      </c>
      <c r="J349" s="25"/>
      <c r="K349" s="25">
        <f>K249+K252+K254+K259+K262</f>
        <v>0</v>
      </c>
      <c r="L349" s="25"/>
      <c r="M349" s="25">
        <f>M249+M252+M254+M259+M262</f>
        <v>26089.731467188023</v>
      </c>
      <c r="N349" s="25"/>
      <c r="O349" s="25">
        <f>O249+O252+O254+O259+O262</f>
        <v>219128.3406646726</v>
      </c>
      <c r="P349" s="25"/>
      <c r="Q349" s="25">
        <f>Q249+Q252+Q254+Q259+Q262</f>
        <v>387503.67770345655</v>
      </c>
      <c r="R349" s="25"/>
      <c r="S349" s="25">
        <f>S249+S252+S254+S259+S262</f>
        <v>219957.4299224718</v>
      </c>
      <c r="T349" s="25"/>
      <c r="U349" s="25">
        <f>U249+U252+U254+U259+U262</f>
        <v>121267.72574512206</v>
      </c>
      <c r="V349" s="25"/>
      <c r="W349" s="25">
        <f>W249+W252+W254+W259+W262</f>
        <v>185926.44033081672</v>
      </c>
      <c r="X349" s="25"/>
      <c r="Y349" s="25">
        <f>Y249+Y252+Y254+Y259+Y262</f>
        <v>82925.98870507549</v>
      </c>
      <c r="Z349" s="25"/>
      <c r="AA349" s="25">
        <f>AA249+AA252+AA254+AA259+AA262</f>
        <v>152804.96093055047</v>
      </c>
      <c r="AB349" s="25"/>
      <c r="AC349" s="25">
        <f>AC249+AC252+AC254+AC259+AC262</f>
        <v>0.0014459965304349386</v>
      </c>
      <c r="AD349" s="25"/>
      <c r="AE349" s="25">
        <f>AE249+AE252+AE254+AE259+AE262</f>
        <v>1163.3809258192578</v>
      </c>
      <c r="AF349" s="25"/>
      <c r="AG349" s="25">
        <f>AG249+AG252+AG254+AG259+AG262</f>
        <v>3747.767637796777</v>
      </c>
      <c r="AH349" s="25"/>
      <c r="AI349" s="39">
        <f>AI249+AI252+AI254+AI259+AI262</f>
        <v>149539.14904077316</v>
      </c>
      <c r="AJ349" s="25"/>
      <c r="AK349" s="136"/>
      <c r="AL349" s="14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</row>
    <row r="350" spans="1:50" ht="26.25" customHeight="1">
      <c r="A350" s="15">
        <v>6</v>
      </c>
      <c r="B350" s="129" t="s">
        <v>80</v>
      </c>
      <c r="C350" s="25">
        <f>C285</f>
        <v>9778750.251775952</v>
      </c>
      <c r="D350" s="25"/>
      <c r="E350" s="25">
        <f>E285</f>
        <v>3536870.4278566428</v>
      </c>
      <c r="F350" s="25"/>
      <c r="G350" s="25">
        <f>G285</f>
        <v>5631.715882829209</v>
      </c>
      <c r="H350" s="25"/>
      <c r="I350" s="25">
        <f>I285</f>
        <v>10402.557784317514</v>
      </c>
      <c r="J350" s="25"/>
      <c r="K350" s="25">
        <f>K285</f>
        <v>13757.14336958865</v>
      </c>
      <c r="L350" s="25"/>
      <c r="M350" s="25">
        <f>M285</f>
        <v>284348.7420596479</v>
      </c>
      <c r="N350" s="25"/>
      <c r="O350" s="25">
        <f>O285</f>
        <v>1238815.8991090795</v>
      </c>
      <c r="P350" s="25"/>
      <c r="Q350" s="25">
        <f>Q285</f>
        <v>1807275.100707933</v>
      </c>
      <c r="R350" s="25"/>
      <c r="S350" s="25">
        <f>S285</f>
        <v>946602.7131619703</v>
      </c>
      <c r="T350" s="25"/>
      <c r="U350" s="25">
        <f>U285</f>
        <v>493542.70431246044</v>
      </c>
      <c r="V350" s="25"/>
      <c r="W350" s="25">
        <f>W285</f>
        <v>480088.05003227113</v>
      </c>
      <c r="X350" s="25"/>
      <c r="Y350" s="25">
        <f>Y285</f>
        <v>218421.77254558535</v>
      </c>
      <c r="Z350" s="25"/>
      <c r="AA350" s="25">
        <f>AA285</f>
        <v>235010.00737741534</v>
      </c>
      <c r="AB350" s="25"/>
      <c r="AC350" s="25">
        <f>AC285</f>
        <v>91600.08353179668</v>
      </c>
      <c r="AD350" s="25"/>
      <c r="AE350" s="25">
        <f>AE285</f>
        <v>6078.309990217592</v>
      </c>
      <c r="AF350" s="25"/>
      <c r="AG350" s="25">
        <f>AG285</f>
        <v>15912.470970078644</v>
      </c>
      <c r="AH350" s="25"/>
      <c r="AI350" s="39">
        <f>AI285</f>
        <v>394392.5530841175</v>
      </c>
      <c r="AJ350" s="25"/>
      <c r="AK350" s="136"/>
      <c r="AL350" s="14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</row>
    <row r="351" spans="1:50" ht="26.25" customHeight="1">
      <c r="A351" s="15">
        <v>7</v>
      </c>
      <c r="B351" s="157" t="s">
        <v>81</v>
      </c>
      <c r="C351" s="25">
        <f>C286</f>
        <v>1052682.921344249</v>
      </c>
      <c r="D351" s="25"/>
      <c r="E351" s="25">
        <f>E286</f>
        <v>418317.92653999984</v>
      </c>
      <c r="F351" s="25"/>
      <c r="G351" s="25">
        <f>G286</f>
        <v>712.8641628601806</v>
      </c>
      <c r="H351" s="25"/>
      <c r="I351" s="25">
        <f>I286</f>
        <v>990.0795749596242</v>
      </c>
      <c r="J351" s="25"/>
      <c r="K351" s="25">
        <f>K286</f>
        <v>1869.9338207526232</v>
      </c>
      <c r="L351" s="25"/>
      <c r="M351" s="25">
        <f>M286</f>
        <v>34360.074755260015</v>
      </c>
      <c r="N351" s="25"/>
      <c r="O351" s="25">
        <f>O286</f>
        <v>133621.02561776614</v>
      </c>
      <c r="P351" s="25"/>
      <c r="Q351" s="25">
        <f>Q286</f>
        <v>183922.9722601046</v>
      </c>
      <c r="R351" s="25"/>
      <c r="S351" s="25">
        <f>S286</f>
        <v>93476.25387238587</v>
      </c>
      <c r="T351" s="25"/>
      <c r="U351" s="25">
        <f>U286</f>
        <v>47558.81326358211</v>
      </c>
      <c r="V351" s="25"/>
      <c r="W351" s="25">
        <f>W286</f>
        <v>44882.109964645344</v>
      </c>
      <c r="X351" s="25"/>
      <c r="Y351" s="25">
        <f>Y286</f>
        <v>20771.102728160775</v>
      </c>
      <c r="Z351" s="25"/>
      <c r="AA351" s="25">
        <f>AA286</f>
        <v>25663.9083752899</v>
      </c>
      <c r="AB351" s="25"/>
      <c r="AC351" s="25">
        <f>AC286</f>
        <v>7348.425641465569</v>
      </c>
      <c r="AD351" s="25"/>
      <c r="AE351" s="25">
        <f>AE286</f>
        <v>626.1031842511375</v>
      </c>
      <c r="AF351" s="25"/>
      <c r="AG351" s="25">
        <f>AG286</f>
        <v>1491.432797006621</v>
      </c>
      <c r="AH351" s="25"/>
      <c r="AI351" s="39">
        <f>AI286</f>
        <v>37069.89478575885</v>
      </c>
      <c r="AJ351" s="25"/>
      <c r="AK351" s="136"/>
      <c r="AL351" s="14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</row>
    <row r="352" spans="1:50" ht="26.25" customHeight="1">
      <c r="A352" s="15">
        <v>8</v>
      </c>
      <c r="B352" s="157" t="s">
        <v>193</v>
      </c>
      <c r="C352" s="39">
        <f>C293</f>
        <v>-480321.33785999997</v>
      </c>
      <c r="D352" s="25"/>
      <c r="E352" s="39">
        <f>E293</f>
        <v>-434216.8643672819</v>
      </c>
      <c r="F352" s="25"/>
      <c r="G352" s="39">
        <f>G293</f>
        <v>-1015.0986246406248</v>
      </c>
      <c r="H352" s="25"/>
      <c r="I352" s="39">
        <f>I293</f>
        <v>-89.31733708430079</v>
      </c>
      <c r="J352" s="25"/>
      <c r="K352" s="39">
        <f>K293</f>
        <v>-1122.8465233454956</v>
      </c>
      <c r="L352" s="25"/>
      <c r="M352" s="39">
        <f>M293</f>
        <v>-14781.428564322914</v>
      </c>
      <c r="N352" s="25"/>
      <c r="O352" s="39">
        <f>O293</f>
        <v>-18895.390156247933</v>
      </c>
      <c r="P352" s="25"/>
      <c r="Q352" s="39">
        <f>Q293</f>
        <v>-8596.639475043285</v>
      </c>
      <c r="R352" s="25"/>
      <c r="S352" s="39">
        <f>S293</f>
        <v>-1173.4700849686064</v>
      </c>
      <c r="T352" s="25"/>
      <c r="U352" s="39">
        <f>U293</f>
        <v>-174.38146764077771</v>
      </c>
      <c r="V352" s="25"/>
      <c r="W352" s="39">
        <f>W293</f>
        <v>-146.73562520992274</v>
      </c>
      <c r="X352" s="25"/>
      <c r="Y352" s="39">
        <f>Y293</f>
        <v>-36.86112324114001</v>
      </c>
      <c r="Z352" s="25"/>
      <c r="AA352" s="39">
        <f>AA293</f>
        <v>-19.848297129844617</v>
      </c>
      <c r="AB352" s="25"/>
      <c r="AC352" s="39">
        <f>AC293</f>
        <v>-4.253206527823847</v>
      </c>
      <c r="AD352" s="25"/>
      <c r="AE352" s="39">
        <f>AE293</f>
        <v>-21.266032639119235</v>
      </c>
      <c r="AF352" s="25"/>
      <c r="AG352" s="39">
        <f>AG293</f>
        <v>-15.595090602020772</v>
      </c>
      <c r="AH352" s="25"/>
      <c r="AI352" s="39">
        <f>AI293</f>
        <v>-11.341884074196926</v>
      </c>
      <c r="AJ352" s="25"/>
      <c r="AK352" s="136"/>
      <c r="AL352" s="14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</row>
    <row r="353" spans="1:50" ht="26.25" customHeight="1">
      <c r="A353" s="15">
        <v>9</v>
      </c>
      <c r="B353" s="129" t="s">
        <v>133</v>
      </c>
      <c r="C353" s="25">
        <f>+C299</f>
        <v>47671804.011049986</v>
      </c>
      <c r="D353" s="25"/>
      <c r="E353" s="25">
        <f>+E299</f>
        <v>17060371.95908855</v>
      </c>
      <c r="F353" s="25"/>
      <c r="G353" s="25">
        <f>+G299</f>
        <v>26879.71491142273</v>
      </c>
      <c r="H353" s="25"/>
      <c r="I353" s="25">
        <f>+I299</f>
        <v>51250.77846277976</v>
      </c>
      <c r="J353" s="25"/>
      <c r="K353" s="25">
        <f>+K299</f>
        <v>65661.7094085971</v>
      </c>
      <c r="L353" s="25"/>
      <c r="M353" s="25">
        <f>+M299</f>
        <v>1373575.6965859898</v>
      </c>
      <c r="N353" s="25"/>
      <c r="O353" s="25">
        <f>+O299</f>
        <v>6050532.110427834</v>
      </c>
      <c r="P353" s="25"/>
      <c r="Q353" s="25">
        <f>+Q299</f>
        <v>8869598.611690274</v>
      </c>
      <c r="R353" s="25"/>
      <c r="S353" s="25">
        <f>+S299</f>
        <v>4656343.950125684</v>
      </c>
      <c r="T353" s="25"/>
      <c r="U353" s="25">
        <f>+U299</f>
        <v>2431879.6638845033</v>
      </c>
      <c r="V353" s="25"/>
      <c r="W353" s="25">
        <f>+W299</f>
        <v>2362805.9660373842</v>
      </c>
      <c r="X353" s="25"/>
      <c r="Y353" s="25">
        <f>+Y299</f>
        <v>1074810.2647521417</v>
      </c>
      <c r="Z353" s="25"/>
      <c r="AA353" s="25">
        <f>+AA299</f>
        <v>1156057.8172815281</v>
      </c>
      <c r="AB353" s="25"/>
      <c r="AC353" s="25">
        <f>+AC299</f>
        <v>448497.09846507513</v>
      </c>
      <c r="AD353" s="25"/>
      <c r="AE353" s="25">
        <f>+AE299</f>
        <v>29742.68994900222</v>
      </c>
      <c r="AF353" s="25"/>
      <c r="AG353" s="25">
        <f>+AG299</f>
        <v>78305.13369060394</v>
      </c>
      <c r="AH353" s="25"/>
      <c r="AI353" s="39">
        <f>+AI299</f>
        <v>1935490.8462886119</v>
      </c>
      <c r="AJ353" s="25"/>
      <c r="AK353" s="136"/>
      <c r="AL353" s="14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</row>
    <row r="354" spans="1:50" ht="26.25" customHeight="1">
      <c r="A354" s="15">
        <v>10</v>
      </c>
      <c r="B354" s="129" t="s">
        <v>82</v>
      </c>
      <c r="C354" s="25">
        <f>C305</f>
        <v>16720164.237212237</v>
      </c>
      <c r="D354" s="25"/>
      <c r="E354" s="25">
        <f>E305</f>
        <v>5983667.432383541</v>
      </c>
      <c r="F354" s="25"/>
      <c r="G354" s="25">
        <f>G305</f>
        <v>9427.653458724897</v>
      </c>
      <c r="H354" s="25"/>
      <c r="I354" s="25">
        <f>I305</f>
        <v>17975.435395397013</v>
      </c>
      <c r="J354" s="25"/>
      <c r="K354" s="25">
        <f>K305</f>
        <v>23029.851464261093</v>
      </c>
      <c r="L354" s="25"/>
      <c r="M354" s="25">
        <f>M305</f>
        <v>481760.90071685775</v>
      </c>
      <c r="N354" s="25"/>
      <c r="O354" s="25">
        <f>O305</f>
        <v>2122132.6255123513</v>
      </c>
      <c r="P354" s="25"/>
      <c r="Q354" s="25">
        <f>Q305</f>
        <v>3110877.563417484</v>
      </c>
      <c r="R354" s="25"/>
      <c r="S354" s="25">
        <f>S305</f>
        <v>1633142.2149034853</v>
      </c>
      <c r="T354" s="25"/>
      <c r="U354" s="25">
        <f>U305</f>
        <v>852945.0107627636</v>
      </c>
      <c r="V354" s="25"/>
      <c r="W354" s="25">
        <f>W305</f>
        <v>828718.455958844</v>
      </c>
      <c r="X354" s="25"/>
      <c r="Y354" s="25">
        <f>Y305</f>
        <v>376973.4442256858</v>
      </c>
      <c r="Z354" s="25"/>
      <c r="AA354" s="25">
        <f>AA305</f>
        <v>405469.7944340393</v>
      </c>
      <c r="AB354" s="25"/>
      <c r="AC354" s="25">
        <f>AC305</f>
        <v>157303.57392204</v>
      </c>
      <c r="AD354" s="25"/>
      <c r="AE354" s="25">
        <f>AE305</f>
        <v>10431.7986516417</v>
      </c>
      <c r="AF354" s="25"/>
      <c r="AG354" s="25">
        <f>AG305</f>
        <v>27464.341303724905</v>
      </c>
      <c r="AH354" s="25"/>
      <c r="AI354" s="39">
        <f>AI305</f>
        <v>678844.140701394</v>
      </c>
      <c r="AJ354" s="25"/>
      <c r="AK354" s="136"/>
      <c r="AL354" s="14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</row>
    <row r="355" spans="1:50" ht="26.25" customHeight="1">
      <c r="A355" s="15">
        <v>11</v>
      </c>
      <c r="B355" s="129" t="s">
        <v>74</v>
      </c>
      <c r="C355" s="39">
        <f>C308</f>
        <v>-9780512.59079229</v>
      </c>
      <c r="D355" s="39"/>
      <c r="E355" s="39">
        <f>E308</f>
        <v>-8031861.520783558</v>
      </c>
      <c r="F355" s="39"/>
      <c r="G355" s="39">
        <f>G308</f>
        <v>-18776.63502298941</v>
      </c>
      <c r="H355" s="39"/>
      <c r="I355" s="39">
        <f>I308</f>
        <v>-1925.1816368537256</v>
      </c>
      <c r="J355" s="39"/>
      <c r="K355" s="39">
        <f>K308</f>
        <v>-24202.283434732548</v>
      </c>
      <c r="L355" s="39"/>
      <c r="M355" s="39">
        <f>M308</f>
        <v>-318604.8282165081</v>
      </c>
      <c r="N355" s="39"/>
      <c r="O355" s="39">
        <f>O308</f>
        <v>-407278.8031696607</v>
      </c>
      <c r="P355" s="39"/>
      <c r="Q355" s="39">
        <f>Q308</f>
        <v>-185295.40844220016</v>
      </c>
      <c r="R355" s="39"/>
      <c r="S355" s="39">
        <f>S308</f>
        <v>-25293.443946347004</v>
      </c>
      <c r="T355" s="39"/>
      <c r="U355" s="25">
        <f>U308</f>
        <v>-3758.687957666798</v>
      </c>
      <c r="V355" s="25"/>
      <c r="W355" s="25">
        <f>W308</f>
        <v>-343473.4780150518</v>
      </c>
      <c r="X355" s="39"/>
      <c r="Y355" s="25">
        <f>Y308</f>
        <v>-114005.52457589304</v>
      </c>
      <c r="Z355" s="25"/>
      <c r="AA355" s="25">
        <f>AA308</f>
        <v>-86494.20561838591</v>
      </c>
      <c r="AB355" s="25"/>
      <c r="AC355" s="25">
        <f>AC308</f>
        <v>-56120.28904477665</v>
      </c>
      <c r="AD355" s="25"/>
      <c r="AE355" s="25">
        <f>AE308</f>
        <v>-458.376580203268</v>
      </c>
      <c r="AF355" s="25"/>
      <c r="AG355" s="25">
        <f>AG308</f>
        <v>-336.1428254823966</v>
      </c>
      <c r="AH355" s="25"/>
      <c r="AI355" s="39">
        <f>AI308</f>
        <v>-162627.78152198438</v>
      </c>
      <c r="AJ355" s="25"/>
      <c r="AK355" s="136"/>
      <c r="AL355" s="14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</row>
    <row r="356" spans="1:50" ht="26.25" customHeight="1">
      <c r="A356" s="15">
        <v>12</v>
      </c>
      <c r="B356" s="129" t="s">
        <v>83</v>
      </c>
      <c r="C356" s="25">
        <f aca="true" t="shared" si="9" ref="C356:E358">C311</f>
        <v>82793467.4252741</v>
      </c>
      <c r="D356" s="25"/>
      <c r="E356" s="25">
        <f t="shared" si="9"/>
        <v>54328869.48883012</v>
      </c>
      <c r="F356" s="25"/>
      <c r="G356" s="25">
        <f>G311</f>
        <v>121708.07459950651</v>
      </c>
      <c r="H356" s="25"/>
      <c r="I356" s="25">
        <f>I311</f>
        <v>16401.442048871188</v>
      </c>
      <c r="J356" s="25"/>
      <c r="K356" s="25">
        <f>K311</f>
        <v>319255.83695941616</v>
      </c>
      <c r="L356" s="25"/>
      <c r="M356" s="25">
        <f>M311</f>
        <v>4301787.9950028565</v>
      </c>
      <c r="N356" s="25"/>
      <c r="O356" s="25">
        <f>O311</f>
        <v>9672608.787670935</v>
      </c>
      <c r="P356" s="25"/>
      <c r="Q356" s="25">
        <f>Q311</f>
        <v>8163608.773541869</v>
      </c>
      <c r="R356" s="25"/>
      <c r="S356" s="25">
        <f>S311</f>
        <v>2768929.5069737667</v>
      </c>
      <c r="T356" s="25"/>
      <c r="U356" s="25">
        <f>U311</f>
        <v>847603.7738380956</v>
      </c>
      <c r="V356" s="25"/>
      <c r="W356" s="25">
        <f>W311</f>
        <v>299763.42450367694</v>
      </c>
      <c r="X356" s="25"/>
      <c r="Y356" s="25">
        <f>Y311</f>
        <v>223797.59505913281</v>
      </c>
      <c r="Z356" s="25"/>
      <c r="AA356" s="25">
        <f>AA311</f>
        <v>381343.3477192059</v>
      </c>
      <c r="AB356" s="25"/>
      <c r="AC356" s="25">
        <f>AC311</f>
        <v>401981.86753442645</v>
      </c>
      <c r="AD356" s="25"/>
      <c r="AE356" s="25">
        <f>AE311</f>
        <v>37129.831140262824</v>
      </c>
      <c r="AF356" s="25"/>
      <c r="AG356" s="25">
        <f>AG311</f>
        <v>29888.396017456373</v>
      </c>
      <c r="AH356" s="25"/>
      <c r="AI356" s="39">
        <f>AI311</f>
        <v>878789.2838345178</v>
      </c>
      <c r="AJ356" s="25"/>
      <c r="AK356" s="136"/>
      <c r="AL356" s="14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</row>
    <row r="357" spans="1:50" ht="26.25" customHeight="1">
      <c r="A357" s="15">
        <v>13</v>
      </c>
      <c r="B357" s="129" t="s">
        <v>84</v>
      </c>
      <c r="C357" s="25">
        <f t="shared" si="9"/>
        <v>96932233.76097202</v>
      </c>
      <c r="D357" s="25"/>
      <c r="E357" s="25">
        <f t="shared" si="9"/>
        <v>17091005.519849572</v>
      </c>
      <c r="F357" s="25"/>
      <c r="G357" s="25">
        <f>G312</f>
        <v>0</v>
      </c>
      <c r="H357" s="25"/>
      <c r="I357" s="25">
        <f>I312</f>
        <v>152635.92165469367</v>
      </c>
      <c r="J357" s="25"/>
      <c r="K357" s="25">
        <f>K312</f>
        <v>0</v>
      </c>
      <c r="L357" s="25"/>
      <c r="M357" s="25">
        <f>M312</f>
        <v>1564544.9747722475</v>
      </c>
      <c r="N357" s="25"/>
      <c r="O357" s="25">
        <f>O312</f>
        <v>13140654.385357149</v>
      </c>
      <c r="P357" s="25"/>
      <c r="Q357" s="25">
        <f>Q312</f>
        <v>23237760.511992406</v>
      </c>
      <c r="R357" s="25"/>
      <c r="S357" s="25">
        <f>S312</f>
        <v>13190373.081525367</v>
      </c>
      <c r="T357" s="25"/>
      <c r="U357" s="25">
        <f>U312</f>
        <v>7272164.190543854</v>
      </c>
      <c r="V357" s="25"/>
      <c r="W357" s="25">
        <f>W312</f>
        <v>7363008.071602117</v>
      </c>
      <c r="X357" s="25"/>
      <c r="Y357" s="25">
        <f>Y312</f>
        <v>3322475.386612471</v>
      </c>
      <c r="Z357" s="25"/>
      <c r="AA357" s="25">
        <f>AA312</f>
        <v>4000283.6687413193</v>
      </c>
      <c r="AB357" s="25"/>
      <c r="AC357" s="25">
        <f>AC312</f>
        <v>852622.8422493028</v>
      </c>
      <c r="AD357" s="25"/>
      <c r="AE357" s="25">
        <f>AE312</f>
        <v>69765.44712717904</v>
      </c>
      <c r="AF357" s="25"/>
      <c r="AG357" s="25">
        <f>AG312</f>
        <v>224745.5490947981</v>
      </c>
      <c r="AH357" s="25"/>
      <c r="AI357" s="39">
        <f>AI312</f>
        <v>5450194.209849551</v>
      </c>
      <c r="AJ357" s="25"/>
      <c r="AK357" s="136"/>
      <c r="AL357" s="14"/>
      <c r="AM357" s="8"/>
      <c r="AN357" s="8"/>
      <c r="AO357" s="27"/>
      <c r="AP357" s="8"/>
      <c r="AQ357" s="8"/>
      <c r="AR357" s="8"/>
      <c r="AS357" s="8"/>
      <c r="AT357" s="8"/>
      <c r="AU357" s="8"/>
      <c r="AV357" s="8"/>
      <c r="AW357" s="8"/>
      <c r="AX357" s="8"/>
    </row>
    <row r="358" spans="1:50" ht="26.25" customHeight="1">
      <c r="A358" s="15">
        <v>14</v>
      </c>
      <c r="B358" s="129" t="s">
        <v>85</v>
      </c>
      <c r="C358" s="25">
        <f t="shared" si="9"/>
        <v>0</v>
      </c>
      <c r="D358" s="25"/>
      <c r="E358" s="25">
        <f t="shared" si="9"/>
        <v>0</v>
      </c>
      <c r="F358" s="25"/>
      <c r="G358" s="25">
        <f>G313</f>
        <v>0</v>
      </c>
      <c r="H358" s="25"/>
      <c r="I358" s="25">
        <f>I313</f>
        <v>0</v>
      </c>
      <c r="J358" s="25"/>
      <c r="K358" s="25">
        <f>K313</f>
        <v>0</v>
      </c>
      <c r="L358" s="25"/>
      <c r="M358" s="25">
        <f>M313</f>
        <v>0</v>
      </c>
      <c r="N358" s="25"/>
      <c r="O358" s="25">
        <f>O313</f>
        <v>0</v>
      </c>
      <c r="P358" s="25"/>
      <c r="Q358" s="25">
        <f>Q313</f>
        <v>0</v>
      </c>
      <c r="R358" s="25"/>
      <c r="S358" s="25">
        <f>S313</f>
        <v>0</v>
      </c>
      <c r="T358" s="25"/>
      <c r="U358" s="25">
        <f>U313</f>
        <v>0</v>
      </c>
      <c r="V358" s="25"/>
      <c r="W358" s="25">
        <f>W313</f>
        <v>0</v>
      </c>
      <c r="X358" s="25"/>
      <c r="Y358" s="25">
        <f>Y313</f>
        <v>0</v>
      </c>
      <c r="Z358" s="25"/>
      <c r="AA358" s="25">
        <f>AA313</f>
        <v>0</v>
      </c>
      <c r="AB358" s="25"/>
      <c r="AC358" s="25">
        <f>AC313</f>
        <v>0</v>
      </c>
      <c r="AD358" s="25"/>
      <c r="AE358" s="25">
        <f>AE313</f>
        <v>0</v>
      </c>
      <c r="AF358" s="25"/>
      <c r="AG358" s="25">
        <f>AG313</f>
        <v>0</v>
      </c>
      <c r="AH358" s="25"/>
      <c r="AI358" s="39">
        <f>AI313</f>
        <v>0</v>
      </c>
      <c r="AJ358" s="25"/>
      <c r="AK358" s="136"/>
      <c r="AL358" s="14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</row>
    <row r="359" spans="1:50" ht="26.25" customHeight="1">
      <c r="A359" s="15">
        <v>15</v>
      </c>
      <c r="B359" s="129" t="s">
        <v>86</v>
      </c>
      <c r="C359" s="25">
        <f>C315</f>
        <v>1052682.921344249</v>
      </c>
      <c r="D359" s="25"/>
      <c r="E359" s="25">
        <f>E315</f>
        <v>418317.92653999984</v>
      </c>
      <c r="F359" s="25"/>
      <c r="G359" s="25">
        <f>G315</f>
        <v>712.8641628601806</v>
      </c>
      <c r="H359" s="25"/>
      <c r="I359" s="25">
        <f>I315</f>
        <v>990.0795749596242</v>
      </c>
      <c r="J359" s="25"/>
      <c r="K359" s="25">
        <f>K315</f>
        <v>1869.9338207526232</v>
      </c>
      <c r="L359" s="25"/>
      <c r="M359" s="25">
        <f>M315</f>
        <v>34360.074755260015</v>
      </c>
      <c r="N359" s="25"/>
      <c r="O359" s="25">
        <f>O315</f>
        <v>133621.02561776614</v>
      </c>
      <c r="P359" s="25"/>
      <c r="Q359" s="25">
        <f>Q315</f>
        <v>183922.9722601046</v>
      </c>
      <c r="R359" s="25"/>
      <c r="S359" s="25">
        <f>S315</f>
        <v>93476.25387238587</v>
      </c>
      <c r="T359" s="25"/>
      <c r="U359" s="25">
        <f>U315</f>
        <v>47558.81326358211</v>
      </c>
      <c r="V359" s="25"/>
      <c r="W359" s="25">
        <f>W315</f>
        <v>44882.109964645344</v>
      </c>
      <c r="X359" s="25"/>
      <c r="Y359" s="25">
        <f>Y315</f>
        <v>20771.102728160775</v>
      </c>
      <c r="Z359" s="25"/>
      <c r="AA359" s="25">
        <f>AA315</f>
        <v>25663.9083752899</v>
      </c>
      <c r="AB359" s="25"/>
      <c r="AC359" s="25">
        <f>AC315</f>
        <v>7348.425641465569</v>
      </c>
      <c r="AD359" s="25"/>
      <c r="AE359" s="25">
        <f>AE315</f>
        <v>626.1031842511375</v>
      </c>
      <c r="AF359" s="25"/>
      <c r="AG359" s="25">
        <f>AG315</f>
        <v>1491.432797006621</v>
      </c>
      <c r="AH359" s="25"/>
      <c r="AI359" s="39">
        <f>AI315</f>
        <v>37069.89478575885</v>
      </c>
      <c r="AJ359" s="25"/>
      <c r="AK359" s="136"/>
      <c r="AL359" s="14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</row>
    <row r="360" spans="1:50" ht="26.25" customHeight="1">
      <c r="A360" s="15">
        <v>16</v>
      </c>
      <c r="B360" s="129" t="s">
        <v>87</v>
      </c>
      <c r="C360" s="25">
        <f>C74</f>
        <v>338794.7432492231</v>
      </c>
      <c r="D360" s="25"/>
      <c r="E360" s="25">
        <f>E74</f>
        <v>306274.9444636884</v>
      </c>
      <c r="F360" s="25"/>
      <c r="G360" s="25">
        <f>G74</f>
        <v>716</v>
      </c>
      <c r="H360" s="25"/>
      <c r="I360" s="25">
        <f>I74</f>
        <v>63</v>
      </c>
      <c r="J360" s="25"/>
      <c r="K360" s="25">
        <f>K74</f>
        <v>792</v>
      </c>
      <c r="L360" s="25"/>
      <c r="M360" s="25">
        <f>M74</f>
        <v>10426.083333333332</v>
      </c>
      <c r="N360" s="25"/>
      <c r="O360" s="25">
        <f>O74</f>
        <v>13327.866892404887</v>
      </c>
      <c r="P360" s="25"/>
      <c r="Q360" s="25">
        <f>Q74</f>
        <v>6063.641221374046</v>
      </c>
      <c r="R360" s="25"/>
      <c r="S360" s="25">
        <f>S74</f>
        <v>827.7073384223919</v>
      </c>
      <c r="T360" s="25"/>
      <c r="U360" s="25">
        <f>U74</f>
        <v>123</v>
      </c>
      <c r="V360" s="25"/>
      <c r="W360" s="25">
        <f>W74</f>
        <v>103.5</v>
      </c>
      <c r="X360" s="25"/>
      <c r="Y360" s="25">
        <f>Y74</f>
        <v>26</v>
      </c>
      <c r="Z360" s="25"/>
      <c r="AA360" s="25">
        <f>AA74</f>
        <v>14</v>
      </c>
      <c r="AB360" s="25"/>
      <c r="AC360" s="25">
        <f>AC74</f>
        <v>3</v>
      </c>
      <c r="AD360" s="25"/>
      <c r="AE360" s="25">
        <f>AE74</f>
        <v>15</v>
      </c>
      <c r="AF360" s="25"/>
      <c r="AG360" s="25">
        <f>AG74</f>
        <v>11</v>
      </c>
      <c r="AH360" s="25"/>
      <c r="AI360" s="39">
        <f>AI74</f>
        <v>8</v>
      </c>
      <c r="AJ360" s="25"/>
      <c r="AK360" s="136"/>
      <c r="AL360" s="14"/>
      <c r="AM360" s="8"/>
      <c r="AN360" s="8"/>
      <c r="AO360" s="12"/>
      <c r="AP360" s="8"/>
      <c r="AQ360" s="8"/>
      <c r="AR360" s="8"/>
      <c r="AS360" s="8"/>
      <c r="AT360" s="8"/>
      <c r="AU360" s="8"/>
      <c r="AV360" s="8"/>
      <c r="AW360" s="8"/>
      <c r="AX360" s="8"/>
    </row>
    <row r="361" spans="1:50" ht="26.25" customHeight="1">
      <c r="A361" s="15">
        <v>17</v>
      </c>
      <c r="B361" s="129" t="s">
        <v>214</v>
      </c>
      <c r="C361" s="25">
        <f>SUM(E361:AI361)</f>
        <v>85557628.87177394</v>
      </c>
      <c r="D361" s="25"/>
      <c r="E361" s="25">
        <f>+'H-2 Reclass-Workpaper'!E84</f>
        <v>12401124.630906796</v>
      </c>
      <c r="F361" s="25"/>
      <c r="G361" s="25">
        <f>+'H-2 Reclass-Workpaper'!I84</f>
        <v>0</v>
      </c>
      <c r="H361" s="25"/>
      <c r="I361" s="25">
        <f>+'H-2 Reclass-Workpaper'!M84</f>
        <v>82171.21933301409</v>
      </c>
      <c r="J361" s="25"/>
      <c r="K361" s="25">
        <f>+'H-2 Reclass-Workpaper'!O84</f>
        <v>0</v>
      </c>
      <c r="L361" s="25"/>
      <c r="M361" s="25">
        <f>+'H-2 Reclass-Workpaper'!Q84</f>
        <v>944291.3396998334</v>
      </c>
      <c r="N361" s="25"/>
      <c r="O361" s="25">
        <f>+'H-2 Reclass-Workpaper'!S84</f>
        <v>7920164.281236088</v>
      </c>
      <c r="P361" s="25"/>
      <c r="Q361" s="25">
        <f>+'H-2 Reclass-Workpaper'!W84</f>
        <v>13764298.335835133</v>
      </c>
      <c r="R361" s="25"/>
      <c r="S361" s="25">
        <f>+'H-2 Reclass-Workpaper'!Y84</f>
        <v>7371754.856220434</v>
      </c>
      <c r="T361" s="25"/>
      <c r="U361" s="25">
        <f>+'H-2 Reclass-Workpaper'!AA84</f>
        <v>3888600.4830600945</v>
      </c>
      <c r="V361" s="25"/>
      <c r="W361" s="25">
        <f>+'H-2 Reclass-Workpaper'!AC84</f>
        <v>6027183.301539903</v>
      </c>
      <c r="X361" s="25"/>
      <c r="Y361" s="25">
        <f>+'H-2 Reclass-Workpaper'!AE84</f>
        <v>4256556.672922276</v>
      </c>
      <c r="Z361" s="25"/>
      <c r="AA361" s="25">
        <f>+'H-2 Reclass-Workpaper'!AG84</f>
        <v>12241373.68572075</v>
      </c>
      <c r="AB361" s="25"/>
      <c r="AC361" s="25">
        <f>+'H-2 Reclass-Workpaper'!AI84</f>
        <v>6402662.396711641</v>
      </c>
      <c r="AD361" s="25"/>
      <c r="AE361" s="25">
        <f>+'H-2 Reclass-Workpaper'!AK84</f>
        <v>36175.13558788515</v>
      </c>
      <c r="AF361" s="25"/>
      <c r="AG361" s="25">
        <f>+'H-2 Reclass-Workpaper'!AM84</f>
        <v>99744.66666666669</v>
      </c>
      <c r="AH361" s="25"/>
      <c r="AI361" s="25">
        <f>+'H-2 Reclass-Workpaper'!AO84</f>
        <v>10121527.866333429</v>
      </c>
      <c r="AJ361" s="25"/>
      <c r="AK361" s="136"/>
      <c r="AL361" s="14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</row>
    <row r="362" spans="1:50" ht="26.25" customHeight="1">
      <c r="A362" s="15">
        <v>18</v>
      </c>
      <c r="B362" s="129" t="s">
        <v>88</v>
      </c>
      <c r="C362" s="25">
        <f>C119</f>
        <v>1081229663.7475867</v>
      </c>
      <c r="D362" s="25"/>
      <c r="E362" s="25">
        <f>E119</f>
        <v>61965936.06062825</v>
      </c>
      <c r="F362" s="25"/>
      <c r="G362" s="25">
        <f>G119</f>
        <v>0</v>
      </c>
      <c r="H362" s="25"/>
      <c r="I362" s="25">
        <f>I119</f>
        <v>901551.5528224041</v>
      </c>
      <c r="J362" s="25"/>
      <c r="K362" s="25">
        <f>K119</f>
        <v>0</v>
      </c>
      <c r="L362" s="25"/>
      <c r="M362" s="25">
        <f>M119</f>
        <v>8296450.228259446</v>
      </c>
      <c r="N362" s="25"/>
      <c r="O362" s="25">
        <f>O119</f>
        <v>65430832.67584133</v>
      </c>
      <c r="P362" s="25"/>
      <c r="Q362" s="25">
        <f>Q119</f>
        <v>124454784.49334837</v>
      </c>
      <c r="R362" s="25"/>
      <c r="S362" s="25">
        <f>S119</f>
        <v>74743911.70722145</v>
      </c>
      <c r="T362" s="25"/>
      <c r="U362" s="25">
        <f>U119</f>
        <v>43269635.39999999</v>
      </c>
      <c r="V362" s="25"/>
      <c r="W362" s="25">
        <f>W119</f>
        <v>64790915.29999999</v>
      </c>
      <c r="X362" s="25"/>
      <c r="Y362" s="25">
        <f>Y119</f>
        <v>48728719</v>
      </c>
      <c r="Z362" s="25"/>
      <c r="AA362" s="25">
        <f>AA119</f>
        <v>134464513</v>
      </c>
      <c r="AB362" s="25"/>
      <c r="AC362" s="25">
        <f>AC119</f>
        <v>152002324.00399998</v>
      </c>
      <c r="AD362" s="25"/>
      <c r="AE362" s="25">
        <f>AE119</f>
        <v>428668.34253232955</v>
      </c>
      <c r="AF362" s="25"/>
      <c r="AG362" s="25">
        <f>AG119</f>
        <v>1582429.9833333336</v>
      </c>
      <c r="AH362" s="25"/>
      <c r="AI362" s="39">
        <f>AI119</f>
        <v>300168991.9996</v>
      </c>
      <c r="AJ362" s="25"/>
      <c r="AK362" s="136"/>
      <c r="AL362" s="14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</row>
    <row r="363" spans="1:50" ht="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5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</row>
    <row r="364" spans="1:50" ht="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5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</row>
    <row r="365" spans="1:50" ht="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5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</row>
    <row r="366" spans="1:50" ht="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5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</row>
    <row r="367" spans="1:50" ht="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5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</row>
    <row r="368" spans="1:50" ht="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5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</row>
    <row r="369" spans="1:50" ht="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5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</row>
    <row r="370" spans="1:50" ht="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5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</row>
    <row r="371" spans="1:50" ht="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5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</row>
    <row r="372" spans="1:50" ht="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5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</row>
    <row r="373" spans="1:50" ht="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5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</row>
    <row r="374" spans="1:50" ht="1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5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</row>
    <row r="375" spans="1:50" ht="15">
      <c r="A375" s="8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</row>
    <row r="376" spans="1:50" ht="15">
      <c r="A376" s="8"/>
      <c r="B376" s="11" t="s">
        <v>223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11" t="s">
        <v>224</v>
      </c>
      <c r="AF376" s="8"/>
      <c r="AG376" s="11"/>
      <c r="AH376" s="8"/>
      <c r="AI376" s="8"/>
      <c r="AJ376" s="8"/>
      <c r="AK376" s="5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</row>
    <row r="377" spans="1:50" ht="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5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</row>
    <row r="378" spans="1:50" ht="15">
      <c r="A378" s="8" t="s">
        <v>187</v>
      </c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5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</row>
    <row r="379" spans="1:50" ht="15">
      <c r="A379" s="8" t="s">
        <v>166</v>
      </c>
      <c r="B379" s="8" t="str">
        <f>+'[5]SCHH-1'!B355</f>
        <v>CONNECTION CHARGE-RESIDENTIAL</v>
      </c>
      <c r="C379" s="98">
        <f>+'[5]SCHH-1'!G355</f>
        <v>1284801</v>
      </c>
      <c r="D379" s="8"/>
      <c r="E379" s="98">
        <f>+$C379*E$74/$C$401</f>
        <v>1281804.4376173308</v>
      </c>
      <c r="F379" s="8"/>
      <c r="G379" s="98">
        <f>+$C379*G$74/$C$401</f>
        <v>2996.562382669271</v>
      </c>
      <c r="H379" s="8"/>
      <c r="I379" s="98">
        <v>0</v>
      </c>
      <c r="J379" s="8"/>
      <c r="K379" s="98">
        <v>0</v>
      </c>
      <c r="L379" s="8"/>
      <c r="M379" s="98">
        <v>0</v>
      </c>
      <c r="N379" s="8"/>
      <c r="O379" s="98">
        <v>0</v>
      </c>
      <c r="P379" s="8"/>
      <c r="Q379" s="98">
        <v>0</v>
      </c>
      <c r="R379" s="8"/>
      <c r="S379" s="98">
        <v>0</v>
      </c>
      <c r="T379" s="8"/>
      <c r="U379" s="98">
        <v>0</v>
      </c>
      <c r="V379" s="8"/>
      <c r="W379" s="98">
        <v>0</v>
      </c>
      <c r="X379" s="8"/>
      <c r="Y379" s="98">
        <v>0</v>
      </c>
      <c r="Z379" s="8"/>
      <c r="AA379" s="98">
        <v>0</v>
      </c>
      <c r="AB379" s="8"/>
      <c r="AC379" s="98">
        <v>0</v>
      </c>
      <c r="AD379" s="8"/>
      <c r="AE379" s="98">
        <v>0</v>
      </c>
      <c r="AF379" s="8"/>
      <c r="AG379" s="98">
        <v>0</v>
      </c>
      <c r="AH379" s="8"/>
      <c r="AI379" s="98">
        <v>0</v>
      </c>
      <c r="AJ379" s="8"/>
      <c r="AK379" s="5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</row>
    <row r="380" spans="1:50" ht="15">
      <c r="A380" s="8" t="s">
        <v>167</v>
      </c>
      <c r="B380" s="8" t="str">
        <f>+'[5]SCHH-1'!B356</f>
        <v>CONNECTION CHARGE-COMMERCIAL</v>
      </c>
      <c r="C380" s="98">
        <f>+'[5]SCHH-1'!G356</f>
        <v>182886</v>
      </c>
      <c r="D380" s="8"/>
      <c r="E380" s="9">
        <v>0</v>
      </c>
      <c r="F380" s="8"/>
      <c r="G380" s="9">
        <v>0</v>
      </c>
      <c r="H380" s="8"/>
      <c r="I380" s="9">
        <f>+$C380*I$74/$C$402</f>
        <v>362.27804350342154</v>
      </c>
      <c r="J380" s="8"/>
      <c r="K380" s="9">
        <f>+$C380*K$74/$C$402</f>
        <v>4554.352546900156</v>
      </c>
      <c r="L380" s="8"/>
      <c r="M380" s="9">
        <f>+$C380*M$74/$C$402</f>
        <v>59954.62018101002</v>
      </c>
      <c r="N380" s="8"/>
      <c r="O380" s="9">
        <f>+$C380*O$74/$C$402</f>
        <v>76641.16733102332</v>
      </c>
      <c r="P380" s="8"/>
      <c r="Q380" s="9">
        <f>+$C380*Q$74/$C$402</f>
        <v>34868.63616168391</v>
      </c>
      <c r="R380" s="8"/>
      <c r="S380" s="9">
        <f>+$C380*S$74/$C$402</f>
        <v>4759.685637414103</v>
      </c>
      <c r="T380" s="8"/>
      <c r="U380" s="9">
        <f>+$C380*U$74/$C$402</f>
        <v>707.3047516019182</v>
      </c>
      <c r="V380" s="8"/>
      <c r="W380" s="9">
        <f>$C380*+W$74/$C$402</f>
        <v>595.1710714699068</v>
      </c>
      <c r="X380" s="8"/>
      <c r="Y380" s="9">
        <f>$C380*+Y$74/$C$402</f>
        <v>149.51157350934855</v>
      </c>
      <c r="Z380" s="8"/>
      <c r="AA380" s="9">
        <f>$C380*+AA$74/$C$402</f>
        <v>80.50623188964923</v>
      </c>
      <c r="AB380" s="8"/>
      <c r="AC380" s="9">
        <f>$C380*+AC$74/$C$402</f>
        <v>17.251335404924834</v>
      </c>
      <c r="AD380" s="8"/>
      <c r="AE380" s="9">
        <f>+$C380*AE$74/$C$402</f>
        <v>86.25667702462417</v>
      </c>
      <c r="AF380" s="8"/>
      <c r="AG380" s="9">
        <f>+$C380*AG$74/$C$402</f>
        <v>63.25489648472439</v>
      </c>
      <c r="AH380" s="8"/>
      <c r="AI380" s="9">
        <f>$C380*+AI$74/$C$402</f>
        <v>46.00356107979956</v>
      </c>
      <c r="AJ380" s="8"/>
      <c r="AK380" s="5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</row>
    <row r="381" spans="1:50" ht="15">
      <c r="A381" s="8" t="s">
        <v>166</v>
      </c>
      <c r="B381" s="8" t="str">
        <f>+'[5]SCHH-1'!B357</f>
        <v>RECONNECTION CHARGE-RESIDENTIAL</v>
      </c>
      <c r="C381" s="98">
        <f>+'[5]SCHH-1'!G357</f>
        <v>1059992.824753785</v>
      </c>
      <c r="D381" s="8"/>
      <c r="E381" s="9">
        <f>+$C381*E$74/$C$401</f>
        <v>1057520.5861545338</v>
      </c>
      <c r="F381" s="8"/>
      <c r="G381" s="9">
        <f>+$C381*G$74/$C$401</f>
        <v>2472.238599251194</v>
      </c>
      <c r="H381" s="8"/>
      <c r="I381" s="9">
        <v>0</v>
      </c>
      <c r="J381" s="8"/>
      <c r="K381" s="9">
        <v>0</v>
      </c>
      <c r="L381" s="8"/>
      <c r="M381" s="9">
        <v>0</v>
      </c>
      <c r="N381" s="8"/>
      <c r="O381" s="9">
        <v>0</v>
      </c>
      <c r="P381" s="8"/>
      <c r="Q381" s="9">
        <v>0</v>
      </c>
      <c r="R381" s="8"/>
      <c r="S381" s="9">
        <v>0</v>
      </c>
      <c r="T381" s="8"/>
      <c r="U381" s="9">
        <v>0</v>
      </c>
      <c r="V381" s="8"/>
      <c r="W381" s="9">
        <v>0</v>
      </c>
      <c r="X381" s="8"/>
      <c r="Y381" s="9">
        <v>0</v>
      </c>
      <c r="Z381" s="8"/>
      <c r="AA381" s="9">
        <v>0</v>
      </c>
      <c r="AB381" s="8"/>
      <c r="AC381" s="9">
        <v>0</v>
      </c>
      <c r="AD381" s="8"/>
      <c r="AE381" s="9">
        <v>0</v>
      </c>
      <c r="AF381" s="8"/>
      <c r="AG381" s="9">
        <v>0</v>
      </c>
      <c r="AH381" s="8"/>
      <c r="AI381" s="9">
        <v>0</v>
      </c>
      <c r="AJ381" s="8"/>
      <c r="AK381" s="5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</row>
    <row r="382" spans="1:50" ht="15">
      <c r="A382" s="8" t="s">
        <v>167</v>
      </c>
      <c r="B382" s="8" t="str">
        <f>+'[5]SCHH-1'!B358</f>
        <v>RECONNECTION CHARGE-COMMERCIAL</v>
      </c>
      <c r="C382" s="98">
        <f>+'[5]SCHH-1'!G358</f>
        <v>99124.17903865941</v>
      </c>
      <c r="D382" s="8"/>
      <c r="E382" s="9">
        <v>0</v>
      </c>
      <c r="F382" s="8"/>
      <c r="G382" s="9">
        <v>0</v>
      </c>
      <c r="H382" s="8"/>
      <c r="I382" s="9">
        <f>+$C382*I$74/$C$402</f>
        <v>196.35463428588517</v>
      </c>
      <c r="J382" s="8"/>
      <c r="K382" s="9">
        <f>+$C382*K$74/$C$402</f>
        <v>2468.458259593985</v>
      </c>
      <c r="L382" s="8"/>
      <c r="M382" s="9">
        <f>+$C382*M$74/$C$402</f>
        <v>32495.393332552845</v>
      </c>
      <c r="N382" s="8"/>
      <c r="O382" s="9">
        <f>+$C382*O$74/$C$402</f>
        <v>41539.4988804622</v>
      </c>
      <c r="P382" s="8"/>
      <c r="Q382" s="9">
        <f>+$C382*Q$74/$C$402</f>
        <v>18898.794515297126</v>
      </c>
      <c r="R382" s="8"/>
      <c r="S382" s="9">
        <f>+$C382*S$74/$C$402</f>
        <v>2579.7487576455896</v>
      </c>
      <c r="T382" s="8"/>
      <c r="U382" s="9">
        <f>+$C382*U$74/$C$402</f>
        <v>383.3590478914901</v>
      </c>
      <c r="V382" s="8"/>
      <c r="W382" s="9">
        <f>$C382*+W$74/$C$402</f>
        <v>322.5826134696685</v>
      </c>
      <c r="X382" s="8"/>
      <c r="Y382" s="9">
        <f>$C382*+Y$74/$C$402</f>
        <v>81.03524589576213</v>
      </c>
      <c r="Z382" s="8"/>
      <c r="AA382" s="9">
        <f>$C382*+AA$74/$C$402</f>
        <v>43.63436317464115</v>
      </c>
      <c r="AB382" s="8"/>
      <c r="AC382" s="9">
        <f>$C382*+AC$74/$C$402</f>
        <v>9.350220680280245</v>
      </c>
      <c r="AD382" s="8"/>
      <c r="AE382" s="9">
        <f>+$C382*AE$74/$C$402</f>
        <v>46.75110340140123</v>
      </c>
      <c r="AF382" s="8"/>
      <c r="AG382" s="9">
        <f>+$C382*AG$74/$C$402</f>
        <v>34.28414249436091</v>
      </c>
      <c r="AH382" s="8"/>
      <c r="AI382" s="9">
        <f>$C382*+AI$74/$C$402</f>
        <v>24.93392181408066</v>
      </c>
      <c r="AJ382" s="8"/>
      <c r="AK382" s="5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</row>
    <row r="383" spans="1:50" ht="15">
      <c r="A383" s="8" t="s">
        <v>168</v>
      </c>
      <c r="B383" s="8" t="str">
        <f>+'[5]SCHH-1'!B359</f>
        <v>COLLECTION IN LIEU OF DISCONNECT</v>
      </c>
      <c r="C383" s="98">
        <f>+'[5]SCHH-1'!G359</f>
        <v>1385568.9962075555</v>
      </c>
      <c r="D383" s="8"/>
      <c r="E383" s="9">
        <f>+$C383*E$74/$C$74</f>
        <v>1252572.7621809866</v>
      </c>
      <c r="F383" s="8"/>
      <c r="G383" s="9">
        <f>+$C383*G$74/$C$74</f>
        <v>2928.2254847585646</v>
      </c>
      <c r="H383" s="8"/>
      <c r="I383" s="9">
        <f>+$C383*I$74/$C$74</f>
        <v>257.65112505557204</v>
      </c>
      <c r="J383" s="8"/>
      <c r="K383" s="9">
        <f>+$C383*K$74/$C$74</f>
        <v>3239.042714984334</v>
      </c>
      <c r="L383" s="8"/>
      <c r="M383" s="9">
        <f>+$C383*M$74/$C$74</f>
        <v>42639.557154864786</v>
      </c>
      <c r="N383" s="8"/>
      <c r="O383" s="9">
        <f>+$C383*O$74/$C$74</f>
        <v>54506.982530460795</v>
      </c>
      <c r="P383" s="8"/>
      <c r="Q383" s="9">
        <f>+$C383*Q$74/$C$74</f>
        <v>24798.475914608982</v>
      </c>
      <c r="R383" s="8"/>
      <c r="S383" s="9">
        <f>+$C383*S$74/$C$74</f>
        <v>3385.0750311314664</v>
      </c>
      <c r="T383" s="8"/>
      <c r="U383" s="9">
        <f>+$C383*U$74/$C$74</f>
        <v>503.0331489180216</v>
      </c>
      <c r="V383" s="8"/>
      <c r="W383" s="9">
        <f>+$C383*W$74/$C$74</f>
        <v>423.28399116272544</v>
      </c>
      <c r="X383" s="8"/>
      <c r="Y383" s="9">
        <f>+$C383*Y$74/$C$74</f>
        <v>106.33221034039481</v>
      </c>
      <c r="Z383" s="8"/>
      <c r="AA383" s="9">
        <f>+$C383*AA$74/$C$74</f>
        <v>57.25580556790489</v>
      </c>
      <c r="AB383" s="8"/>
      <c r="AC383" s="9">
        <f>+$C383*AC$74/$C$74</f>
        <v>12.269101193122477</v>
      </c>
      <c r="AD383" s="8"/>
      <c r="AE383" s="9">
        <f>+$C383*AE$74/$C$74</f>
        <v>61.34550596561239</v>
      </c>
      <c r="AF383" s="8"/>
      <c r="AG383" s="9">
        <f>+$C383*AG$74/$C$74</f>
        <v>44.98670437478242</v>
      </c>
      <c r="AH383" s="8"/>
      <c r="AI383" s="9">
        <f>+$C383*AI$74/$C$74</f>
        <v>32.71760318165994</v>
      </c>
      <c r="AJ383" s="8"/>
      <c r="AK383" s="5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</row>
    <row r="384" spans="1:50" ht="15">
      <c r="A384" s="8" t="s">
        <v>168</v>
      </c>
      <c r="B384" s="8" t="str">
        <f>+'[5]SCHH-1'!B360</f>
        <v>CHANGE OF ACCOUNT</v>
      </c>
      <c r="C384" s="98">
        <f>+'[5]SCHH-1'!G360</f>
        <v>436452</v>
      </c>
      <c r="D384" s="8"/>
      <c r="E384" s="9">
        <f>+$C384*E$74/$C$74</f>
        <v>394558.4006972997</v>
      </c>
      <c r="F384" s="8"/>
      <c r="G384" s="9">
        <f>+$C384*G$74/$C$74</f>
        <v>922.386306832748</v>
      </c>
      <c r="H384" s="8"/>
      <c r="I384" s="9">
        <f>+$C384*I$74/$C$74</f>
        <v>81.15968900902672</v>
      </c>
      <c r="J384" s="8"/>
      <c r="K384" s="9">
        <f>+$C384*K$74/$C$74</f>
        <v>1020.2932332563358</v>
      </c>
      <c r="L384" s="8"/>
      <c r="M384" s="9">
        <f>+$C384*M$74/$C$74</f>
        <v>13431.391760563965</v>
      </c>
      <c r="N384" s="8"/>
      <c r="O384" s="9">
        <f>+$C384*O$74/$C$74</f>
        <v>17169.61162129022</v>
      </c>
      <c r="P384" s="8"/>
      <c r="Q384" s="9">
        <f>+$C384*Q$74/$C$74</f>
        <v>7811.479933159247</v>
      </c>
      <c r="R384" s="8"/>
      <c r="S384" s="9">
        <f>+$C384*S$74/$C$74</f>
        <v>1066.2931774103263</v>
      </c>
      <c r="T384" s="8"/>
      <c r="U384" s="9">
        <f>+$C384*U$74/$C$74</f>
        <v>158.4546309223855</v>
      </c>
      <c r="V384" s="8"/>
      <c r="W384" s="9">
        <f>+$C384*W$74/$C$74</f>
        <v>133.3337748005439</v>
      </c>
      <c r="X384" s="8"/>
      <c r="Y384" s="9">
        <f>+$C384*Y$74/$C$74</f>
        <v>33.49447482912213</v>
      </c>
      <c r="Z384" s="8"/>
      <c r="AA384" s="9">
        <f>+$C384*AA$74/$C$74</f>
        <v>18.03548644645038</v>
      </c>
      <c r="AB384" s="8"/>
      <c r="AC384" s="9">
        <f>+$C384*AC$74/$C$74</f>
        <v>3.864747095667939</v>
      </c>
      <c r="AD384" s="8"/>
      <c r="AE384" s="9">
        <f>+$C384*AE$74/$C$74</f>
        <v>19.323735478339692</v>
      </c>
      <c r="AF384" s="8"/>
      <c r="AG384" s="9">
        <f>+$C384*AG$74/$C$74</f>
        <v>14.170739350782442</v>
      </c>
      <c r="AH384" s="8"/>
      <c r="AI384" s="9">
        <f>+$C384*AI$74/$C$74</f>
        <v>10.305992255114504</v>
      </c>
      <c r="AJ384" s="8"/>
      <c r="AK384" s="5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</row>
    <row r="385" spans="1:50" ht="15">
      <c r="A385" s="8" t="s">
        <v>168</v>
      </c>
      <c r="B385" s="8" t="str">
        <f>+'[5]SCHH-1'!B361</f>
        <v>RETURN CHECK CHARGE</v>
      </c>
      <c r="C385" s="98">
        <f>+'[5]SCHH-1'!G361</f>
        <v>91903</v>
      </c>
      <c r="D385" s="8"/>
      <c r="E385" s="9">
        <f>+$C385*E$74/$C$74</f>
        <v>83081.53175901115</v>
      </c>
      <c r="F385" s="8"/>
      <c r="G385" s="9">
        <f>+$C385*G$74/$C$74</f>
        <v>194.22541025553795</v>
      </c>
      <c r="H385" s="8"/>
      <c r="I385" s="9">
        <f>+$C385*I$74/$C$74</f>
        <v>17.089665986171635</v>
      </c>
      <c r="J385" s="8"/>
      <c r="K385" s="9">
        <f>+$C385*K$74/$C$74</f>
        <v>214.84151525472913</v>
      </c>
      <c r="L385" s="8"/>
      <c r="M385" s="9">
        <f>+$C385*M$74/$C$74</f>
        <v>2828.2266938199623</v>
      </c>
      <c r="N385" s="8"/>
      <c r="O385" s="9">
        <f>+$C385*O$74/$C$74</f>
        <v>3615.3776745929335</v>
      </c>
      <c r="P385" s="8"/>
      <c r="Q385" s="9">
        <f>+$C385*Q$74/$C$74</f>
        <v>1644.850843385147</v>
      </c>
      <c r="R385" s="8"/>
      <c r="S385" s="9">
        <f>+$C385*S$74/$C$74</f>
        <v>224.52764996733023</v>
      </c>
      <c r="T385" s="8"/>
      <c r="U385" s="9">
        <f>+$C385*U$74/$C$74</f>
        <v>33.36553835395414</v>
      </c>
      <c r="V385" s="8"/>
      <c r="W385" s="9">
        <f>+$C385*W$74/$C$74</f>
        <v>28.07587983442483</v>
      </c>
      <c r="X385" s="8"/>
      <c r="Y385" s="9">
        <f>+$C385*Y$74/$C$74</f>
        <v>7.052878026039087</v>
      </c>
      <c r="Z385" s="8"/>
      <c r="AA385" s="9">
        <f>+$C385*AA$74/$C$74</f>
        <v>3.7977035524825853</v>
      </c>
      <c r="AB385" s="8"/>
      <c r="AC385" s="9">
        <f>+$C385*AC$74/$C$74</f>
        <v>0.8137936183891255</v>
      </c>
      <c r="AD385" s="8"/>
      <c r="AE385" s="9">
        <f>+$C385*AE$74/$C$74</f>
        <v>4.068968091945627</v>
      </c>
      <c r="AF385" s="8"/>
      <c r="AG385" s="9">
        <f>+$C385*AG$74/$C$74</f>
        <v>2.98390993409346</v>
      </c>
      <c r="AH385" s="8"/>
      <c r="AI385" s="9">
        <f>+$C385*AI$74/$C$74</f>
        <v>2.1701163157043344</v>
      </c>
      <c r="AJ385" s="8"/>
      <c r="AK385" s="5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</row>
    <row r="386" spans="1:50" ht="15">
      <c r="A386" s="8" t="s">
        <v>169</v>
      </c>
      <c r="B386" s="8" t="str">
        <f>+'[5]SCHH-1'!B362</f>
        <v>IT ADMINISTRATION CHARGE</v>
      </c>
      <c r="C386" s="98">
        <f>+'[5]SCHH-1'!G362</f>
        <v>507999.9999999981</v>
      </c>
      <c r="D386" s="8"/>
      <c r="E386" s="9">
        <v>0</v>
      </c>
      <c r="F386" s="8"/>
      <c r="G386" s="9">
        <v>0</v>
      </c>
      <c r="H386" s="8"/>
      <c r="I386" s="9">
        <v>0</v>
      </c>
      <c r="J386" s="8"/>
      <c r="K386" s="9">
        <v>0</v>
      </c>
      <c r="L386" s="8"/>
      <c r="M386" s="9">
        <v>0</v>
      </c>
      <c r="N386" s="8"/>
      <c r="O386" s="9">
        <v>0</v>
      </c>
      <c r="P386" s="8"/>
      <c r="Q386" s="9">
        <v>0</v>
      </c>
      <c r="R386" s="8"/>
      <c r="S386" s="9">
        <v>0</v>
      </c>
      <c r="T386" s="8"/>
      <c r="U386" s="9">
        <v>0</v>
      </c>
      <c r="V386" s="8"/>
      <c r="W386" s="9">
        <f>$C386*+W$74/$C$403</f>
        <v>340310.6796116492</v>
      </c>
      <c r="X386" s="8"/>
      <c r="Y386" s="9">
        <f>$C386*+Y$74/$C$403</f>
        <v>85488.67313915824</v>
      </c>
      <c r="Z386" s="8"/>
      <c r="AA386" s="9">
        <f>$C386*+AA$74/$C$403</f>
        <v>46032.36245954675</v>
      </c>
      <c r="AB386" s="8"/>
      <c r="AC386" s="9">
        <f>$C386*+AC$74/$C$403</f>
        <v>9864.077669902876</v>
      </c>
      <c r="AD386" s="8"/>
      <c r="AE386" s="9">
        <v>0</v>
      </c>
      <c r="AF386" s="8"/>
      <c r="AG386" s="9">
        <v>0</v>
      </c>
      <c r="AH386" s="8"/>
      <c r="AI386" s="9">
        <f>$C386*+AI$74/$C$403</f>
        <v>26304.207119741</v>
      </c>
      <c r="AJ386" s="8"/>
      <c r="AK386" s="5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</row>
    <row r="387" spans="1:50" ht="15">
      <c r="A387" s="8" t="s">
        <v>167</v>
      </c>
      <c r="B387" s="8" t="str">
        <f>+'[5]SCHH-1'!B363</f>
        <v>POOL MANAGER CHARGES</v>
      </c>
      <c r="C387" s="98">
        <f>+'[5]SCHH-1'!G363</f>
        <v>176355.99999999924</v>
      </c>
      <c r="D387" s="8"/>
      <c r="E387" s="9">
        <v>0</v>
      </c>
      <c r="F387" s="8"/>
      <c r="G387" s="9">
        <v>0</v>
      </c>
      <c r="H387" s="8"/>
      <c r="I387" s="9">
        <f>+$C387*I$74/$C$402</f>
        <v>349.3427962779498</v>
      </c>
      <c r="J387" s="8"/>
      <c r="K387" s="9">
        <f>+$C387*K$74/$C$402</f>
        <v>4391.73801035137</v>
      </c>
      <c r="L387" s="8"/>
      <c r="M387" s="9">
        <f>+$C387*M$74/$C$402</f>
        <v>57813.922315771335</v>
      </c>
      <c r="N387" s="8"/>
      <c r="O387" s="9">
        <f>+$C387*O$74/$C$402</f>
        <v>73904.67124782591</v>
      </c>
      <c r="P387" s="8"/>
      <c r="Q387" s="9">
        <f>+$C387*Q$74/$C$402</f>
        <v>33623.64095081035</v>
      </c>
      <c r="R387" s="8"/>
      <c r="S387" s="9">
        <f>+$C387*S$74/$C$402</f>
        <v>4589.739620702503</v>
      </c>
      <c r="T387" s="8"/>
      <c r="U387" s="9">
        <f>+$C387*U$74/$C$402</f>
        <v>682.0502213045687</v>
      </c>
      <c r="V387" s="8"/>
      <c r="W387" s="9">
        <f>$C387*+W$74/$C$402</f>
        <v>573.9203081709176</v>
      </c>
      <c r="X387" s="8"/>
      <c r="Y387" s="9">
        <f>$C387*+Y$74/$C$402</f>
        <v>144.17321751153486</v>
      </c>
      <c r="Z387" s="8"/>
      <c r="AA387" s="9">
        <f>$C387*+AA$74/$C$402</f>
        <v>77.63173250621107</v>
      </c>
      <c r="AB387" s="8"/>
      <c r="AC387" s="9">
        <f>$C387*+AC$74/$C$402</f>
        <v>16.63537125133094</v>
      </c>
      <c r="AD387" s="8"/>
      <c r="AE387" s="9">
        <f>+$C387*AE$74/$C$402</f>
        <v>83.17685625665473</v>
      </c>
      <c r="AF387" s="8"/>
      <c r="AG387" s="9">
        <f>+$C387*AG$74/$C$402</f>
        <v>60.99636125488013</v>
      </c>
      <c r="AH387" s="8"/>
      <c r="AI387" s="9">
        <f>$C387*+AI$74/$C$402</f>
        <v>44.36099000354918</v>
      </c>
      <c r="AJ387" s="8"/>
      <c r="AK387" s="5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</row>
    <row r="388" spans="1:50" ht="15">
      <c r="A388" s="8" t="s">
        <v>168</v>
      </c>
      <c r="B388" s="8" t="str">
        <f>+'[5]SCHH-1'!B364</f>
        <v>FORFEITED DISCOUNTS</v>
      </c>
      <c r="C388" s="98">
        <f>+'[5]SCHH-1'!G364</f>
        <v>862216.8</v>
      </c>
      <c r="D388" s="8"/>
      <c r="E388" s="9">
        <f>+$C388*E$74/$C$74</f>
        <v>779455.4307514767</v>
      </c>
      <c r="F388" s="8"/>
      <c r="G388" s="9">
        <f>+$C388*G$74/$C$74</f>
        <v>1822.1865631069402</v>
      </c>
      <c r="H388" s="8"/>
      <c r="I388" s="9">
        <f>+$C388*I$74/$C$74</f>
        <v>160.3320579270073</v>
      </c>
      <c r="J388" s="8"/>
      <c r="K388" s="9">
        <f>+$C388*K$74/$C$74</f>
        <v>2015.6030139395202</v>
      </c>
      <c r="L388" s="8"/>
      <c r="M388" s="9">
        <f>+$C388*M$74/$C$74</f>
        <v>26533.89518971119</v>
      </c>
      <c r="N388" s="8"/>
      <c r="O388" s="9">
        <f>+$C388*O$74/$C$74</f>
        <v>33918.79883550005</v>
      </c>
      <c r="P388" s="8"/>
      <c r="Q388" s="9">
        <f>+$C388*Q$74/$C$74</f>
        <v>15431.683738951313</v>
      </c>
      <c r="R388" s="8"/>
      <c r="S388" s="9">
        <f>+$C388*S$74/$C$74</f>
        <v>2106.4765227071107</v>
      </c>
      <c r="T388" s="8"/>
      <c r="U388" s="9">
        <f>+$C388*U$74/$C$74</f>
        <v>313.02925595272853</v>
      </c>
      <c r="V388" s="8"/>
      <c r="W388" s="9">
        <f>+$C388*W$74/$C$74</f>
        <v>263.4026665943692</v>
      </c>
      <c r="X388" s="8"/>
      <c r="Y388" s="9">
        <f>+$C388*Y$74/$C$74</f>
        <v>66.16878581114587</v>
      </c>
      <c r="Z388" s="8"/>
      <c r="AA388" s="9">
        <f>+$C388*AA$74/$C$74</f>
        <v>35.62934620600162</v>
      </c>
      <c r="AB388" s="8"/>
      <c r="AC388" s="9">
        <f>+$C388*AC$74/$C$74</f>
        <v>7.634859901286062</v>
      </c>
      <c r="AD388" s="8"/>
      <c r="AE388" s="9">
        <f>+$C388*AE$74/$C$74</f>
        <v>38.17429950643031</v>
      </c>
      <c r="AF388" s="8"/>
      <c r="AG388" s="9">
        <f>+$C388*AG$74/$C$74</f>
        <v>27.99448630471556</v>
      </c>
      <c r="AH388" s="8"/>
      <c r="AI388" s="9">
        <f>+$C388*AI$74/$C$74</f>
        <v>20.3596264034295</v>
      </c>
      <c r="AJ388" s="8"/>
      <c r="AK388" s="5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</row>
    <row r="389" spans="1:50" ht="15">
      <c r="A389" s="8" t="s">
        <v>168</v>
      </c>
      <c r="B389" s="8" t="str">
        <f>+'[5]SCHH-1'!B365</f>
        <v>OTHER REVENUE (RENT)</v>
      </c>
      <c r="C389" s="98">
        <f>+'[5]SCHH-1'!G365</f>
        <v>367614.12</v>
      </c>
      <c r="D389" s="8"/>
      <c r="E389" s="9">
        <f>+$C389*E$74/$C$74</f>
        <v>332328.04354418174</v>
      </c>
      <c r="F389" s="8"/>
      <c r="G389" s="9">
        <f>+$C389*G$74/$C$74</f>
        <v>776.9061213750209</v>
      </c>
      <c r="H389" s="8"/>
      <c r="I389" s="9">
        <f>+$C389*I$74/$C$74</f>
        <v>68.35905816567922</v>
      </c>
      <c r="J389" s="8"/>
      <c r="K389" s="9">
        <f>+$C389*K$74/$C$74</f>
        <v>859.3710169399674</v>
      </c>
      <c r="L389" s="8"/>
      <c r="M389" s="9">
        <f>+$C389*M$74/$C$74</f>
        <v>11312.972016246857</v>
      </c>
      <c r="N389" s="8"/>
      <c r="O389" s="9">
        <f>+$C389*O$74/$C$74</f>
        <v>14461.594097179937</v>
      </c>
      <c r="P389" s="8"/>
      <c r="Q389" s="9">
        <f>+$C389*Q$74/$C$74</f>
        <v>6579.441316630454</v>
      </c>
      <c r="R389" s="8"/>
      <c r="S389" s="9">
        <f>+$C389*S$74/$C$74</f>
        <v>898.1157792281876</v>
      </c>
      <c r="T389" s="8"/>
      <c r="U389" s="9">
        <f>+$C389*U$74/$C$74</f>
        <v>133.46292308537372</v>
      </c>
      <c r="V389" s="8"/>
      <c r="W389" s="9">
        <f>+$C389*W$74/$C$74</f>
        <v>112.304166986473</v>
      </c>
      <c r="X389" s="8"/>
      <c r="Y389" s="9">
        <f>+$C389*Y$74/$C$74</f>
        <v>28.21167479853428</v>
      </c>
      <c r="Z389" s="8"/>
      <c r="AA389" s="9">
        <f>+$C389*AA$74/$C$74</f>
        <v>15.190901814595382</v>
      </c>
      <c r="AB389" s="8"/>
      <c r="AC389" s="9">
        <f>+$C389*AC$74/$C$74</f>
        <v>3.2551932459847244</v>
      </c>
      <c r="AD389" s="8"/>
      <c r="AE389" s="9">
        <f>+$C389*AE$74/$C$74</f>
        <v>16.275966229923625</v>
      </c>
      <c r="AF389" s="8"/>
      <c r="AG389" s="9">
        <f>+$C389*AG$74/$C$74</f>
        <v>11.935708568610657</v>
      </c>
      <c r="AH389" s="8"/>
      <c r="AI389" s="9">
        <f>+$C389*AI$74/$C$74</f>
        <v>8.680515322625933</v>
      </c>
      <c r="AJ389" s="8"/>
      <c r="AK389" s="5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</row>
    <row r="390" spans="1:50" ht="15">
      <c r="A390" s="8" t="s">
        <v>168</v>
      </c>
      <c r="B390" s="8" t="str">
        <f>+'[5]SCHH-1'!B366</f>
        <v>TEMPORARY DISCONNECT CHARGE</v>
      </c>
      <c r="C390" s="98">
        <f>+'[5]SCHH-1'!G366</f>
        <v>65755</v>
      </c>
      <c r="D390" s="8"/>
      <c r="E390" s="9">
        <f>+$C390*E$74/$C$74</f>
        <v>59443.392716383336</v>
      </c>
      <c r="F390" s="8"/>
      <c r="G390" s="9">
        <f>+$C390*G$74/$C$74</f>
        <v>138.9649070362545</v>
      </c>
      <c r="H390" s="8"/>
      <c r="I390" s="9">
        <f>+$C390*I$74/$C$74</f>
        <v>12.227359138664852</v>
      </c>
      <c r="J390" s="8"/>
      <c r="K390" s="9">
        <f>+$C390*K$74/$C$74</f>
        <v>153.71537202892955</v>
      </c>
      <c r="L390" s="8"/>
      <c r="M390" s="9">
        <f>+$C390*M$74/$C$74</f>
        <v>2023.5470686716606</v>
      </c>
      <c r="N390" s="8"/>
      <c r="O390" s="9">
        <f>+$C390*O$74/$C$74</f>
        <v>2586.7399213612002</v>
      </c>
      <c r="P390" s="8"/>
      <c r="Q390" s="9">
        <f>+$C390*Q$74/$C$74</f>
        <v>1176.8622047897277</v>
      </c>
      <c r="R390" s="8"/>
      <c r="S390" s="9">
        <f>+$C390*S$74/$C$74</f>
        <v>160.645633152365</v>
      </c>
      <c r="T390" s="8"/>
      <c r="U390" s="9">
        <f>+$C390*U$74/$C$74</f>
        <v>23.872463080250423</v>
      </c>
      <c r="V390" s="8"/>
      <c r="W390" s="9">
        <f>+$C390*W$74/$C$74</f>
        <v>20.087804299235113</v>
      </c>
      <c r="X390" s="8"/>
      <c r="Y390" s="9">
        <f>+$C390*Y$74/$C$74</f>
        <v>5.046211708020415</v>
      </c>
      <c r="Z390" s="8"/>
      <c r="AA390" s="9">
        <f>+$C390*AA$74/$C$74</f>
        <v>2.7171909197033</v>
      </c>
      <c r="AB390" s="8"/>
      <c r="AC390" s="9">
        <f>+$C390*AC$74/$C$74</f>
        <v>0.5822551970792786</v>
      </c>
      <c r="AD390" s="8"/>
      <c r="AE390" s="9">
        <f>+$C390*AE$74/$C$74</f>
        <v>2.911275985396393</v>
      </c>
      <c r="AF390" s="8"/>
      <c r="AG390" s="9">
        <f>+$C390*AG$74/$C$74</f>
        <v>2.1349357226240215</v>
      </c>
      <c r="AH390" s="8"/>
      <c r="AI390" s="9">
        <f>+$C390*AI$74/$C$74</f>
        <v>1.5526805255447431</v>
      </c>
      <c r="AJ390" s="8"/>
      <c r="AK390" s="5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</row>
    <row r="391" spans="1:50" ht="17.25">
      <c r="A391" s="8" t="s">
        <v>168</v>
      </c>
      <c r="B391" s="8" t="str">
        <f>+'[5]SCHH-1'!B367</f>
        <v>FAILED TRIP CHARGE</v>
      </c>
      <c r="C391" s="99">
        <f>+'[5]SCHH-1'!G367</f>
        <v>74028</v>
      </c>
      <c r="D391" s="8"/>
      <c r="E391" s="158">
        <f>+$C391*E$74/$C$74</f>
        <v>66922.29451765533</v>
      </c>
      <c r="F391" s="8"/>
      <c r="G391" s="158">
        <f>+$C391*G$74/$C$74</f>
        <v>156.44885009626412</v>
      </c>
      <c r="H391" s="8"/>
      <c r="I391" s="158">
        <f>+$C391*I$74/$C$74</f>
        <v>13.765750776626593</v>
      </c>
      <c r="J391" s="8"/>
      <c r="K391" s="158">
        <f>+$C391*K$74/$C$74</f>
        <v>173.05515262044858</v>
      </c>
      <c r="L391" s="8"/>
      <c r="M391" s="158">
        <f>+$C391*M$74/$C$74</f>
        <v>2278.1407102064586</v>
      </c>
      <c r="N391" s="8"/>
      <c r="O391" s="158">
        <f>+$C391*O$74/$C$74</f>
        <v>2912.1919686491815</v>
      </c>
      <c r="P391" s="8"/>
      <c r="Q391" s="158">
        <f>+$C391*Q$74/$C$74</f>
        <v>1324.9297436875365</v>
      </c>
      <c r="R391" s="8"/>
      <c r="S391" s="158">
        <f>+$C391*S$74/$C$74</f>
        <v>180.85734820170748</v>
      </c>
      <c r="T391" s="8"/>
      <c r="U391" s="158">
        <f>+$C391*U$74/$C$74</f>
        <v>26.875989611509063</v>
      </c>
      <c r="V391" s="8"/>
      <c r="W391" s="86">
        <f>+$C391*W$74/$C$74</f>
        <v>22.61516199017226</v>
      </c>
      <c r="X391" s="8"/>
      <c r="Y391" s="86">
        <f>+$C391*Y$74/$C$74</f>
        <v>5.681103495115737</v>
      </c>
      <c r="Z391" s="8"/>
      <c r="AA391" s="86">
        <f>+$C391*AA$74/$C$74</f>
        <v>3.059055728139243</v>
      </c>
      <c r="AB391" s="8"/>
      <c r="AC391" s="86">
        <f>+$C391*AC$74/$C$74</f>
        <v>0.6555119417441234</v>
      </c>
      <c r="AD391" s="8"/>
      <c r="AE391" s="158">
        <f>+$C391*AE$74/$C$74</f>
        <v>3.2775597087206174</v>
      </c>
      <c r="AF391" s="8"/>
      <c r="AG391" s="158">
        <f>+$C391*AG$74/$C$74</f>
        <v>2.4035437863951192</v>
      </c>
      <c r="AH391" s="8"/>
      <c r="AI391" s="86">
        <f>+$C391*AI$74/$C$74</f>
        <v>1.748031844650996</v>
      </c>
      <c r="AJ391" s="8"/>
      <c r="AK391" s="5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</row>
    <row r="392" spans="1:50" ht="15">
      <c r="A392" s="8"/>
      <c r="B392" s="8"/>
      <c r="C392" s="98">
        <f>SUM(C379:C391)</f>
        <v>6594697.919999997</v>
      </c>
      <c r="D392" s="8"/>
      <c r="E392" s="98">
        <f>SUM(E379:E391)</f>
        <v>5307686.879938859</v>
      </c>
      <c r="F392" s="8"/>
      <c r="G392" s="98">
        <f>SUM(G379:G391)</f>
        <v>12408.144625381794</v>
      </c>
      <c r="H392" s="8"/>
      <c r="I392" s="98">
        <f>SUM(I379:I391)</f>
        <v>1518.5601801260052</v>
      </c>
      <c r="J392" s="8"/>
      <c r="K392" s="98">
        <f>SUM(K379:K391)</f>
        <v>19090.47083586977</v>
      </c>
      <c r="L392" s="8"/>
      <c r="M392" s="98">
        <f>SUM(M379:M391)</f>
        <v>251311.6664234191</v>
      </c>
      <c r="N392" s="8"/>
      <c r="O392" s="98">
        <f>SUM(O379:O391)</f>
        <v>321256.6341083457</v>
      </c>
      <c r="P392" s="8"/>
      <c r="Q392" s="98">
        <f>SUM(Q379:Q391)</f>
        <v>146158.7953230038</v>
      </c>
      <c r="R392" s="8"/>
      <c r="S392" s="98">
        <f>SUM(S379:S391)</f>
        <v>19951.165157560696</v>
      </c>
      <c r="T392" s="8"/>
      <c r="U392" s="98">
        <f>SUM(U379:U391)</f>
        <v>2964.8079707221996</v>
      </c>
      <c r="V392" s="8"/>
      <c r="W392" s="98">
        <f>SUM(W379:W391)</f>
        <v>342805.4570504276</v>
      </c>
      <c r="X392" s="8"/>
      <c r="Y392" s="98">
        <f>SUM(Y379:Y391)</f>
        <v>86115.38051508323</v>
      </c>
      <c r="Z392" s="8"/>
      <c r="AA392" s="98">
        <f>SUM(AA379:AA391)</f>
        <v>46369.820277352526</v>
      </c>
      <c r="AB392" s="8"/>
      <c r="AC392" s="98">
        <f>SUM(AC379:AC391)</f>
        <v>9936.390059432684</v>
      </c>
      <c r="AD392" s="8"/>
      <c r="AE392" s="98">
        <f>SUM(AE379:AE391)</f>
        <v>361.5619476490488</v>
      </c>
      <c r="AF392" s="8"/>
      <c r="AG392" s="98">
        <f>SUM(AG379:AG391)</f>
        <v>265.1454282759691</v>
      </c>
      <c r="AH392" s="8"/>
      <c r="AI392" s="98">
        <f>SUM(AI379:AI391)</f>
        <v>26497.040158487154</v>
      </c>
      <c r="AJ392" s="8"/>
      <c r="AK392" s="5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</row>
    <row r="393" spans="1:50" ht="15" thickBot="1">
      <c r="A393" s="8"/>
      <c r="B393" s="8"/>
      <c r="C393" s="98"/>
      <c r="D393" s="8"/>
      <c r="E393" s="9"/>
      <c r="F393" s="8"/>
      <c r="G393" s="9"/>
      <c r="H393" s="8"/>
      <c r="I393" s="9"/>
      <c r="J393" s="8"/>
      <c r="K393" s="9"/>
      <c r="L393" s="8"/>
      <c r="M393" s="9"/>
      <c r="N393" s="8"/>
      <c r="O393" s="9"/>
      <c r="P393" s="8"/>
      <c r="Q393" s="9"/>
      <c r="R393" s="8"/>
      <c r="S393" s="9"/>
      <c r="T393" s="8"/>
      <c r="U393" s="9"/>
      <c r="V393" s="8"/>
      <c r="W393" s="9"/>
      <c r="X393" s="8"/>
      <c r="Y393" s="9"/>
      <c r="Z393" s="8"/>
      <c r="AA393" s="9"/>
      <c r="AB393" s="8"/>
      <c r="AC393" s="9"/>
      <c r="AD393" s="8"/>
      <c r="AE393" s="9"/>
      <c r="AF393" s="8"/>
      <c r="AG393" s="9"/>
      <c r="AH393" s="8"/>
      <c r="AI393" s="9"/>
      <c r="AJ393" s="8"/>
      <c r="AK393" s="5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</row>
    <row r="394" spans="1:50" ht="15" thickBot="1">
      <c r="A394" s="8" t="s">
        <v>168</v>
      </c>
      <c r="B394" s="8" t="s">
        <v>170</v>
      </c>
      <c r="C394" s="180">
        <f>500000+'[7]Sheet1'!$P$13</f>
        <v>2000000</v>
      </c>
      <c r="D394" s="8"/>
      <c r="E394" s="9">
        <f>+$C394*(E74/$C74)</f>
        <v>1808026.5444873648</v>
      </c>
      <c r="F394" s="8"/>
      <c r="G394" s="9">
        <f>+$C394*(G74/$C74)</f>
        <v>4226.747989848818</v>
      </c>
      <c r="H394" s="8"/>
      <c r="I394" s="9">
        <f>+$C394*(I74/$C74)</f>
        <v>371.9065968721725</v>
      </c>
      <c r="J394" s="8"/>
      <c r="K394" s="9">
        <f>+$C394*(K74/$C74)</f>
        <v>4675.397217821597</v>
      </c>
      <c r="L394" s="8"/>
      <c r="M394" s="9">
        <f>+$C394*(M74/$C74)</f>
        <v>61548.08208262978</v>
      </c>
      <c r="N394" s="8"/>
      <c r="O394" s="9">
        <f>+$C394*(O74/$C74)</f>
        <v>78678.12094475554</v>
      </c>
      <c r="P394" s="8"/>
      <c r="Q394" s="9">
        <f>+$C394*(Q74/$C74)</f>
        <v>35795.367798334046</v>
      </c>
      <c r="R394" s="8"/>
      <c r="S394" s="9">
        <f>+$C394*(S74/$C74)</f>
        <v>4886.187610139609</v>
      </c>
      <c r="T394" s="8"/>
      <c r="U394" s="9">
        <f>+$C394*(U74/$C74)</f>
        <v>726.103355798051</v>
      </c>
      <c r="V394" s="8"/>
      <c r="W394" s="9">
        <f>+$C394*(W74/$C74)</f>
        <v>610.9894091471406</v>
      </c>
      <c r="X394" s="8"/>
      <c r="Y394" s="9">
        <f>+$C394*(Y74/$C74)</f>
        <v>153.48526220121406</v>
      </c>
      <c r="Z394" s="8"/>
      <c r="AA394" s="9">
        <f>+$C394*(AA74/$C74)</f>
        <v>82.64591041603833</v>
      </c>
      <c r="AB394" s="8"/>
      <c r="AC394" s="9">
        <f>+$C394*(AC74/$C74)</f>
        <v>17.709837946293927</v>
      </c>
      <c r="AD394" s="8"/>
      <c r="AE394" s="9">
        <f>+$C394*(AE74/$C74)</f>
        <v>88.54918973146964</v>
      </c>
      <c r="AF394" s="8"/>
      <c r="AG394" s="9">
        <f>+$C394*(AG74/$C74)</f>
        <v>64.9360724697444</v>
      </c>
      <c r="AH394" s="8"/>
      <c r="AI394" s="9">
        <f>+$C394*(AI74/$C74)</f>
        <v>47.22623452345048</v>
      </c>
      <c r="AJ394" s="8"/>
      <c r="AK394" s="5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</row>
    <row r="395" spans="1:50" ht="15">
      <c r="A395" s="8"/>
      <c r="B395" s="8"/>
      <c r="C395" s="98">
        <f>480321*0</f>
        <v>0</v>
      </c>
      <c r="D395" s="8"/>
      <c r="E395" s="9">
        <f>+$C395*(E74/$C74)</f>
        <v>0</v>
      </c>
      <c r="F395" s="8"/>
      <c r="G395" s="9">
        <f>+$C395*(G74/$C74)</f>
        <v>0</v>
      </c>
      <c r="H395" s="8"/>
      <c r="I395" s="9">
        <f>+$C395*(I74/$C74)</f>
        <v>0</v>
      </c>
      <c r="J395" s="8"/>
      <c r="K395" s="9">
        <f>+$C395*(K74/$C74)</f>
        <v>0</v>
      </c>
      <c r="L395" s="8"/>
      <c r="M395" s="9">
        <f>+$C395*(M74/$C74)</f>
        <v>0</v>
      </c>
      <c r="N395" s="8"/>
      <c r="O395" s="9">
        <f>+$C395*(O74/$C74)</f>
        <v>0</v>
      </c>
      <c r="P395" s="8"/>
      <c r="Q395" s="9">
        <f>+$C395*(Q74/$C74)</f>
        <v>0</v>
      </c>
      <c r="R395" s="8"/>
      <c r="S395" s="9">
        <f>+$C395*(S74/$C74)</f>
        <v>0</v>
      </c>
      <c r="T395" s="8"/>
      <c r="U395" s="9">
        <f>+$C395*(U74/$C74)</f>
        <v>0</v>
      </c>
      <c r="V395" s="8"/>
      <c r="W395" s="9">
        <f>+$C395*(W74/$C74)</f>
        <v>0</v>
      </c>
      <c r="X395" s="8"/>
      <c r="Y395" s="9">
        <f>+$C395*(Y74/$C74)</f>
        <v>0</v>
      </c>
      <c r="Z395" s="8"/>
      <c r="AA395" s="9">
        <f>+$C395*(AA74/$C74)</f>
        <v>0</v>
      </c>
      <c r="AB395" s="8"/>
      <c r="AC395" s="9">
        <f>+$C395*(AC74/$C74)</f>
        <v>0</v>
      </c>
      <c r="AD395" s="8"/>
      <c r="AE395" s="9">
        <f>+$C395*(AE74/$C74)</f>
        <v>0</v>
      </c>
      <c r="AF395" s="8"/>
      <c r="AG395" s="9">
        <f>+$C395*(AG74/$C74)</f>
        <v>0</v>
      </c>
      <c r="AH395" s="8"/>
      <c r="AI395" s="9">
        <f>+$C395*(AI74/$C74)</f>
        <v>0</v>
      </c>
      <c r="AJ395" s="8"/>
      <c r="AK395" s="5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</row>
    <row r="396" spans="1:50" ht="17.25">
      <c r="A396" s="8"/>
      <c r="B396" s="8"/>
      <c r="C396" s="99">
        <v>250000</v>
      </c>
      <c r="D396" s="8"/>
      <c r="E396" s="158">
        <f>+$C396*E$218/$C$218</f>
        <v>0</v>
      </c>
      <c r="F396" s="8"/>
      <c r="G396" s="158">
        <f>+$C396*G$218/$C$218</f>
        <v>0</v>
      </c>
      <c r="H396" s="8"/>
      <c r="I396" s="158">
        <f>+$C396*I$218/$C$218</f>
        <v>0</v>
      </c>
      <c r="J396" s="8"/>
      <c r="K396" s="158">
        <f>+$C396*K$218/$C$218</f>
        <v>0</v>
      </c>
      <c r="L396" s="8"/>
      <c r="M396" s="158">
        <f>+$C396*M$218/$C$218</f>
        <v>0</v>
      </c>
      <c r="N396" s="8"/>
      <c r="O396" s="158">
        <f>+$C396*O$218/$C$218</f>
        <v>0</v>
      </c>
      <c r="P396" s="8"/>
      <c r="Q396" s="158">
        <f>+$C396*Q$218/$C$218</f>
        <v>0</v>
      </c>
      <c r="R396" s="8"/>
      <c r="S396" s="158">
        <f>+$C396*S$218/$C$218</f>
        <v>0</v>
      </c>
      <c r="T396" s="8"/>
      <c r="U396" s="158">
        <f>+$C396*U$218/$C$218</f>
        <v>0</v>
      </c>
      <c r="V396" s="8"/>
      <c r="W396" s="158">
        <f>+$C396*W$218/$C$218</f>
        <v>0</v>
      </c>
      <c r="X396" s="8"/>
      <c r="Y396" s="158">
        <f>+$C396*Y$218/$C$218</f>
        <v>27722.332031049154</v>
      </c>
      <c r="Z396" s="8"/>
      <c r="AA396" s="158">
        <f>+$C396*AA$218/$C$218</f>
        <v>40034.02501731611</v>
      </c>
      <c r="AB396" s="8"/>
      <c r="AC396" s="158">
        <f>+$C396*AC$218/$C$218</f>
        <v>46164.536058833124</v>
      </c>
      <c r="AD396" s="8"/>
      <c r="AE396" s="158">
        <f>+$C396*AE$218/$C$218</f>
        <v>0</v>
      </c>
      <c r="AF396" s="8"/>
      <c r="AG396" s="158">
        <f>+$C396*AG$218/$C$218</f>
        <v>0</v>
      </c>
      <c r="AH396" s="8"/>
      <c r="AI396" s="158">
        <f>+$C396*AI$218/$C$218</f>
        <v>136079.10689280162</v>
      </c>
      <c r="AJ396" s="8"/>
      <c r="AK396" s="5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</row>
    <row r="397" spans="1:50" ht="15">
      <c r="A397" s="8"/>
      <c r="B397" s="8"/>
      <c r="C397" s="98">
        <f>SUM(C394:C396)</f>
        <v>2250000</v>
      </c>
      <c r="D397" s="8"/>
      <c r="E397" s="98">
        <f>SUM(E394:E396)</f>
        <v>1808026.5444873648</v>
      </c>
      <c r="F397" s="8"/>
      <c r="G397" s="98">
        <f>SUM(G394:G396)</f>
        <v>4226.747989848818</v>
      </c>
      <c r="H397" s="8"/>
      <c r="I397" s="98">
        <f>SUM(I394:I396)</f>
        <v>371.9065968721725</v>
      </c>
      <c r="J397" s="8"/>
      <c r="K397" s="98">
        <f>SUM(K394:K396)</f>
        <v>4675.397217821597</v>
      </c>
      <c r="L397" s="8"/>
      <c r="M397" s="98">
        <f>SUM(M394:M396)</f>
        <v>61548.08208262978</v>
      </c>
      <c r="N397" s="8"/>
      <c r="O397" s="98">
        <f>SUM(O394:O396)</f>
        <v>78678.12094475554</v>
      </c>
      <c r="P397" s="8"/>
      <c r="Q397" s="98">
        <f>SUM(Q394:Q396)</f>
        <v>35795.367798334046</v>
      </c>
      <c r="R397" s="8"/>
      <c r="S397" s="98">
        <f>SUM(S394:S396)</f>
        <v>4886.187610139609</v>
      </c>
      <c r="T397" s="8"/>
      <c r="U397" s="98">
        <f>SUM(U394:U396)</f>
        <v>726.103355798051</v>
      </c>
      <c r="V397" s="8"/>
      <c r="W397" s="98">
        <f>SUM(W394:W396)</f>
        <v>610.9894091471406</v>
      </c>
      <c r="X397" s="8"/>
      <c r="Y397" s="98">
        <f>SUM(Y394:Y396)</f>
        <v>27875.81729325037</v>
      </c>
      <c r="Z397" s="8"/>
      <c r="AA397" s="98">
        <f>SUM(AA394:AA396)</f>
        <v>40116.67092773215</v>
      </c>
      <c r="AB397" s="8"/>
      <c r="AC397" s="98">
        <f>SUM(AC394:AC396)</f>
        <v>46182.245896779415</v>
      </c>
      <c r="AD397" s="8"/>
      <c r="AE397" s="98">
        <f>SUM(AE394:AE396)</f>
        <v>88.54918973146964</v>
      </c>
      <c r="AF397" s="8"/>
      <c r="AG397" s="98">
        <f>SUM(AG394:AG396)</f>
        <v>64.9360724697444</v>
      </c>
      <c r="AH397" s="8"/>
      <c r="AI397" s="98">
        <f>SUM(AI394:AI396)</f>
        <v>136126.33312732508</v>
      </c>
      <c r="AJ397" s="8"/>
      <c r="AK397" s="5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</row>
    <row r="398" spans="1:50" ht="15">
      <c r="A398" s="8"/>
      <c r="B398" s="8"/>
      <c r="C398" s="98">
        <f>+C397+C392</f>
        <v>8844697.919999998</v>
      </c>
      <c r="D398" s="8"/>
      <c r="E398" s="98"/>
      <c r="F398" s="8"/>
      <c r="G398" s="98"/>
      <c r="H398" s="8"/>
      <c r="I398" s="98"/>
      <c r="J398" s="8"/>
      <c r="K398" s="98"/>
      <c r="L398" s="8"/>
      <c r="M398" s="98"/>
      <c r="N398" s="8"/>
      <c r="O398" s="98"/>
      <c r="P398" s="8"/>
      <c r="Q398" s="98"/>
      <c r="R398" s="8"/>
      <c r="S398" s="98"/>
      <c r="T398" s="8"/>
      <c r="U398" s="98"/>
      <c r="V398" s="8"/>
      <c r="W398" s="98"/>
      <c r="X398" s="8"/>
      <c r="Y398" s="98"/>
      <c r="Z398" s="8"/>
      <c r="AA398" s="98"/>
      <c r="AB398" s="8"/>
      <c r="AC398" s="98"/>
      <c r="AD398" s="8"/>
      <c r="AE398" s="98"/>
      <c r="AF398" s="8"/>
      <c r="AG398" s="98"/>
      <c r="AH398" s="8"/>
      <c r="AI398" s="98"/>
      <c r="AJ398" s="8"/>
      <c r="AK398" s="5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</row>
    <row r="399" spans="1:50" ht="15">
      <c r="A399" s="8"/>
      <c r="B399" s="8"/>
      <c r="C399" s="98">
        <f>SUM(E399:AO399)</f>
        <v>8844697.919999996</v>
      </c>
      <c r="D399" s="8"/>
      <c r="E399" s="98">
        <f>+E397+E392</f>
        <v>7115713.424426223</v>
      </c>
      <c r="F399" s="8"/>
      <c r="G399" s="98">
        <f>+G397+G392</f>
        <v>16634.892615230612</v>
      </c>
      <c r="H399" s="8"/>
      <c r="I399" s="98">
        <f>+I397+I392</f>
        <v>1890.4667769981777</v>
      </c>
      <c r="J399" s="8"/>
      <c r="K399" s="98">
        <f>+K397+K392</f>
        <v>23765.868053691367</v>
      </c>
      <c r="L399" s="8"/>
      <c r="M399" s="98">
        <f>+M397+M392</f>
        <v>312859.74850604887</v>
      </c>
      <c r="N399" s="8"/>
      <c r="O399" s="98">
        <f>+O397+O392</f>
        <v>399934.7550531013</v>
      </c>
      <c r="P399" s="8"/>
      <c r="Q399" s="98">
        <f>+Q397+Q392</f>
        <v>181954.16312133786</v>
      </c>
      <c r="R399" s="8"/>
      <c r="S399" s="98">
        <f>+S397+S392</f>
        <v>24837.352767700304</v>
      </c>
      <c r="T399" s="8"/>
      <c r="U399" s="98">
        <f>+U397+U392</f>
        <v>3690.9113265202504</v>
      </c>
      <c r="V399" s="8"/>
      <c r="W399" s="98">
        <f>+W397+W392</f>
        <v>343416.44645957474</v>
      </c>
      <c r="X399" s="8"/>
      <c r="Y399" s="98">
        <f>+Y397+Y392</f>
        <v>113991.1978083336</v>
      </c>
      <c r="Z399" s="8"/>
      <c r="AA399" s="98">
        <f>+AA397+AA392</f>
        <v>86486.49120508468</v>
      </c>
      <c r="AB399" s="8"/>
      <c r="AC399" s="98">
        <f>+AC397+AC392</f>
        <v>56118.6359562121</v>
      </c>
      <c r="AD399" s="8"/>
      <c r="AE399" s="98">
        <f>+AE397+AE392</f>
        <v>450.11113738051847</v>
      </c>
      <c r="AF399" s="8"/>
      <c r="AG399" s="98">
        <f>+AG397+AG392</f>
        <v>330.08150074571347</v>
      </c>
      <c r="AH399" s="8"/>
      <c r="AI399" s="98">
        <f>+AI397+AI392</f>
        <v>162623.37328581224</v>
      </c>
      <c r="AJ399" s="8"/>
      <c r="AK399" s="5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</row>
    <row r="400" spans="1:50" ht="15">
      <c r="A400" s="8"/>
      <c r="B400" s="8"/>
      <c r="C400" s="9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5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</row>
    <row r="401" spans="1:50" ht="15">
      <c r="A401" s="8"/>
      <c r="B401" s="8" t="s">
        <v>171</v>
      </c>
      <c r="C401" s="9">
        <f>+E74+G74</f>
        <v>306990.9444636884</v>
      </c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5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</row>
    <row r="402" spans="1:50" ht="15">
      <c r="A402" s="8"/>
      <c r="B402" s="8" t="s">
        <v>172</v>
      </c>
      <c r="C402" s="9">
        <f>+C74-C401</f>
        <v>31803.798785534687</v>
      </c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5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</row>
    <row r="403" spans="1:50" ht="15">
      <c r="A403" s="8"/>
      <c r="B403" s="8" t="s">
        <v>173</v>
      </c>
      <c r="C403" s="9">
        <f>+AC74+AI74+AO74+AA74+Y74+W74</f>
        <v>154.5</v>
      </c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5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</row>
    <row r="404" spans="1:50" ht="1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5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</row>
    <row r="405" spans="1:50" ht="1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5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</row>
    <row r="406" spans="1:50" ht="15">
      <c r="A406" s="8" t="s">
        <v>188</v>
      </c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5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</row>
    <row r="407" spans="1:50" ht="1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5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</row>
    <row r="408" spans="1:50" ht="15">
      <c r="A408" s="8" t="s">
        <v>166</v>
      </c>
      <c r="B408" s="8" t="str">
        <f aca="true" t="shared" si="10" ref="B408:B420">+B379</f>
        <v>CONNECTION CHARGE-RESIDENTIAL</v>
      </c>
      <c r="C408" s="98">
        <f>+'[5]SCHH-1'!O355</f>
        <v>1835430</v>
      </c>
      <c r="D408" s="8"/>
      <c r="E408" s="98">
        <f>+$C408*E$74/$C$401</f>
        <v>1831149.1965961868</v>
      </c>
      <c r="F408" s="8"/>
      <c r="G408" s="98">
        <f>+$C408*G$74/$C$401</f>
        <v>4280.803403813245</v>
      </c>
      <c r="H408" s="8"/>
      <c r="I408" s="98">
        <v>0</v>
      </c>
      <c r="J408" s="8"/>
      <c r="K408" s="98">
        <v>0</v>
      </c>
      <c r="L408" s="8"/>
      <c r="M408" s="98">
        <v>0</v>
      </c>
      <c r="N408" s="8"/>
      <c r="O408" s="98">
        <v>0</v>
      </c>
      <c r="P408" s="8"/>
      <c r="Q408" s="98">
        <v>0</v>
      </c>
      <c r="R408" s="8"/>
      <c r="S408" s="98">
        <v>0</v>
      </c>
      <c r="T408" s="8"/>
      <c r="U408" s="98">
        <v>0</v>
      </c>
      <c r="V408" s="8"/>
      <c r="W408" s="98">
        <v>0</v>
      </c>
      <c r="X408" s="8"/>
      <c r="Y408" s="98">
        <v>0</v>
      </c>
      <c r="Z408" s="8"/>
      <c r="AA408" s="98">
        <v>0</v>
      </c>
      <c r="AB408" s="8"/>
      <c r="AC408" s="98">
        <v>0</v>
      </c>
      <c r="AD408" s="8"/>
      <c r="AE408" s="98">
        <v>0</v>
      </c>
      <c r="AF408" s="8"/>
      <c r="AG408" s="98">
        <v>0</v>
      </c>
      <c r="AH408" s="8"/>
      <c r="AI408" s="98">
        <v>0</v>
      </c>
      <c r="AJ408" s="8"/>
      <c r="AK408" s="5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</row>
    <row r="409" spans="1:50" ht="15">
      <c r="A409" s="8" t="s">
        <v>167</v>
      </c>
      <c r="B409" s="8" t="str">
        <f t="shared" si="10"/>
        <v>CONNECTION CHARGE-COMMERCIAL</v>
      </c>
      <c r="C409" s="98">
        <f>+'[5]SCHH-1'!O356</f>
        <v>182886</v>
      </c>
      <c r="D409" s="8"/>
      <c r="E409" s="9">
        <v>0</v>
      </c>
      <c r="F409" s="8"/>
      <c r="G409" s="9">
        <v>0</v>
      </c>
      <c r="H409" s="8"/>
      <c r="I409" s="9">
        <f>+$C409*I$74/$C$402</f>
        <v>362.27804350342154</v>
      </c>
      <c r="J409" s="8"/>
      <c r="K409" s="9">
        <f>+$C409*K$74/$C$402</f>
        <v>4554.352546900156</v>
      </c>
      <c r="L409" s="8"/>
      <c r="M409" s="9">
        <f>+$C409*M$74/$C$402</f>
        <v>59954.62018101002</v>
      </c>
      <c r="N409" s="8"/>
      <c r="O409" s="9">
        <f>+$C409*O$74/$C$402</f>
        <v>76641.16733102332</v>
      </c>
      <c r="P409" s="8"/>
      <c r="Q409" s="9">
        <f>+$C409*Q$74/$C$402</f>
        <v>34868.63616168391</v>
      </c>
      <c r="R409" s="8"/>
      <c r="S409" s="9">
        <f>+$C409*S$74/$C$402</f>
        <v>4759.685637414103</v>
      </c>
      <c r="T409" s="8"/>
      <c r="U409" s="9">
        <f>+$C409*U$74/$C$402</f>
        <v>707.3047516019182</v>
      </c>
      <c r="V409" s="8"/>
      <c r="W409" s="9">
        <f>$C409*+W$74/$C$402</f>
        <v>595.1710714699068</v>
      </c>
      <c r="X409" s="8"/>
      <c r="Y409" s="9">
        <f>$C409*+Y$74/$C$402</f>
        <v>149.51157350934855</v>
      </c>
      <c r="Z409" s="8"/>
      <c r="AA409" s="9">
        <f>$C409*+AA$74/$C$402</f>
        <v>80.50623188964923</v>
      </c>
      <c r="AB409" s="8"/>
      <c r="AC409" s="9">
        <f>$C409*+AC$74/$C$402</f>
        <v>17.251335404924834</v>
      </c>
      <c r="AD409" s="8"/>
      <c r="AE409" s="9">
        <f>+$C409*AE$74/$C$402</f>
        <v>86.25667702462417</v>
      </c>
      <c r="AF409" s="8"/>
      <c r="AG409" s="9">
        <f>+$C409*AG$74/$C$402</f>
        <v>63.25489648472439</v>
      </c>
      <c r="AH409" s="8"/>
      <c r="AI409" s="9">
        <f>$C409*+AI$74/$C$402</f>
        <v>46.00356107979956</v>
      </c>
      <c r="AJ409" s="8"/>
      <c r="AK409" s="5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</row>
    <row r="410" spans="1:50" ht="15">
      <c r="A410" s="8" t="s">
        <v>166</v>
      </c>
      <c r="B410" s="8" t="str">
        <f t="shared" si="10"/>
        <v>RECONNECTION CHARGE-RESIDENTIAL</v>
      </c>
      <c r="C410" s="98">
        <f>+'[5]SCHH-1'!O357</f>
        <v>1236658.2955460825</v>
      </c>
      <c r="D410" s="8"/>
      <c r="E410" s="9">
        <f>+$C410*E$74/$C$401</f>
        <v>1233774.0171802896</v>
      </c>
      <c r="F410" s="8"/>
      <c r="G410" s="9">
        <f>+$C410*G$74/$C$401</f>
        <v>2884.2783657930595</v>
      </c>
      <c r="H410" s="8"/>
      <c r="I410" s="9">
        <v>0</v>
      </c>
      <c r="J410" s="8"/>
      <c r="K410" s="9">
        <v>0</v>
      </c>
      <c r="L410" s="8"/>
      <c r="M410" s="9">
        <v>0</v>
      </c>
      <c r="N410" s="8"/>
      <c r="O410" s="9">
        <v>0</v>
      </c>
      <c r="P410" s="8"/>
      <c r="Q410" s="9">
        <v>0</v>
      </c>
      <c r="R410" s="8"/>
      <c r="S410" s="9">
        <v>0</v>
      </c>
      <c r="T410" s="8"/>
      <c r="U410" s="9">
        <v>0</v>
      </c>
      <c r="V410" s="8"/>
      <c r="W410" s="9">
        <v>0</v>
      </c>
      <c r="X410" s="8"/>
      <c r="Y410" s="9">
        <v>0</v>
      </c>
      <c r="Z410" s="8"/>
      <c r="AA410" s="9">
        <v>0</v>
      </c>
      <c r="AB410" s="8"/>
      <c r="AC410" s="9">
        <v>0</v>
      </c>
      <c r="AD410" s="8"/>
      <c r="AE410" s="9">
        <v>0</v>
      </c>
      <c r="AF410" s="8"/>
      <c r="AG410" s="9">
        <v>0</v>
      </c>
      <c r="AH410" s="8"/>
      <c r="AI410" s="9">
        <v>0</v>
      </c>
      <c r="AJ410" s="8"/>
      <c r="AK410" s="5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</row>
    <row r="411" spans="1:50" ht="15">
      <c r="A411" s="8" t="s">
        <v>167</v>
      </c>
      <c r="B411" s="8" t="str">
        <f t="shared" si="10"/>
        <v>RECONNECTION CHARGE-COMMERCIAL</v>
      </c>
      <c r="C411" s="98">
        <f>+'[5]SCHH-1'!O358</f>
        <v>99124.17903865942</v>
      </c>
      <c r="D411" s="8"/>
      <c r="E411" s="9">
        <v>0</v>
      </c>
      <c r="F411" s="8"/>
      <c r="G411" s="9">
        <v>0</v>
      </c>
      <c r="H411" s="8"/>
      <c r="I411" s="9">
        <f>+$C411*I$74/$C$402</f>
        <v>196.3546342858852</v>
      </c>
      <c r="J411" s="8"/>
      <c r="K411" s="9">
        <f>+$C411*K$74/$C$402</f>
        <v>2468.458259593985</v>
      </c>
      <c r="L411" s="8"/>
      <c r="M411" s="9">
        <f>+$C411*M$74/$C$402</f>
        <v>32495.39333255285</v>
      </c>
      <c r="N411" s="8"/>
      <c r="O411" s="9">
        <f>+$C411*O$74/$C$402</f>
        <v>41539.498880462204</v>
      </c>
      <c r="P411" s="8"/>
      <c r="Q411" s="9">
        <f>+$C411*Q$74/$C$402</f>
        <v>18898.794515297126</v>
      </c>
      <c r="R411" s="8"/>
      <c r="S411" s="9">
        <f>+$C411*S$74/$C$402</f>
        <v>2579.74875764559</v>
      </c>
      <c r="T411" s="8"/>
      <c r="U411" s="9">
        <f>+$C411*U$74/$C$402</f>
        <v>383.35904789149015</v>
      </c>
      <c r="V411" s="8"/>
      <c r="W411" s="9">
        <f>$C411*+W$74/$C$402</f>
        <v>322.58261346966856</v>
      </c>
      <c r="X411" s="8"/>
      <c r="Y411" s="9">
        <f>$C411*+Y$74/$C$402</f>
        <v>81.03524589576215</v>
      </c>
      <c r="Z411" s="8"/>
      <c r="AA411" s="9">
        <f>$C411*+AA$74/$C$402</f>
        <v>43.63436317464116</v>
      </c>
      <c r="AB411" s="8"/>
      <c r="AC411" s="9">
        <f>$C411*+AC$74/$C$402</f>
        <v>9.350220680280247</v>
      </c>
      <c r="AD411" s="8"/>
      <c r="AE411" s="9">
        <f>+$C411*AE$74/$C$402</f>
        <v>46.75110340140124</v>
      </c>
      <c r="AF411" s="8"/>
      <c r="AG411" s="9">
        <f>+$C411*AG$74/$C$402</f>
        <v>34.28414249436091</v>
      </c>
      <c r="AH411" s="8"/>
      <c r="AI411" s="9">
        <f>$C411*+AI$74/$C$402</f>
        <v>24.933921814080662</v>
      </c>
      <c r="AJ411" s="8"/>
      <c r="AK411" s="5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</row>
    <row r="412" spans="1:50" ht="15">
      <c r="A412" s="8" t="s">
        <v>168</v>
      </c>
      <c r="B412" s="8" t="str">
        <f t="shared" si="10"/>
        <v>COLLECTION IN LIEU OF DISCONNECT</v>
      </c>
      <c r="C412" s="98">
        <f>+'[5]SCHH-1'!O359</f>
        <v>1385568.9962075555</v>
      </c>
      <c r="D412" s="8"/>
      <c r="E412" s="9">
        <f>+$C412*E$74/$C$74</f>
        <v>1252572.7621809866</v>
      </c>
      <c r="F412" s="8"/>
      <c r="G412" s="9">
        <f>+$C412*G$74/$C$74</f>
        <v>2928.2254847585646</v>
      </c>
      <c r="H412" s="8"/>
      <c r="I412" s="9">
        <f>+$C412*I$74/$C$74</f>
        <v>257.65112505557204</v>
      </c>
      <c r="J412" s="8"/>
      <c r="K412" s="9">
        <f>+$C412*K$74/$C$74</f>
        <v>3239.042714984334</v>
      </c>
      <c r="L412" s="8"/>
      <c r="M412" s="9">
        <f>+$C412*M$74/$C$74</f>
        <v>42639.557154864786</v>
      </c>
      <c r="N412" s="8"/>
      <c r="O412" s="9">
        <f>+$C412*O$74/$C$74</f>
        <v>54506.982530460795</v>
      </c>
      <c r="P412" s="8"/>
      <c r="Q412" s="9">
        <f>+$C412*Q$74/$C$74</f>
        <v>24798.475914608982</v>
      </c>
      <c r="R412" s="8"/>
      <c r="S412" s="9">
        <f>+$C412*S$74/$C$74</f>
        <v>3385.0750311314664</v>
      </c>
      <c r="T412" s="8"/>
      <c r="U412" s="9">
        <f>+$C412*U$74/$C$74</f>
        <v>503.0331489180216</v>
      </c>
      <c r="V412" s="8"/>
      <c r="W412" s="9">
        <f>+$C412*W$74/$C$74</f>
        <v>423.28399116272544</v>
      </c>
      <c r="X412" s="8"/>
      <c r="Y412" s="9">
        <f>+$C412*Y$74/$C$74</f>
        <v>106.33221034039481</v>
      </c>
      <c r="Z412" s="8"/>
      <c r="AA412" s="9">
        <f>+$C412*AA$74/$C$74</f>
        <v>57.25580556790489</v>
      </c>
      <c r="AB412" s="8"/>
      <c r="AC412" s="9">
        <f>+$C412*AC$74/$C$74</f>
        <v>12.269101193122477</v>
      </c>
      <c r="AD412" s="8"/>
      <c r="AE412" s="9">
        <f>+$C412*AE$74/$C$74</f>
        <v>61.34550596561239</v>
      </c>
      <c r="AF412" s="8"/>
      <c r="AG412" s="9">
        <f>+$C412*AG$74/$C$74</f>
        <v>44.98670437478242</v>
      </c>
      <c r="AH412" s="8"/>
      <c r="AI412" s="9">
        <f>+$C412*AI$74/$C$74</f>
        <v>32.71760318165994</v>
      </c>
      <c r="AJ412" s="8"/>
      <c r="AK412" s="5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</row>
    <row r="413" spans="1:50" ht="15">
      <c r="A413" s="8" t="s">
        <v>168</v>
      </c>
      <c r="B413" s="8" t="str">
        <f t="shared" si="10"/>
        <v>CHANGE OF ACCOUNT</v>
      </c>
      <c r="C413" s="98">
        <f>+'[5]SCHH-1'!O360</f>
        <v>611032.7999999999</v>
      </c>
      <c r="D413" s="8"/>
      <c r="E413" s="9">
        <f>+$C413*E$74/$C$74</f>
        <v>552381.7609762194</v>
      </c>
      <c r="F413" s="8"/>
      <c r="G413" s="9">
        <f>+$C413*G$74/$C$74</f>
        <v>1291.3408295658471</v>
      </c>
      <c r="H413" s="8"/>
      <c r="I413" s="9">
        <f>+$C413*I$74/$C$74</f>
        <v>113.6235646126374</v>
      </c>
      <c r="J413" s="8"/>
      <c r="K413" s="9">
        <f>+$C413*K$74/$C$74</f>
        <v>1428.41052655887</v>
      </c>
      <c r="L413" s="8"/>
      <c r="M413" s="9">
        <f>+$C413*M$74/$C$74</f>
        <v>18803.94846478955</v>
      </c>
      <c r="N413" s="8"/>
      <c r="O413" s="9">
        <f>+$C413*O$74/$C$74</f>
        <v>24037.45626980631</v>
      </c>
      <c r="P413" s="8"/>
      <c r="Q413" s="9">
        <f>+$C413*Q$74/$C$74</f>
        <v>10936.071906422943</v>
      </c>
      <c r="R413" s="8"/>
      <c r="S413" s="9">
        <f>+$C413*S$74/$C$74</f>
        <v>1492.8104483744567</v>
      </c>
      <c r="T413" s="8"/>
      <c r="U413" s="9">
        <f>+$C413*U$74/$C$74</f>
        <v>221.83648329133965</v>
      </c>
      <c r="V413" s="8"/>
      <c r="W413" s="9">
        <f>+$C413*W$74/$C$74</f>
        <v>186.66728472076142</v>
      </c>
      <c r="X413" s="8"/>
      <c r="Y413" s="9">
        <f>+$C413*Y$74/$C$74</f>
        <v>46.892264760770985</v>
      </c>
      <c r="Z413" s="8"/>
      <c r="AA413" s="9">
        <f>+$C413*AA$74/$C$74</f>
        <v>25.249681025030533</v>
      </c>
      <c r="AB413" s="8"/>
      <c r="AC413" s="9">
        <f>+$C413*AC$74/$C$74</f>
        <v>5.410645933935114</v>
      </c>
      <c r="AD413" s="8"/>
      <c r="AE413" s="9">
        <f>+$C413*AE$74/$C$74</f>
        <v>27.053229669675567</v>
      </c>
      <c r="AF413" s="8"/>
      <c r="AG413" s="9">
        <f>+$C413*AG$74/$C$74</f>
        <v>19.839035091095415</v>
      </c>
      <c r="AH413" s="8"/>
      <c r="AI413" s="9">
        <f>+$C413*AI$74/$C$74</f>
        <v>14.428389157160304</v>
      </c>
      <c r="AJ413" s="8"/>
      <c r="AK413" s="5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</row>
    <row r="414" spans="1:50" ht="15">
      <c r="A414" s="8" t="s">
        <v>168</v>
      </c>
      <c r="B414" s="8" t="str">
        <f t="shared" si="10"/>
        <v>RETURN CHECK CHARGE</v>
      </c>
      <c r="C414" s="98">
        <f>+'[5]SCHH-1'!O361</f>
        <v>91903.39999999982</v>
      </c>
      <c r="D414" s="8"/>
      <c r="E414" s="9">
        <f>+$C414*E$74/$C$74</f>
        <v>83081.89336431988</v>
      </c>
      <c r="F414" s="8"/>
      <c r="G414" s="9">
        <f>+$C414*G$74/$C$74</f>
        <v>194.22625560513552</v>
      </c>
      <c r="H414" s="8"/>
      <c r="I414" s="9">
        <f>+$C414*I$74/$C$74</f>
        <v>17.089740367490975</v>
      </c>
      <c r="J414" s="8"/>
      <c r="K414" s="9">
        <f>+$C414*K$74/$C$74</f>
        <v>214.84245033417227</v>
      </c>
      <c r="L414" s="8"/>
      <c r="M414" s="9">
        <f>+$C414*M$74/$C$74</f>
        <v>2828.239003436373</v>
      </c>
      <c r="N414" s="8"/>
      <c r="O414" s="9">
        <f>+$C414*O$74/$C$74</f>
        <v>3615.393410217116</v>
      </c>
      <c r="P414" s="8"/>
      <c r="Q414" s="9">
        <f>+$C414*Q$74/$C$74</f>
        <v>1644.8580024587034</v>
      </c>
      <c r="R414" s="8"/>
      <c r="S414" s="9">
        <f>+$C414*S$74/$C$74</f>
        <v>224.5286272048518</v>
      </c>
      <c r="T414" s="8"/>
      <c r="U414" s="9">
        <f>+$C414*U$74/$C$74</f>
        <v>33.36568357462524</v>
      </c>
      <c r="V414" s="8"/>
      <c r="W414" s="9">
        <f>+$C414*W$74/$C$74</f>
        <v>28.076002032306604</v>
      </c>
      <c r="X414" s="8"/>
      <c r="Y414" s="9">
        <f>+$C414*Y$74/$C$74</f>
        <v>7.052908723091513</v>
      </c>
      <c r="Z414" s="8"/>
      <c r="AA414" s="9">
        <f>+$C414*AA$74/$C$74</f>
        <v>3.7977200816646612</v>
      </c>
      <c r="AB414" s="8"/>
      <c r="AC414" s="9">
        <f>+$C414*AC$74/$C$74</f>
        <v>0.8137971603567132</v>
      </c>
      <c r="AD414" s="8"/>
      <c r="AE414" s="9">
        <f>+$C414*AE$74/$C$74</f>
        <v>4.068985801783565</v>
      </c>
      <c r="AF414" s="8"/>
      <c r="AG414" s="9">
        <f>+$C414*AG$74/$C$74</f>
        <v>2.9839229213079483</v>
      </c>
      <c r="AH414" s="8"/>
      <c r="AI414" s="9">
        <f>+$C414*AI$74/$C$74</f>
        <v>2.170125760951235</v>
      </c>
      <c r="AJ414" s="8"/>
      <c r="AK414" s="5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</row>
    <row r="415" spans="1:50" ht="15">
      <c r="A415" s="8" t="s">
        <v>169</v>
      </c>
      <c r="B415" s="8" t="str">
        <f t="shared" si="10"/>
        <v>IT ADMINISTRATION CHARGE</v>
      </c>
      <c r="C415" s="98">
        <f>+'[5]SCHH-1'!O362</f>
        <v>507999.9999999981</v>
      </c>
      <c r="D415" s="8"/>
      <c r="E415" s="9">
        <v>0</v>
      </c>
      <c r="F415" s="8"/>
      <c r="G415" s="9">
        <v>0</v>
      </c>
      <c r="H415" s="8"/>
      <c r="I415" s="9">
        <v>0</v>
      </c>
      <c r="J415" s="8"/>
      <c r="K415" s="9">
        <v>0</v>
      </c>
      <c r="L415" s="8"/>
      <c r="M415" s="9">
        <v>0</v>
      </c>
      <c r="N415" s="8"/>
      <c r="O415" s="9">
        <v>0</v>
      </c>
      <c r="P415" s="8"/>
      <c r="Q415" s="9">
        <v>0</v>
      </c>
      <c r="R415" s="8"/>
      <c r="S415" s="9">
        <v>0</v>
      </c>
      <c r="T415" s="8"/>
      <c r="U415" s="9">
        <v>0</v>
      </c>
      <c r="V415" s="8"/>
      <c r="W415" s="9">
        <f>$C415*+W$74/$C$403</f>
        <v>340310.6796116492</v>
      </c>
      <c r="X415" s="8"/>
      <c r="Y415" s="9">
        <f>$C415*+Y$74/$C$403</f>
        <v>85488.67313915824</v>
      </c>
      <c r="Z415" s="8"/>
      <c r="AA415" s="9">
        <f>$C415*+AA$74/$C$403</f>
        <v>46032.36245954675</v>
      </c>
      <c r="AB415" s="8"/>
      <c r="AC415" s="9">
        <f>$C415*+AC$74/$C$403</f>
        <v>9864.077669902876</v>
      </c>
      <c r="AD415" s="8"/>
      <c r="AE415" s="9">
        <v>0</v>
      </c>
      <c r="AF415" s="8"/>
      <c r="AG415" s="9">
        <v>0</v>
      </c>
      <c r="AH415" s="8"/>
      <c r="AI415" s="9">
        <f>$C415*+AI$74/$C$403</f>
        <v>26304.207119741</v>
      </c>
      <c r="AJ415" s="8"/>
      <c r="AK415" s="5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</row>
    <row r="416" spans="1:50" ht="15">
      <c r="A416" s="8" t="s">
        <v>167</v>
      </c>
      <c r="B416" s="8" t="str">
        <f t="shared" si="10"/>
        <v>POOL MANAGER CHARGES</v>
      </c>
      <c r="C416" s="98">
        <f>+'[5]SCHH-1'!O363</f>
        <v>174093.99999999924</v>
      </c>
      <c r="D416" s="8"/>
      <c r="E416" s="9">
        <v>0</v>
      </c>
      <c r="F416" s="8"/>
      <c r="G416" s="9">
        <v>0</v>
      </c>
      <c r="H416" s="8"/>
      <c r="I416" s="9">
        <f>+$C416*I$74/$C$402</f>
        <v>344.8620107918834</v>
      </c>
      <c r="J416" s="8"/>
      <c r="K416" s="9">
        <f>+$C416*K$74/$C$402</f>
        <v>4335.408135669391</v>
      </c>
      <c r="L416" s="8"/>
      <c r="M416" s="9">
        <f>+$C416*M$74/$C$402</f>
        <v>57072.38195265199</v>
      </c>
      <c r="N416" s="8"/>
      <c r="O416" s="9">
        <f>+$C416*O$74/$C$402</f>
        <v>72956.74565208444</v>
      </c>
      <c r="P416" s="8"/>
      <c r="Q416" s="9">
        <f>+$C416*Q$74/$C$402</f>
        <v>33192.373084501676</v>
      </c>
      <c r="R416" s="8"/>
      <c r="S416" s="9">
        <f>+$C416*S$74/$C$402</f>
        <v>4530.870112310223</v>
      </c>
      <c r="T416" s="8"/>
      <c r="U416" s="9">
        <f>+$C416*U$74/$C$402</f>
        <v>673.3020210698677</v>
      </c>
      <c r="V416" s="8"/>
      <c r="W416" s="9">
        <f>$C416*+W$74/$C$402</f>
        <v>566.5590177295228</v>
      </c>
      <c r="X416" s="8"/>
      <c r="Y416" s="9">
        <f>$C416*+Y$74/$C$402</f>
        <v>142.32400445379315</v>
      </c>
      <c r="Z416" s="8"/>
      <c r="AA416" s="9">
        <f>$C416*+AA$74/$C$402</f>
        <v>76.63600239819631</v>
      </c>
      <c r="AB416" s="8"/>
      <c r="AC416" s="9">
        <f>$C416*+AC$74/$C$402</f>
        <v>16.42200051389921</v>
      </c>
      <c r="AD416" s="8"/>
      <c r="AE416" s="9">
        <f>+$C416*AE$74/$C$402</f>
        <v>82.11000256949606</v>
      </c>
      <c r="AF416" s="8"/>
      <c r="AG416" s="9">
        <f>+$C416*AG$74/$C$402</f>
        <v>60.214001884297105</v>
      </c>
      <c r="AH416" s="8"/>
      <c r="AI416" s="9">
        <f>$C416*+AI$74/$C$402</f>
        <v>43.7920013703979</v>
      </c>
      <c r="AJ416" s="8"/>
      <c r="AK416" s="5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</row>
    <row r="417" spans="1:50" ht="15">
      <c r="A417" s="8" t="s">
        <v>168</v>
      </c>
      <c r="B417" s="8" t="str">
        <f t="shared" si="10"/>
        <v>FORFEITED DISCOUNTS</v>
      </c>
      <c r="C417" s="98">
        <f>+'[5]SCHH-1'!O364</f>
        <v>862216.8</v>
      </c>
      <c r="D417" s="8"/>
      <c r="E417" s="9">
        <f>+$C417*E$74/$C$74</f>
        <v>779455.4307514767</v>
      </c>
      <c r="F417" s="8"/>
      <c r="G417" s="9">
        <f>+$C417*G$74/$C$74</f>
        <v>1822.1865631069402</v>
      </c>
      <c r="H417" s="8"/>
      <c r="I417" s="9">
        <f>+$C417*I$74/$C$74</f>
        <v>160.3320579270073</v>
      </c>
      <c r="J417" s="8"/>
      <c r="K417" s="9">
        <f>+$C417*K$74/$C$74</f>
        <v>2015.6030139395202</v>
      </c>
      <c r="L417" s="8"/>
      <c r="M417" s="9">
        <f>+$C417*M$74/$C$74</f>
        <v>26533.89518971119</v>
      </c>
      <c r="N417" s="8"/>
      <c r="O417" s="9">
        <f>+$C417*O$74/$C$74</f>
        <v>33918.79883550005</v>
      </c>
      <c r="P417" s="8"/>
      <c r="Q417" s="9">
        <f>+$C417*Q$74/$C$74</f>
        <v>15431.683738951313</v>
      </c>
      <c r="R417" s="8"/>
      <c r="S417" s="9">
        <f>+$C417*S$74/$C$74</f>
        <v>2106.4765227071107</v>
      </c>
      <c r="T417" s="8"/>
      <c r="U417" s="9">
        <f>+$C417*U$74/$C$74</f>
        <v>313.02925595272853</v>
      </c>
      <c r="V417" s="8"/>
      <c r="W417" s="9">
        <f>+$C417*W$74/$C$74</f>
        <v>263.4026665943692</v>
      </c>
      <c r="X417" s="8"/>
      <c r="Y417" s="9">
        <f>+$C417*Y$74/$C$74</f>
        <v>66.16878581114587</v>
      </c>
      <c r="Z417" s="8"/>
      <c r="AA417" s="9">
        <f>+$C417*AA$74/$C$74</f>
        <v>35.62934620600162</v>
      </c>
      <c r="AB417" s="8"/>
      <c r="AC417" s="9">
        <f>+$C417*AC$74/$C$74</f>
        <v>7.634859901286062</v>
      </c>
      <c r="AD417" s="8"/>
      <c r="AE417" s="9">
        <f>+$C417*AE$74/$C$74</f>
        <v>38.17429950643031</v>
      </c>
      <c r="AF417" s="8"/>
      <c r="AG417" s="9">
        <f>+$C417*AG$74/$C$74</f>
        <v>27.99448630471556</v>
      </c>
      <c r="AH417" s="8"/>
      <c r="AI417" s="9">
        <f>+$C417*AI$74/$C$74</f>
        <v>20.3596264034295</v>
      </c>
      <c r="AJ417" s="8"/>
      <c r="AK417" s="5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</row>
    <row r="418" spans="1:50" ht="15">
      <c r="A418" s="8" t="s">
        <v>168</v>
      </c>
      <c r="B418" s="8" t="str">
        <f t="shared" si="10"/>
        <v>OTHER REVENUE (RENT)</v>
      </c>
      <c r="C418" s="98">
        <f>+'[5]SCHH-1'!O365</f>
        <v>367614.12</v>
      </c>
      <c r="D418" s="8"/>
      <c r="E418" s="9">
        <f>+$C418*E$74/$C$74</f>
        <v>332328.04354418174</v>
      </c>
      <c r="F418" s="8"/>
      <c r="G418" s="9">
        <f>+$C418*G$74/$C$74</f>
        <v>776.9061213750209</v>
      </c>
      <c r="H418" s="8"/>
      <c r="I418" s="9">
        <f>+$C418*I$74/$C$74</f>
        <v>68.35905816567922</v>
      </c>
      <c r="J418" s="8"/>
      <c r="K418" s="9">
        <f>+$C418*K$74/$C$74</f>
        <v>859.3710169399674</v>
      </c>
      <c r="L418" s="8"/>
      <c r="M418" s="9">
        <f>+$C418*M$74/$C$74</f>
        <v>11312.972016246857</v>
      </c>
      <c r="N418" s="8"/>
      <c r="O418" s="9">
        <f>+$C418*O$74/$C$74</f>
        <v>14461.594097179937</v>
      </c>
      <c r="P418" s="8"/>
      <c r="Q418" s="9">
        <f>+$C418*Q$74/$C$74</f>
        <v>6579.441316630454</v>
      </c>
      <c r="R418" s="8"/>
      <c r="S418" s="9">
        <f>+$C418*S$74/$C$74</f>
        <v>898.1157792281876</v>
      </c>
      <c r="T418" s="8"/>
      <c r="U418" s="9">
        <f>+$C418*U$74/$C$74</f>
        <v>133.46292308537372</v>
      </c>
      <c r="V418" s="8"/>
      <c r="W418" s="9">
        <f>+$C418*W$74/$C$74</f>
        <v>112.304166986473</v>
      </c>
      <c r="X418" s="8"/>
      <c r="Y418" s="9">
        <f>+$C418*Y$74/$C$74</f>
        <v>28.21167479853428</v>
      </c>
      <c r="Z418" s="8"/>
      <c r="AA418" s="9">
        <f>+$C418*AA$74/$C$74</f>
        <v>15.190901814595382</v>
      </c>
      <c r="AB418" s="8"/>
      <c r="AC418" s="9">
        <f>+$C418*AC$74/$C$74</f>
        <v>3.2551932459847244</v>
      </c>
      <c r="AD418" s="8"/>
      <c r="AE418" s="9">
        <f>+$C418*AE$74/$C$74</f>
        <v>16.275966229923625</v>
      </c>
      <c r="AF418" s="8"/>
      <c r="AG418" s="9">
        <f>+$C418*AG$74/$C$74</f>
        <v>11.935708568610657</v>
      </c>
      <c r="AH418" s="8"/>
      <c r="AI418" s="9">
        <f>+$C418*AI$74/$C$74</f>
        <v>8.680515322625933</v>
      </c>
      <c r="AJ418" s="8"/>
      <c r="AK418" s="5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</row>
    <row r="419" spans="1:50" ht="15">
      <c r="A419" s="8" t="s">
        <v>168</v>
      </c>
      <c r="B419" s="8" t="str">
        <f t="shared" si="10"/>
        <v>TEMPORARY DISCONNECT CHARGE</v>
      </c>
      <c r="C419" s="98">
        <f>+'[5]SCHH-1'!O366</f>
        <v>52604</v>
      </c>
      <c r="D419" s="8"/>
      <c r="E419" s="9">
        <f>+$C419*E$74/$C$74</f>
        <v>47554.71417310667</v>
      </c>
      <c r="F419" s="8"/>
      <c r="G419" s="9">
        <f>+$C419*G$74/$C$74</f>
        <v>111.1719256290036</v>
      </c>
      <c r="H419" s="8"/>
      <c r="I419" s="9">
        <f>+$C419*I$74/$C$74</f>
        <v>9.78188731093188</v>
      </c>
      <c r="J419" s="8"/>
      <c r="K419" s="9">
        <f>+$C419*K$74/$C$74</f>
        <v>122.97229762314365</v>
      </c>
      <c r="L419" s="8"/>
      <c r="M419" s="9">
        <f>+$C419*M$74/$C$74</f>
        <v>1618.8376549373286</v>
      </c>
      <c r="N419" s="8"/>
      <c r="O419" s="9">
        <f>+$C419*O$74/$C$74</f>
        <v>2069.39193708896</v>
      </c>
      <c r="P419" s="8"/>
      <c r="Q419" s="9">
        <f>+$C419*Q$74/$C$74</f>
        <v>941.489763831782</v>
      </c>
      <c r="R419" s="8"/>
      <c r="S419" s="9">
        <f>+$C419*S$74/$C$74</f>
        <v>128.516506521892</v>
      </c>
      <c r="T419" s="8"/>
      <c r="U419" s="9">
        <f>+$C419*U$74/$C$74</f>
        <v>19.09797046420034</v>
      </c>
      <c r="V419" s="8"/>
      <c r="W419" s="9">
        <f>+$C419*W$74/$C$74</f>
        <v>16.07024343938809</v>
      </c>
      <c r="X419" s="8"/>
      <c r="Y419" s="9">
        <f>+$C419*Y$74/$C$74</f>
        <v>4.036969366416332</v>
      </c>
      <c r="Z419" s="8"/>
      <c r="AA419" s="9">
        <f>+$C419*AA$74/$C$74</f>
        <v>2.17375273576264</v>
      </c>
      <c r="AB419" s="8"/>
      <c r="AC419" s="9">
        <f>+$C419*AC$74/$C$74</f>
        <v>0.4658041576634229</v>
      </c>
      <c r="AD419" s="8"/>
      <c r="AE419" s="9">
        <f>+$C419*AE$74/$C$74</f>
        <v>2.3290207883171146</v>
      </c>
      <c r="AF419" s="8"/>
      <c r="AG419" s="9">
        <f>+$C419*AG$74/$C$74</f>
        <v>1.7079485780992174</v>
      </c>
      <c r="AH419" s="8"/>
      <c r="AI419" s="9">
        <f>+$C419*AI$74/$C$74</f>
        <v>1.2421444204357943</v>
      </c>
      <c r="AJ419" s="8"/>
      <c r="AK419" s="5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</row>
    <row r="420" spans="1:50" ht="17.25">
      <c r="A420" s="8" t="s">
        <v>168</v>
      </c>
      <c r="B420" s="8" t="str">
        <f t="shared" si="10"/>
        <v>FAILED TRIP CHARGE</v>
      </c>
      <c r="C420" s="99">
        <f>+'[5]SCHH-1'!O367</f>
        <v>123380</v>
      </c>
      <c r="D420" s="8"/>
      <c r="E420" s="158">
        <f>+$C420*E$74/$C$74</f>
        <v>111537.15752942555</v>
      </c>
      <c r="F420" s="8"/>
      <c r="G420" s="158">
        <f>+$C420*G$74/$C$74</f>
        <v>260.74808349377355</v>
      </c>
      <c r="H420" s="8"/>
      <c r="I420" s="158">
        <f>+$C420*I$74/$C$74</f>
        <v>22.942917961044323</v>
      </c>
      <c r="J420" s="8"/>
      <c r="K420" s="158">
        <f>+$C420*K$74/$C$74</f>
        <v>288.4252543674143</v>
      </c>
      <c r="L420" s="8"/>
      <c r="M420" s="158">
        <f>+$C420*M$74/$C$74</f>
        <v>3796.901183677431</v>
      </c>
      <c r="N420" s="8"/>
      <c r="O420" s="158">
        <f>+$C420*O$74/$C$74</f>
        <v>4853.653281081969</v>
      </c>
      <c r="P420" s="8"/>
      <c r="Q420" s="158">
        <f>+$C420*Q$74/$C$74</f>
        <v>2208.2162394792276</v>
      </c>
      <c r="R420" s="8"/>
      <c r="S420" s="158">
        <f>+$C420*S$74/$C$74</f>
        <v>301.4289136695125</v>
      </c>
      <c r="T420" s="8"/>
      <c r="U420" s="158">
        <f>+$C420*U$74/$C$74</f>
        <v>44.79331601918177</v>
      </c>
      <c r="V420" s="8"/>
      <c r="W420" s="86">
        <f>+$C420*W$74/$C$74</f>
        <v>37.6919366502871</v>
      </c>
      <c r="X420" s="8"/>
      <c r="Y420" s="86">
        <f>+$C420*Y$74/$C$74</f>
        <v>9.468505825192894</v>
      </c>
      <c r="Z420" s="8"/>
      <c r="AA420" s="86">
        <f>+$C420*AA$74/$C$74</f>
        <v>5.098426213565404</v>
      </c>
      <c r="AB420" s="8"/>
      <c r="AC420" s="86">
        <f>+$C420*AC$74/$C$74</f>
        <v>1.0925199029068724</v>
      </c>
      <c r="AD420" s="8"/>
      <c r="AE420" s="158">
        <f>+$C420*AE$74/$C$74</f>
        <v>5.462599514534362</v>
      </c>
      <c r="AF420" s="8"/>
      <c r="AG420" s="158">
        <f>+$C420*AG$74/$C$74</f>
        <v>4.005906310658532</v>
      </c>
      <c r="AH420" s="8"/>
      <c r="AI420" s="86">
        <f>+$C420*AI$74/$C$74</f>
        <v>2.91338640775166</v>
      </c>
      <c r="AJ420" s="8"/>
      <c r="AK420" s="5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</row>
    <row r="421" spans="1:50" ht="15">
      <c r="A421" s="8"/>
      <c r="B421" s="8"/>
      <c r="C421" s="98">
        <f>SUM(C408:C420)</f>
        <v>7530512.590792294</v>
      </c>
      <c r="D421" s="8"/>
      <c r="E421" s="98">
        <f>SUM(E408:E420)</f>
        <v>6223834.976296193</v>
      </c>
      <c r="F421" s="8"/>
      <c r="G421" s="98">
        <f>SUM(G408:G420)</f>
        <v>14549.887033140589</v>
      </c>
      <c r="H421" s="8"/>
      <c r="I421" s="98">
        <f>SUM(I408:I420)</f>
        <v>1553.2750399815532</v>
      </c>
      <c r="J421" s="8"/>
      <c r="K421" s="98">
        <f>SUM(K408:K420)</f>
        <v>19526.886216910952</v>
      </c>
      <c r="L421" s="8"/>
      <c r="M421" s="98">
        <f>SUM(M408:M420)</f>
        <v>257056.74613387833</v>
      </c>
      <c r="N421" s="8"/>
      <c r="O421" s="98">
        <f>SUM(O408:O420)</f>
        <v>328600.6822249051</v>
      </c>
      <c r="P421" s="8"/>
      <c r="Q421" s="98">
        <f>SUM(Q408:Q420)</f>
        <v>149500.04064386612</v>
      </c>
      <c r="R421" s="8"/>
      <c r="S421" s="98">
        <f>SUM(S408:S420)</f>
        <v>20407.256336207396</v>
      </c>
      <c r="T421" s="8"/>
      <c r="U421" s="98">
        <f>SUM(U408:U420)</f>
        <v>3032.584601868747</v>
      </c>
      <c r="V421" s="8"/>
      <c r="W421" s="98">
        <f>SUM(W408:W420)</f>
        <v>342862.4886059047</v>
      </c>
      <c r="X421" s="8"/>
      <c r="Y421" s="98">
        <f>SUM(Y408:Y420)</f>
        <v>86129.70728264267</v>
      </c>
      <c r="Z421" s="8"/>
      <c r="AA421" s="98">
        <f>SUM(AA408:AA420)</f>
        <v>46377.53469065376</v>
      </c>
      <c r="AB421" s="8"/>
      <c r="AC421" s="98">
        <f>SUM(AC408:AC420)</f>
        <v>9938.043147997234</v>
      </c>
      <c r="AD421" s="8"/>
      <c r="AE421" s="98">
        <f>SUM(AE408:AE420)</f>
        <v>369.82739047179837</v>
      </c>
      <c r="AF421" s="8"/>
      <c r="AG421" s="98">
        <f>SUM(AG408:AG420)</f>
        <v>271.20675301265214</v>
      </c>
      <c r="AH421" s="8"/>
      <c r="AI421" s="98">
        <f>SUM(AI408:AI420)</f>
        <v>26501.448394659295</v>
      </c>
      <c r="AJ421" s="8"/>
      <c r="AK421" s="5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</row>
    <row r="422" spans="1:50" ht="15" thickBot="1">
      <c r="A422" s="8"/>
      <c r="B422" s="8"/>
      <c r="C422" s="98"/>
      <c r="D422" s="8"/>
      <c r="E422" s="9"/>
      <c r="F422" s="8"/>
      <c r="G422" s="9"/>
      <c r="H422" s="8"/>
      <c r="I422" s="9"/>
      <c r="J422" s="8"/>
      <c r="K422" s="9"/>
      <c r="L422" s="8"/>
      <c r="M422" s="9"/>
      <c r="N422" s="8"/>
      <c r="O422" s="9"/>
      <c r="P422" s="8"/>
      <c r="Q422" s="9"/>
      <c r="R422" s="8"/>
      <c r="S422" s="9"/>
      <c r="T422" s="8"/>
      <c r="U422" s="9"/>
      <c r="V422" s="8"/>
      <c r="W422" s="9"/>
      <c r="X422" s="8"/>
      <c r="Y422" s="9"/>
      <c r="Z422" s="8"/>
      <c r="AA422" s="9"/>
      <c r="AB422" s="8"/>
      <c r="AC422" s="9"/>
      <c r="AD422" s="8"/>
      <c r="AE422" s="9"/>
      <c r="AF422" s="8"/>
      <c r="AG422" s="9"/>
      <c r="AH422" s="8"/>
      <c r="AI422" s="9"/>
      <c r="AJ422" s="8"/>
      <c r="AK422" s="5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</row>
    <row r="423" spans="1:50" ht="15" thickBot="1">
      <c r="A423" s="8" t="s">
        <v>168</v>
      </c>
      <c r="B423" s="8" t="s">
        <v>170</v>
      </c>
      <c r="C423" s="180">
        <f>500000+'[7]Sheet1'!$P$13</f>
        <v>2000000</v>
      </c>
      <c r="D423" s="8"/>
      <c r="E423" s="9">
        <f>+$C423*(E74/$C74)</f>
        <v>1808026.5444873648</v>
      </c>
      <c r="F423" s="8"/>
      <c r="G423" s="9">
        <f>+$C423*(G74/$C74)</f>
        <v>4226.747989848818</v>
      </c>
      <c r="H423" s="8"/>
      <c r="I423" s="9">
        <f>+$C423*(I74/$C74)</f>
        <v>371.9065968721725</v>
      </c>
      <c r="J423" s="8"/>
      <c r="K423" s="9">
        <f>+$C423*(K74/$C74)</f>
        <v>4675.397217821597</v>
      </c>
      <c r="L423" s="8"/>
      <c r="M423" s="9">
        <f>+$C423*(M74/$C74)</f>
        <v>61548.08208262978</v>
      </c>
      <c r="N423" s="8"/>
      <c r="O423" s="9">
        <f>+$C423*(O74/$C74)</f>
        <v>78678.12094475554</v>
      </c>
      <c r="P423" s="8"/>
      <c r="Q423" s="9">
        <f>+$C423*(Q74/$C74)</f>
        <v>35795.367798334046</v>
      </c>
      <c r="R423" s="8"/>
      <c r="S423" s="9">
        <f>+$C423*(S74/$C74)</f>
        <v>4886.187610139609</v>
      </c>
      <c r="T423" s="8"/>
      <c r="U423" s="9">
        <f>+$C423*(U74/$C74)</f>
        <v>726.103355798051</v>
      </c>
      <c r="V423" s="8"/>
      <c r="W423" s="9">
        <f>+$C423*(W74/$C74)</f>
        <v>610.9894091471406</v>
      </c>
      <c r="X423" s="8"/>
      <c r="Y423" s="9">
        <f>+$C423*(Y74/$C74)</f>
        <v>153.48526220121406</v>
      </c>
      <c r="Z423" s="8"/>
      <c r="AA423" s="9">
        <f>+$C423*(AA74/$C74)</f>
        <v>82.64591041603833</v>
      </c>
      <c r="AB423" s="8"/>
      <c r="AC423" s="9">
        <f>+$C423*(AC74/$C74)</f>
        <v>17.709837946293927</v>
      </c>
      <c r="AD423" s="8"/>
      <c r="AE423" s="9">
        <f>+$C423*(AE74/$C74)</f>
        <v>88.54918973146964</v>
      </c>
      <c r="AF423" s="8"/>
      <c r="AG423" s="9">
        <f>+$C423*(AG74/$C74)</f>
        <v>64.9360724697444</v>
      </c>
      <c r="AH423" s="8"/>
      <c r="AI423" s="9">
        <f>+$C423*(AI74/$C74)</f>
        <v>47.22623452345048</v>
      </c>
      <c r="AJ423" s="8"/>
      <c r="AK423" s="5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</row>
    <row r="424" spans="1:50" ht="15">
      <c r="A424" s="8"/>
      <c r="B424" s="8"/>
      <c r="C424" s="98">
        <f>480321*0</f>
        <v>0</v>
      </c>
      <c r="D424" s="8"/>
      <c r="E424" s="9">
        <f>+$C424*(E74/$C74)</f>
        <v>0</v>
      </c>
      <c r="F424" s="8"/>
      <c r="G424" s="9">
        <f>+$C424*(G74/$C74)</f>
        <v>0</v>
      </c>
      <c r="H424" s="8"/>
      <c r="I424" s="9">
        <f>+$C424*(I74/$C74)</f>
        <v>0</v>
      </c>
      <c r="J424" s="8"/>
      <c r="K424" s="9">
        <f>+$C424*(K74/$C74)</f>
        <v>0</v>
      </c>
      <c r="L424" s="8"/>
      <c r="M424" s="9">
        <f>+$C424*(M74/$C74)</f>
        <v>0</v>
      </c>
      <c r="N424" s="8"/>
      <c r="O424" s="9">
        <f>+$C424*(O74/$C74)</f>
        <v>0</v>
      </c>
      <c r="P424" s="8"/>
      <c r="Q424" s="9">
        <f>+$C424*(Q74/$C74)</f>
        <v>0</v>
      </c>
      <c r="R424" s="8"/>
      <c r="S424" s="9">
        <f>+$C424*(S74/$C74)</f>
        <v>0</v>
      </c>
      <c r="T424" s="8"/>
      <c r="U424" s="9">
        <f>+$C424*(U74/$C74)</f>
        <v>0</v>
      </c>
      <c r="V424" s="8"/>
      <c r="W424" s="9">
        <f>+$C424*(W74/$C74)</f>
        <v>0</v>
      </c>
      <c r="X424" s="8"/>
      <c r="Y424" s="9">
        <f>+$C424*(Y74/$C74)</f>
        <v>0</v>
      </c>
      <c r="Z424" s="8"/>
      <c r="AA424" s="9">
        <f>+$C424*(AA74/$C74)</f>
        <v>0</v>
      </c>
      <c r="AB424" s="8"/>
      <c r="AC424" s="9">
        <f>+$C424*(AC74/$C74)</f>
        <v>0</v>
      </c>
      <c r="AD424" s="8"/>
      <c r="AE424" s="9">
        <f>+$C424*(AE74/$C74)</f>
        <v>0</v>
      </c>
      <c r="AF424" s="8"/>
      <c r="AG424" s="9">
        <f>+$C424*(AG74/$C74)</f>
        <v>0</v>
      </c>
      <c r="AH424" s="8"/>
      <c r="AI424" s="9">
        <f>+$C424*(AI74/$C74)</f>
        <v>0</v>
      </c>
      <c r="AJ424" s="8"/>
      <c r="AK424" s="9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</row>
    <row r="425" spans="1:50" ht="17.25">
      <c r="A425" s="8" t="s">
        <v>9</v>
      </c>
      <c r="B425" s="8"/>
      <c r="C425" s="99">
        <v>250000</v>
      </c>
      <c r="D425" s="8"/>
      <c r="E425" s="158">
        <f>+$C425*E$218/$C$218</f>
        <v>0</v>
      </c>
      <c r="F425" s="8"/>
      <c r="G425" s="158">
        <f>+$C425*G$218/$C$218</f>
        <v>0</v>
      </c>
      <c r="H425" s="8"/>
      <c r="I425" s="158">
        <f>+$C425*I$218/$C$218</f>
        <v>0</v>
      </c>
      <c r="J425" s="8"/>
      <c r="K425" s="158">
        <f>+$C425*K$218/$C$218</f>
        <v>0</v>
      </c>
      <c r="L425" s="8"/>
      <c r="M425" s="158">
        <f>+$C425*M$218/$C$218</f>
        <v>0</v>
      </c>
      <c r="N425" s="8"/>
      <c r="O425" s="158">
        <f>+$C425*O$218/$C$218</f>
        <v>0</v>
      </c>
      <c r="P425" s="8"/>
      <c r="Q425" s="158">
        <f>+$C425*Q$218/$C$218</f>
        <v>0</v>
      </c>
      <c r="R425" s="8"/>
      <c r="S425" s="158">
        <f>+$C425*S$218/$C$218</f>
        <v>0</v>
      </c>
      <c r="T425" s="8"/>
      <c r="U425" s="158">
        <f>+$C425*U$218/$C$218</f>
        <v>0</v>
      </c>
      <c r="V425" s="8"/>
      <c r="W425" s="158">
        <f>+$C425*W$218/$C$218</f>
        <v>0</v>
      </c>
      <c r="X425" s="8"/>
      <c r="Y425" s="158">
        <f>+$C425*Y$218/$C$218</f>
        <v>27722.332031049154</v>
      </c>
      <c r="Z425" s="8"/>
      <c r="AA425" s="158">
        <f>+$C425*AA$218/$C$218</f>
        <v>40034.02501731611</v>
      </c>
      <c r="AB425" s="8"/>
      <c r="AC425" s="158">
        <f>+$C425*AC$218/$C$218</f>
        <v>46164.536058833124</v>
      </c>
      <c r="AD425" s="8"/>
      <c r="AE425" s="158">
        <f>+$C425*AE$218/$C$218</f>
        <v>0</v>
      </c>
      <c r="AF425" s="8"/>
      <c r="AG425" s="158">
        <f>+$C425*AG$218/$C$218</f>
        <v>0</v>
      </c>
      <c r="AH425" s="8"/>
      <c r="AI425" s="158">
        <f>+$C425*AI$218/$C$218</f>
        <v>136079.10689280162</v>
      </c>
      <c r="AJ425" s="8"/>
      <c r="AK425" s="15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</row>
    <row r="426" spans="1:50" ht="15">
      <c r="A426" s="8"/>
      <c r="B426" s="8"/>
      <c r="C426" s="98">
        <f>SUM(C423:C425)</f>
        <v>2250000</v>
      </c>
      <c r="D426" s="8"/>
      <c r="E426" s="98">
        <f>SUM(E423:E425)</f>
        <v>1808026.5444873648</v>
      </c>
      <c r="F426" s="8"/>
      <c r="G426" s="98">
        <f>SUM(G423:G425)</f>
        <v>4226.747989848818</v>
      </c>
      <c r="H426" s="8"/>
      <c r="I426" s="98">
        <f>SUM(I423:I425)</f>
        <v>371.9065968721725</v>
      </c>
      <c r="J426" s="8"/>
      <c r="K426" s="98">
        <f>SUM(K423:K425)</f>
        <v>4675.397217821597</v>
      </c>
      <c r="L426" s="8"/>
      <c r="M426" s="98">
        <f>SUM(M423:M425)</f>
        <v>61548.08208262978</v>
      </c>
      <c r="N426" s="8"/>
      <c r="O426" s="98">
        <f>SUM(O423:O425)</f>
        <v>78678.12094475554</v>
      </c>
      <c r="P426" s="8"/>
      <c r="Q426" s="98">
        <f>SUM(Q423:Q425)</f>
        <v>35795.367798334046</v>
      </c>
      <c r="R426" s="8"/>
      <c r="S426" s="98">
        <f>SUM(S423:S425)</f>
        <v>4886.187610139609</v>
      </c>
      <c r="T426" s="8"/>
      <c r="U426" s="98">
        <f>SUM(U423:U425)</f>
        <v>726.103355798051</v>
      </c>
      <c r="V426" s="8"/>
      <c r="W426" s="98">
        <f>SUM(W423:W425)</f>
        <v>610.9894091471406</v>
      </c>
      <c r="X426" s="8"/>
      <c r="Y426" s="98">
        <f>SUM(Y423:Y425)</f>
        <v>27875.81729325037</v>
      </c>
      <c r="Z426" s="8"/>
      <c r="AA426" s="98">
        <f>SUM(AA423:AA425)</f>
        <v>40116.67092773215</v>
      </c>
      <c r="AB426" s="8"/>
      <c r="AC426" s="98">
        <f>SUM(AC423:AC425)</f>
        <v>46182.245896779415</v>
      </c>
      <c r="AD426" s="8"/>
      <c r="AE426" s="98">
        <f>SUM(AE423:AE425)</f>
        <v>88.54918973146964</v>
      </c>
      <c r="AF426" s="8"/>
      <c r="AG426" s="98">
        <f>SUM(AG423:AG425)</f>
        <v>64.9360724697444</v>
      </c>
      <c r="AH426" s="8"/>
      <c r="AI426" s="98">
        <f>SUM(AI423:AI425)</f>
        <v>136126.33312732508</v>
      </c>
      <c r="AJ426" s="8"/>
      <c r="AK426" s="5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</row>
    <row r="427" spans="1:50" ht="15">
      <c r="A427" s="8"/>
      <c r="B427" s="8"/>
      <c r="C427" s="98">
        <f>+C426+C421</f>
        <v>9780512.590792295</v>
      </c>
      <c r="D427" s="8"/>
      <c r="E427" s="98"/>
      <c r="F427" s="8"/>
      <c r="G427" s="98"/>
      <c r="H427" s="8"/>
      <c r="I427" s="98"/>
      <c r="J427" s="8"/>
      <c r="K427" s="98"/>
      <c r="L427" s="8"/>
      <c r="M427" s="98"/>
      <c r="N427" s="8"/>
      <c r="O427" s="98"/>
      <c r="P427" s="8"/>
      <c r="Q427" s="98"/>
      <c r="R427" s="8"/>
      <c r="S427" s="98"/>
      <c r="T427" s="8"/>
      <c r="U427" s="98"/>
      <c r="V427" s="8"/>
      <c r="W427" s="98"/>
      <c r="X427" s="8"/>
      <c r="Y427" s="98"/>
      <c r="Z427" s="8"/>
      <c r="AA427" s="98"/>
      <c r="AB427" s="8"/>
      <c r="AC427" s="98"/>
      <c r="AD427" s="8"/>
      <c r="AE427" s="98"/>
      <c r="AF427" s="8"/>
      <c r="AG427" s="98"/>
      <c r="AH427" s="8"/>
      <c r="AI427" s="98"/>
      <c r="AJ427" s="8"/>
      <c r="AK427" s="5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</row>
    <row r="428" spans="1:50" ht="15">
      <c r="A428" s="8"/>
      <c r="B428" s="8"/>
      <c r="C428" s="98">
        <f>SUM(E428:AO428)</f>
        <v>9780512.59079229</v>
      </c>
      <c r="D428" s="8"/>
      <c r="E428" s="98">
        <f>+E426+E421</f>
        <v>8031861.520783558</v>
      </c>
      <c r="F428" s="8"/>
      <c r="G428" s="98">
        <f>+G426+G421</f>
        <v>18776.63502298941</v>
      </c>
      <c r="H428" s="8"/>
      <c r="I428" s="98">
        <f>+I426+I421</f>
        <v>1925.1816368537256</v>
      </c>
      <c r="J428" s="8"/>
      <c r="K428" s="98">
        <f>+K426+K421</f>
        <v>24202.283434732548</v>
      </c>
      <c r="L428" s="8"/>
      <c r="M428" s="98">
        <f>+M426+M421</f>
        <v>318604.8282165081</v>
      </c>
      <c r="N428" s="8"/>
      <c r="O428" s="98">
        <f>+O426+O421</f>
        <v>407278.8031696607</v>
      </c>
      <c r="P428" s="8"/>
      <c r="Q428" s="98">
        <f>+Q426+Q421</f>
        <v>185295.40844220016</v>
      </c>
      <c r="R428" s="8"/>
      <c r="S428" s="98">
        <f>+S426+S421</f>
        <v>25293.443946347004</v>
      </c>
      <c r="T428" s="8"/>
      <c r="U428" s="98">
        <f>+U426+U421</f>
        <v>3758.687957666798</v>
      </c>
      <c r="V428" s="8"/>
      <c r="W428" s="98">
        <f>+W426+W421</f>
        <v>343473.4780150518</v>
      </c>
      <c r="X428" s="8"/>
      <c r="Y428" s="98">
        <f>+Y426+Y421</f>
        <v>114005.52457589304</v>
      </c>
      <c r="Z428" s="8"/>
      <c r="AA428" s="98">
        <f>+AA426+AA421</f>
        <v>86494.20561838591</v>
      </c>
      <c r="AB428" s="8"/>
      <c r="AC428" s="98">
        <f>+AC426+AC421</f>
        <v>56120.28904477665</v>
      </c>
      <c r="AD428" s="8"/>
      <c r="AE428" s="98">
        <f>+AE426+AE421</f>
        <v>458.376580203268</v>
      </c>
      <c r="AF428" s="8"/>
      <c r="AG428" s="98">
        <f>+AG426+AG421</f>
        <v>336.1428254823966</v>
      </c>
      <c r="AH428" s="8"/>
      <c r="AI428" s="98">
        <f>+AI426+AI421</f>
        <v>162627.78152198438</v>
      </c>
      <c r="AJ428" s="8"/>
      <c r="AK428" s="5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</row>
    <row r="429" spans="1:50" ht="1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5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</row>
    <row r="430" spans="1:50" ht="1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5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</row>
    <row r="431" spans="1:50" ht="1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5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</row>
    <row r="432" spans="1:50" ht="1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5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</row>
    <row r="433" spans="1:50" ht="1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5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</row>
    <row r="434" spans="1:50" ht="1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5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</row>
    <row r="435" spans="1:50" ht="1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5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</row>
    <row r="436" spans="1:50" ht="1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5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</row>
    <row r="437" spans="1:50" ht="1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5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</row>
    <row r="438" spans="1:50" ht="1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5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</row>
    <row r="439" spans="1:50" ht="1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5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</row>
    <row r="440" spans="1:50" ht="1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5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</row>
    <row r="441" spans="1:50" ht="1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5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</row>
    <row r="442" spans="1:50" ht="1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5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</row>
    <row r="443" spans="1:50" ht="1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5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</row>
    <row r="444" spans="1:50" ht="1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5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</row>
    <row r="445" spans="1:50" ht="1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5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</row>
    <row r="446" spans="1:50" ht="1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5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</row>
    <row r="447" spans="1:50" ht="1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5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</row>
    <row r="448" spans="1:50" ht="1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5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</row>
    <row r="449" spans="1:50" ht="1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5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</row>
    <row r="450" spans="1:50" ht="1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5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</row>
    <row r="451" spans="1:50" ht="1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5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</row>
    <row r="452" spans="1:50" ht="1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5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</row>
    <row r="453" spans="1:50" ht="1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5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</row>
    <row r="454" spans="1:50" ht="1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5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</row>
    <row r="455" spans="1:50" ht="1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5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</row>
    <row r="456" spans="1:50" ht="1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5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</row>
    <row r="457" spans="1:50" ht="1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5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</row>
    <row r="458" spans="1:50" ht="1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5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</row>
    <row r="459" spans="1:50" ht="1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5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</row>
    <row r="460" spans="1:50" ht="1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5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</row>
    <row r="461" spans="1:50" ht="1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5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</row>
    <row r="462" spans="1:50" ht="1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5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</row>
    <row r="463" spans="1:50" ht="1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5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</row>
    <row r="464" spans="1:50" ht="1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5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</row>
    <row r="465" spans="1:50" ht="1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5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</row>
    <row r="466" spans="1:50" ht="1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5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</row>
    <row r="467" spans="1:50" ht="1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5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</row>
    <row r="468" spans="1:50" ht="1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5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</row>
    <row r="469" spans="1:50" ht="1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5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</row>
    <row r="470" spans="1:50" ht="1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5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</row>
    <row r="471" spans="1:50" ht="1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5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</row>
    <row r="472" spans="1:50" ht="1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5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</row>
    <row r="473" spans="1:50" ht="1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5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</row>
    <row r="474" spans="1:50" ht="1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5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</row>
    <row r="475" spans="1:50" ht="1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5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</row>
    <row r="476" spans="1:50" ht="1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5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</row>
    <row r="477" spans="1:50" ht="1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5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</row>
    <row r="478" spans="1:50" ht="1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5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</row>
    <row r="479" spans="1:50" ht="1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5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</row>
    <row r="480" spans="1:50" ht="1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5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</row>
    <row r="481" spans="1:50" ht="1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5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</row>
    <row r="482" spans="1:50" ht="1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5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</row>
    <row r="483" spans="1:50" ht="1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5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</row>
    <row r="484" spans="1:50" ht="1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5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</row>
    <row r="485" spans="1:50" ht="1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5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</row>
    <row r="486" spans="1:50" ht="1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5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</row>
    <row r="487" spans="1:50" ht="1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5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</row>
    <row r="488" spans="1:50" ht="1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5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</row>
    <row r="489" spans="1:50" ht="1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5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</row>
    <row r="490" spans="1:50" ht="1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5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</row>
    <row r="491" spans="1:50" ht="1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5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</row>
    <row r="492" spans="1:50" ht="1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5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</row>
    <row r="493" spans="1:50" ht="1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5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</row>
    <row r="494" spans="1:50" ht="1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5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</row>
    <row r="495" spans="1:50" ht="1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5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</row>
    <row r="496" spans="1:50" ht="1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5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</row>
    <row r="497" spans="1:50" ht="1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5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</row>
    <row r="498" spans="1:50" ht="1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5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</row>
    <row r="499" spans="1:50" ht="1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5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</row>
    <row r="500" spans="1:50" ht="1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5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</row>
    <row r="501" spans="1:50" ht="1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5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</row>
    <row r="502" spans="1:50" ht="1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5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</row>
    <row r="503" spans="1:50" ht="1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5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</row>
    <row r="504" spans="1:50" ht="1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5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</row>
    <row r="505" spans="1:50" ht="1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5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</row>
    <row r="506" spans="1:50" ht="1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5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</row>
    <row r="507" spans="1:50" ht="1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5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</row>
    <row r="508" spans="1:50" ht="1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5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</row>
    <row r="509" spans="1:50" ht="1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5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</row>
    <row r="510" spans="1:50" ht="1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5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</row>
    <row r="511" spans="1:50" ht="1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5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</row>
    <row r="512" spans="1:50" ht="1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5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</row>
    <row r="513" spans="1:50" ht="1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5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</row>
    <row r="514" spans="1:50" ht="1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5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</row>
    <row r="515" spans="1:50" ht="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5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</row>
    <row r="516" spans="1:50" ht="1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5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</row>
    <row r="517" spans="1:50" ht="1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5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</row>
    <row r="518" spans="1:50" ht="1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5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</row>
    <row r="519" spans="1:50" ht="1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5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</row>
    <row r="520" spans="1:50" ht="1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5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</row>
    <row r="521" spans="1:50" ht="1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5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</row>
    <row r="522" spans="1:50" ht="1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5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</row>
    <row r="523" spans="1:50" ht="1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5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</row>
    <row r="524" spans="1:50" ht="1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5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</row>
    <row r="525" spans="1:50" ht="1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5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</row>
    <row r="526" spans="1:50" ht="1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5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</row>
    <row r="527" spans="1:50" ht="1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5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</row>
    <row r="528" spans="1:50" ht="1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5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</row>
    <row r="529" spans="1:50" ht="1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5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</row>
    <row r="530" spans="1:50" ht="1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5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</row>
    <row r="531" spans="1:50" ht="1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5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</row>
    <row r="532" spans="1:50" ht="1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5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</row>
    <row r="533" spans="1:50" ht="1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5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</row>
    <row r="534" spans="1:50" ht="1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5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</row>
    <row r="535" spans="1:50" ht="1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5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</row>
    <row r="536" spans="1:50" ht="1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5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</row>
    <row r="537" spans="1:50" ht="1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5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</row>
    <row r="538" spans="1:50" ht="1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5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</row>
    <row r="539" spans="1:50" ht="1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5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</row>
    <row r="540" spans="1:50" ht="1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5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</row>
    <row r="541" spans="1:50" ht="1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5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</row>
    <row r="542" spans="1:50" ht="1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5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</row>
    <row r="543" spans="1:50" ht="1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5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</row>
    <row r="544" spans="1:50" ht="1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5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</row>
    <row r="545" spans="1:50" ht="1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5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</row>
    <row r="546" spans="1:50" ht="1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5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</row>
    <row r="547" spans="1:50" ht="1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5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</row>
    <row r="548" spans="1:50" ht="1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5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</row>
    <row r="549" spans="1:50" ht="1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5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</row>
    <row r="550" spans="1:50" ht="1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5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</row>
    <row r="551" spans="1:50" ht="1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5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</row>
    <row r="552" spans="1:50" ht="1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5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</row>
    <row r="553" spans="1:50" ht="1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5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</row>
    <row r="554" spans="1:50" ht="1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5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</row>
    <row r="555" spans="1:50" ht="1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5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</row>
    <row r="556" spans="1:50" ht="1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5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</row>
    <row r="557" spans="1:50" ht="1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5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</row>
    <row r="558" spans="1:50" ht="1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5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</row>
    <row r="559" spans="1:50" ht="1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5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</row>
    <row r="560" spans="1:50" ht="1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5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</row>
    <row r="561" spans="1:50" ht="1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5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</row>
    <row r="562" spans="1:50" ht="1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5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</row>
    <row r="563" spans="1:50" ht="1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5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</row>
    <row r="564" spans="1:50" ht="1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5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</row>
    <row r="565" spans="1:50" ht="1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5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</row>
    <row r="566" spans="1:50" ht="1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5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</row>
    <row r="567" spans="1:50" ht="1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5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</row>
    <row r="568" spans="1:50" ht="1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5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</row>
    <row r="569" spans="1:50" ht="1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5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</row>
    <row r="570" spans="1:50" ht="1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5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</row>
    <row r="571" spans="1:50" ht="1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5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</row>
    <row r="572" spans="1:50" ht="1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5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</row>
    <row r="573" spans="1:50" ht="1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5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</row>
    <row r="574" spans="1:50" ht="1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5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</row>
    <row r="575" spans="1:50" ht="1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5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</row>
    <row r="576" spans="1:50" ht="1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5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</row>
    <row r="577" spans="1:50" ht="1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5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</row>
    <row r="578" spans="1:50" ht="1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5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</row>
    <row r="579" spans="1:50" ht="1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5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</row>
    <row r="580" spans="1:50" ht="1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5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</row>
    <row r="581" spans="1:50" ht="1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5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</row>
    <row r="582" spans="1:50" ht="1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5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</row>
    <row r="583" spans="1:50" ht="1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5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</row>
    <row r="584" spans="1:50" ht="1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5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</row>
    <row r="585" spans="1:50" ht="1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5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</row>
    <row r="586" spans="1:50" ht="1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5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</row>
    <row r="587" spans="1:50" ht="1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5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</row>
    <row r="588" spans="1:50" ht="1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5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</row>
    <row r="589" spans="1:50" ht="1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5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</row>
    <row r="590" spans="1:50" ht="1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5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</row>
    <row r="591" spans="1:50" ht="1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5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</row>
    <row r="592" spans="1:50" ht="1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5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</row>
    <row r="593" spans="1:50" ht="1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5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</row>
    <row r="594" spans="1:50" ht="1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5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</row>
    <row r="595" spans="1:50" ht="1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5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</row>
    <row r="596" spans="1:50" ht="1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5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</row>
    <row r="597" spans="1:50" ht="1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5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</row>
    <row r="598" spans="1:50" ht="1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5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</row>
    <row r="599" spans="1:50" ht="1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5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</row>
    <row r="600" spans="1:50" ht="1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5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</row>
    <row r="601" spans="1:50" ht="1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5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</row>
    <row r="602" spans="1:50" ht="1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5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</row>
    <row r="603" spans="1:50" ht="1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5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</row>
    <row r="604" spans="1:50" ht="1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5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</row>
    <row r="605" spans="1:50" ht="1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5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</row>
    <row r="606" spans="1:50" ht="1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5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</row>
    <row r="607" spans="1:50" ht="1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5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</row>
    <row r="608" spans="1:50" ht="1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5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</row>
    <row r="609" spans="1:50" ht="1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5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</row>
    <row r="610" spans="1:50" ht="1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5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</row>
    <row r="611" spans="1:50" ht="1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5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</row>
    <row r="612" spans="1:50" ht="1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5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</row>
    <row r="613" spans="1:50" ht="1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5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</row>
    <row r="614" spans="1:50" ht="1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5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</row>
    <row r="615" spans="1:50" ht="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5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</row>
    <row r="616" spans="1:50" ht="1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5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</row>
    <row r="617" spans="1:50" ht="1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5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</row>
    <row r="618" spans="1:50" ht="1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5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</row>
    <row r="619" spans="1:50" ht="1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5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</row>
    <row r="620" spans="1:50" ht="1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5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</row>
    <row r="621" spans="1:50" ht="1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5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</row>
    <row r="622" spans="1:50" ht="1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5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</row>
    <row r="623" spans="1:50" ht="1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5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</row>
    <row r="624" spans="1:50" ht="1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5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</row>
    <row r="625" spans="1:50" ht="1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5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</row>
    <row r="626" spans="1:50" ht="1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5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</row>
    <row r="627" spans="1:50" ht="1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5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</row>
    <row r="628" spans="1:50" ht="1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5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</row>
    <row r="629" spans="1:50" ht="1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5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</row>
    <row r="630" spans="1:50" ht="1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5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</row>
    <row r="631" spans="1:50" ht="1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5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</row>
    <row r="632" spans="1:50" ht="1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5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</row>
    <row r="633" spans="1:50" ht="1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5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</row>
    <row r="634" spans="1:50" ht="1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5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</row>
    <row r="635" spans="1:50" ht="1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5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</row>
    <row r="636" spans="1:50" ht="1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5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</row>
    <row r="637" spans="1:50" ht="1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5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</row>
    <row r="638" spans="1:50" ht="1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5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</row>
    <row r="639" spans="1:50" ht="1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5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</row>
    <row r="640" spans="1:50" ht="1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5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</row>
    <row r="641" spans="1:50" ht="1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5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</row>
    <row r="642" spans="1:50" ht="1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5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</row>
    <row r="643" spans="1:50" ht="1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5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</row>
    <row r="644" spans="1:50" ht="1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5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</row>
    <row r="645" spans="1:50" ht="1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5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</row>
    <row r="646" spans="1:50" ht="1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5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</row>
    <row r="647" spans="1:50" ht="1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5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</row>
    <row r="648" spans="1:50" ht="1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5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</row>
    <row r="649" spans="1:50" ht="1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5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</row>
    <row r="650" spans="1:50" ht="1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5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</row>
    <row r="651" spans="1:50" ht="1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5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</row>
    <row r="652" spans="1:50" ht="1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5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</row>
    <row r="653" spans="1:50" ht="1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5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</row>
    <row r="654" spans="1:50" ht="1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5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</row>
    <row r="655" spans="1:50" ht="1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5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</row>
    <row r="656" spans="1:50" ht="1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5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</row>
    <row r="657" spans="1:50" ht="1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5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</row>
    <row r="658" spans="1:50" ht="1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5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</row>
    <row r="659" spans="1:50" ht="1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5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</row>
    <row r="660" spans="1:50" ht="1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5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</row>
    <row r="661" spans="1:50" ht="1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5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</row>
    <row r="662" spans="1:50" ht="1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5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</row>
    <row r="663" spans="1:50" ht="1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5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</row>
    <row r="664" spans="1:50" ht="1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5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</row>
    <row r="665" spans="1:50" ht="1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5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</row>
    <row r="666" spans="1:50" ht="1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5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</row>
    <row r="667" spans="1:50" ht="1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5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</row>
    <row r="668" spans="1:50" ht="1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5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</row>
    <row r="669" spans="1:50" ht="1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5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</row>
    <row r="670" spans="1:50" ht="1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5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</row>
    <row r="671" spans="1:50" ht="1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5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</row>
    <row r="672" spans="1:50" ht="1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5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</row>
    <row r="673" spans="1:50" ht="1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5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</row>
    <row r="674" spans="1:50" ht="1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5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</row>
    <row r="675" spans="1:50" ht="1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5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</row>
    <row r="676" spans="1:50" ht="1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5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</row>
    <row r="677" spans="1:50" ht="1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5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</row>
    <row r="678" spans="1:50" ht="1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5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</row>
    <row r="679" spans="1:50" ht="1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5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</row>
    <row r="680" spans="1:50" ht="1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5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</row>
    <row r="681" spans="1:50" ht="1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5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</row>
    <row r="682" spans="1:50" ht="1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5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</row>
    <row r="683" spans="1:50" ht="1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5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</row>
    <row r="684" spans="1:50" ht="1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5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</row>
    <row r="685" spans="1:50" ht="1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5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</row>
    <row r="686" spans="1:50" ht="1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5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</row>
    <row r="687" spans="1:50" ht="1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5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</row>
    <row r="688" spans="1:50" ht="1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5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</row>
    <row r="689" spans="1:50" ht="1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5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</row>
    <row r="690" spans="1:50" ht="1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5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</row>
    <row r="691" spans="1:50" ht="1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5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</row>
    <row r="692" spans="1:50" ht="1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5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</row>
    <row r="693" spans="1:50" ht="1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5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</row>
    <row r="694" spans="1:50" ht="1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5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</row>
    <row r="695" spans="1:50" ht="1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5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</row>
    <row r="696" spans="1:50" ht="1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5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</row>
    <row r="697" spans="1:50" ht="1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5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</row>
    <row r="698" spans="1:50" ht="1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5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</row>
    <row r="699" spans="1:50" ht="1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5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</row>
    <row r="700" spans="1:50" ht="1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5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</row>
    <row r="701" spans="1:50" ht="1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5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</row>
    <row r="702" spans="1:50" ht="1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5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</row>
    <row r="703" spans="1:50" ht="1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5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</row>
    <row r="704" spans="1:50" ht="1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5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</row>
    <row r="705" spans="1:50" ht="1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5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</row>
    <row r="706" spans="1:50" ht="1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5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</row>
    <row r="707" spans="1:50" ht="1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5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</row>
    <row r="708" spans="1:50" ht="1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5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</row>
    <row r="709" spans="1:50" ht="1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5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</row>
    <row r="710" spans="1:50" ht="1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5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</row>
    <row r="711" spans="1:50" ht="1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5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</row>
    <row r="712" spans="1:50" ht="1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5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</row>
    <row r="713" spans="1:50" ht="1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5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</row>
    <row r="714" spans="1:50" ht="1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5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</row>
    <row r="715" spans="1:50" ht="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5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</row>
    <row r="716" spans="1:50" ht="1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5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</row>
    <row r="717" spans="1:50" ht="1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5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</row>
    <row r="718" spans="1:50" ht="1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5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</row>
    <row r="719" spans="1:50" ht="1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5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</row>
    <row r="720" spans="1:50" ht="1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5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</row>
    <row r="721" spans="1:50" ht="1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5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</row>
    <row r="722" spans="1:50" ht="1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5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</row>
    <row r="723" spans="1:50" ht="1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5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</row>
    <row r="724" spans="1:50" ht="1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5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</row>
    <row r="725" spans="1:50" ht="1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5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</row>
    <row r="726" spans="1:50" ht="1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5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</row>
    <row r="727" spans="1:50" ht="1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5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</row>
    <row r="728" spans="1:50" ht="1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5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</row>
    <row r="729" spans="1:50" ht="1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5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</row>
    <row r="730" spans="1:50" ht="1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5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</row>
    <row r="731" spans="1:50" ht="1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5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</row>
    <row r="732" spans="1:50" ht="1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5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</row>
    <row r="733" spans="1:50" ht="1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5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</row>
    <row r="734" spans="1:50" ht="1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5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</row>
    <row r="735" spans="1:50" ht="1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5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</row>
    <row r="736" spans="1:50" ht="1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5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</row>
    <row r="737" spans="1:50" ht="1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5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</row>
    <row r="738" spans="1:50" ht="1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5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</row>
    <row r="739" spans="1:50" ht="1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5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</row>
    <row r="740" spans="1:50" ht="1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5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</row>
    <row r="741" spans="1:50" ht="1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5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</row>
    <row r="742" spans="1:50" ht="1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5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</row>
    <row r="743" spans="1:50" ht="1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5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</row>
    <row r="744" spans="1:50" ht="1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5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</row>
    <row r="745" spans="1:50" ht="1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5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</row>
    <row r="746" spans="1:50" ht="1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5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</row>
    <row r="747" spans="1:50" ht="1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5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</row>
    <row r="748" spans="1:50" ht="1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5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</row>
    <row r="749" spans="1:50" ht="1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5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</row>
    <row r="750" spans="1:50" ht="1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5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</row>
    <row r="751" spans="1:50" ht="1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5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</row>
    <row r="752" spans="1:50" ht="1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5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</row>
    <row r="753" spans="1:50" ht="1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5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</row>
    <row r="754" spans="1:50" ht="1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5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</row>
    <row r="755" spans="1:50" ht="1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5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</row>
    <row r="756" spans="1:50" ht="1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5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</row>
    <row r="757" spans="1:50" ht="1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5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</row>
    <row r="758" spans="1:50" ht="1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5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</row>
    <row r="759" spans="1:50" ht="1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5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</row>
    <row r="760" spans="1:50" ht="1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5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</row>
    <row r="761" spans="1:50" ht="1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5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</row>
    <row r="762" spans="1:50" ht="1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5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</row>
    <row r="763" spans="1:50" ht="1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5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</row>
    <row r="764" spans="1:50" ht="1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5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</row>
    <row r="765" spans="1:50" ht="1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5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</row>
    <row r="766" spans="1:50" ht="1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5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</row>
    <row r="767" spans="1:50" ht="1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5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</row>
    <row r="768" spans="1:50" ht="1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5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</row>
    <row r="769" spans="1:50" ht="1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5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</row>
    <row r="770" spans="1:50" ht="1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5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</row>
    <row r="771" spans="1:50" ht="1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5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</row>
    <row r="772" spans="1:50" ht="1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5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</row>
    <row r="773" spans="1:50" ht="1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5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</row>
    <row r="774" spans="1:50" ht="1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5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</row>
    <row r="775" spans="1:50" ht="1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5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</row>
    <row r="776" spans="1:50" ht="1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5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</row>
    <row r="777" spans="1:50" ht="1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5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</row>
    <row r="778" spans="1:50" ht="1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5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</row>
    <row r="779" spans="1:50" ht="1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5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</row>
    <row r="780" spans="1:50" ht="1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5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</row>
    <row r="781" spans="1:50" ht="1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5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</row>
    <row r="782" spans="1:50" ht="1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5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</row>
    <row r="783" spans="1:50" ht="1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5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</row>
    <row r="784" spans="1:50" ht="1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5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</row>
    <row r="785" spans="1:50" ht="1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5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</row>
    <row r="786" spans="1:50" ht="1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5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</row>
    <row r="787" spans="1:50" ht="1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5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</row>
    <row r="788" spans="1:50" ht="1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5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</row>
    <row r="789" spans="1:50" ht="1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5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</row>
    <row r="790" spans="1:50" ht="1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5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</row>
    <row r="791" spans="1:50" ht="1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5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</row>
    <row r="792" spans="1:50" ht="1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5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</row>
    <row r="793" spans="1:50" ht="1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5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</row>
    <row r="794" spans="1:50" ht="1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5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</row>
    <row r="795" spans="1:50" ht="1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5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</row>
    <row r="796" spans="1:50" ht="1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5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</row>
    <row r="797" spans="1:50" ht="1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5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</row>
    <row r="798" spans="1:50" ht="1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5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</row>
    <row r="799" spans="1:50" ht="1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5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</row>
    <row r="800" spans="1:50" ht="1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5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</row>
    <row r="801" spans="1:50" ht="1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5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</row>
    <row r="802" spans="1:50" ht="1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5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</row>
    <row r="803" spans="1:50" ht="1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5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</row>
    <row r="804" spans="1:50" ht="1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5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</row>
    <row r="805" spans="1:50" ht="1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5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</row>
    <row r="806" spans="1:50" ht="1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5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</row>
    <row r="807" spans="1:50" ht="1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5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</row>
    <row r="808" spans="1:50" ht="1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5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</row>
    <row r="809" spans="1:50" ht="1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5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</row>
    <row r="810" spans="1:50" ht="1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5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</row>
    <row r="811" spans="1:50" ht="1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5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</row>
    <row r="812" spans="1:50" ht="1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5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</row>
    <row r="813" spans="1:50" ht="1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5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</row>
    <row r="814" spans="1:50" ht="1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5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</row>
    <row r="815" spans="1:50" ht="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5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</row>
    <row r="816" spans="1:50" ht="1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5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</row>
    <row r="817" spans="1:50" ht="1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5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</row>
    <row r="818" spans="1:50" ht="1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5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</row>
    <row r="819" spans="1:50" ht="1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5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</row>
    <row r="820" spans="1:50" ht="1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5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</row>
    <row r="821" spans="1:50" ht="1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5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</row>
    <row r="822" spans="1:50" ht="1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5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</row>
    <row r="823" spans="1:50" ht="1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5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</row>
    <row r="824" spans="1:50" ht="1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5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</row>
    <row r="825" spans="1:50" ht="1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5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</row>
    <row r="826" spans="1:50" ht="1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5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</row>
    <row r="827" spans="1:50" ht="1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5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</row>
    <row r="828" spans="1:50" ht="1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5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</row>
    <row r="829" spans="1:50" ht="1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5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</row>
    <row r="830" spans="1:50" ht="1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5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</row>
    <row r="831" spans="1:50" ht="1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5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</row>
    <row r="832" spans="1:50" ht="1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5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</row>
    <row r="833" spans="1:50" ht="1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5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</row>
    <row r="834" spans="1:50" ht="1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5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</row>
    <row r="835" spans="1:50" ht="1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5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</row>
    <row r="836" spans="1:50" ht="1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5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</row>
    <row r="837" spans="1:50" ht="1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5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</row>
    <row r="838" spans="1:50" ht="1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5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</row>
    <row r="839" spans="1:50" ht="1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5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</row>
    <row r="840" spans="1:50" ht="1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5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</row>
    <row r="841" spans="1:50" ht="1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5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</row>
    <row r="842" spans="1:50" ht="1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5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</row>
    <row r="843" spans="1:50" ht="1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5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</row>
    <row r="844" spans="1:50" ht="1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5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</row>
    <row r="845" spans="1:50" ht="1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5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</row>
    <row r="846" spans="1:50" ht="1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5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</row>
    <row r="847" spans="1:50" ht="1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5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</row>
    <row r="848" spans="1:50" ht="1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5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</row>
    <row r="849" spans="1:50" ht="1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5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</row>
    <row r="850" spans="1:50" ht="1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5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</row>
    <row r="851" spans="1:50" ht="1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5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</row>
    <row r="852" spans="1:50" ht="1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5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</row>
    <row r="853" spans="1:50" ht="1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5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</row>
    <row r="854" spans="1:50" ht="1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5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</row>
    <row r="855" spans="1:50" ht="1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5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</row>
    <row r="856" spans="1:50" ht="1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5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</row>
    <row r="857" spans="1:50" ht="1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5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</row>
    <row r="858" spans="1:50" ht="1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5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</row>
    <row r="859" spans="1:50" ht="1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5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</row>
    <row r="860" spans="1:50" ht="1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5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</row>
    <row r="861" spans="1:50" ht="1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5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</row>
    <row r="862" spans="1:50" ht="1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5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</row>
    <row r="863" spans="1:50" ht="1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5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</row>
    <row r="864" spans="1:50" ht="1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5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</row>
    <row r="865" spans="1:50" ht="1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5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</row>
    <row r="866" spans="1:50" ht="1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5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</row>
    <row r="867" spans="1:50" ht="1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5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</row>
    <row r="868" spans="1:50" ht="1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5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</row>
    <row r="869" spans="1:50" ht="1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5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</row>
    <row r="870" spans="1:50" ht="1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5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</row>
    <row r="871" spans="1:50" ht="1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5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</row>
    <row r="872" spans="1:50" ht="1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5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</row>
    <row r="873" spans="1:50" ht="1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5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</row>
    <row r="874" spans="1:50" ht="1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5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</row>
    <row r="875" spans="1:50" ht="1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5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</row>
    <row r="876" spans="1:50" ht="1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5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</row>
    <row r="877" spans="1:50" ht="1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5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</row>
    <row r="878" spans="1:50" ht="1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5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</row>
    <row r="879" spans="1:50" ht="1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5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</row>
    <row r="880" spans="1:50" ht="1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5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</row>
    <row r="881" spans="1:50" ht="1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5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</row>
    <row r="882" spans="1:50" ht="1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5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</row>
    <row r="883" spans="1:50" ht="1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5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</row>
    <row r="884" spans="1:50" ht="1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5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</row>
    <row r="885" spans="1:50" ht="1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5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</row>
    <row r="886" spans="1:50" ht="1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5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</row>
    <row r="887" spans="1:50" ht="1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5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</row>
    <row r="888" spans="1:50" ht="1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5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</row>
    <row r="889" spans="1:50" ht="1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5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</row>
  </sheetData>
  <sheetProtection/>
  <printOptions/>
  <pageMargins left="0.75" right="0.75" top="1" bottom="0.5" header="0.5" footer="0.25"/>
  <pageSetup fitToHeight="0" fitToWidth="2" horizontalDpi="600" verticalDpi="600" orientation="landscape" pageOrder="overThenDown" scale="45" r:id="rId1"/>
  <rowBreaks count="5" manualBreakCount="5">
    <brk id="57" max="34" man="1"/>
    <brk id="133" max="34" man="1"/>
    <brk id="198" max="34" man="1"/>
    <brk id="268" max="34" man="1"/>
    <brk id="333" max="34" man="1"/>
  </rowBreaks>
  <colBreaks count="1" manualBreakCount="1">
    <brk id="19" max="3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P88"/>
  <sheetViews>
    <sheetView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32" sqref="B32"/>
    </sheetView>
  </sheetViews>
  <sheetFormatPr defaultColWidth="5.77734375" defaultRowHeight="15.75"/>
  <cols>
    <col min="1" max="1" width="9.88671875" style="1" customWidth="1"/>
    <col min="2" max="2" width="38.77734375" style="1" customWidth="1"/>
    <col min="3" max="3" width="16.6640625" style="1" customWidth="1"/>
    <col min="4" max="4" width="0.9921875" style="1" customWidth="1"/>
    <col min="5" max="5" width="13.21484375" style="1" customWidth="1"/>
    <col min="6" max="6" width="0.9921875" style="1" customWidth="1"/>
    <col min="7" max="7" width="11.3359375" style="1" bestFit="1" customWidth="1"/>
    <col min="8" max="8" width="0.9921875" style="1" customWidth="1"/>
    <col min="9" max="9" width="11.3359375" style="1" customWidth="1"/>
    <col min="10" max="10" width="0.9921875" style="1" customWidth="1"/>
    <col min="11" max="11" width="13.21484375" style="1" customWidth="1"/>
    <col min="12" max="12" width="0.9921875" style="1" customWidth="1"/>
    <col min="13" max="13" width="12.5546875" style="1" customWidth="1"/>
    <col min="14" max="14" width="0.9921875" style="1" customWidth="1"/>
    <col min="15" max="15" width="14.4453125" style="1" customWidth="1"/>
    <col min="16" max="16" width="0.9921875" style="1" customWidth="1"/>
    <col min="17" max="17" width="14.4453125" style="1" customWidth="1"/>
    <col min="18" max="18" width="0.9921875" style="1" customWidth="1"/>
    <col min="19" max="19" width="13.21484375" style="1" customWidth="1"/>
    <col min="20" max="20" width="1.33203125" style="1" customWidth="1"/>
    <col min="21" max="21" width="13.21484375" style="1" customWidth="1"/>
    <col min="22" max="22" width="0.9921875" style="1" customWidth="1"/>
    <col min="23" max="23" width="13.21484375" style="1" customWidth="1"/>
    <col min="24" max="24" width="0.9921875" style="1" customWidth="1"/>
    <col min="25" max="25" width="14.10546875" style="1" customWidth="1"/>
    <col min="26" max="26" width="0.9921875" style="1" customWidth="1"/>
    <col min="27" max="27" width="14.99609375" style="1" customWidth="1"/>
    <col min="28" max="28" width="0.78125" style="1" customWidth="1"/>
    <col min="29" max="29" width="14.99609375" style="1" customWidth="1"/>
    <col min="30" max="30" width="0.9921875" style="1" customWidth="1"/>
    <col min="31" max="31" width="17.5546875" style="1" customWidth="1"/>
    <col min="32" max="32" width="0.9921875" style="1" customWidth="1"/>
    <col min="33" max="33" width="18.6640625" style="1" customWidth="1"/>
    <col min="34" max="34" width="0.9921875" style="1" customWidth="1"/>
    <col min="35" max="35" width="13.5546875" style="1" customWidth="1"/>
    <col min="36" max="36" width="0.9921875" style="1" customWidth="1"/>
    <col min="37" max="37" width="11.99609375" style="1" customWidth="1"/>
    <col min="38" max="38" width="0.9921875" style="1" customWidth="1"/>
    <col min="39" max="39" width="11.99609375" style="1" customWidth="1"/>
    <col min="40" max="40" width="0.9921875" style="1" customWidth="1"/>
    <col min="41" max="41" width="13.21484375" style="1" customWidth="1"/>
    <col min="42" max="42" width="1.1171875" style="1" customWidth="1"/>
    <col min="43" max="43" width="12.99609375" style="62" customWidth="1"/>
    <col min="44" max="46" width="12.99609375" style="1" customWidth="1"/>
    <col min="47" max="16384" width="5.77734375" style="1" customWidth="1"/>
  </cols>
  <sheetData>
    <row r="1" spans="1:43" ht="15">
      <c r="A1" s="8"/>
      <c r="B1" s="8"/>
      <c r="C1" s="13"/>
      <c r="D1" s="13"/>
      <c r="E1" s="13"/>
      <c r="F1" s="13"/>
      <c r="G1" s="13"/>
      <c r="H1" s="13"/>
      <c r="I1" s="13"/>
      <c r="J1" s="13"/>
      <c r="K1" s="13"/>
      <c r="L1" s="8"/>
      <c r="M1" s="13"/>
      <c r="N1" s="13"/>
      <c r="O1" s="13"/>
      <c r="P1" s="13"/>
      <c r="Q1" s="13"/>
      <c r="R1" s="13"/>
      <c r="S1" s="8"/>
      <c r="T1" s="8"/>
      <c r="U1" s="8"/>
      <c r="V1" s="8"/>
      <c r="X1" s="13"/>
      <c r="Y1" s="30" t="s">
        <v>144</v>
      </c>
      <c r="Z1" s="13"/>
      <c r="AA1" s="54"/>
      <c r="AB1" s="54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8"/>
      <c r="AP1" s="8"/>
      <c r="AQ1" s="58"/>
    </row>
    <row r="2" spans="1:43" ht="15">
      <c r="A2" s="8"/>
      <c r="B2" s="8"/>
      <c r="C2" s="13"/>
      <c r="D2" s="13"/>
      <c r="E2" s="13"/>
      <c r="F2" s="13"/>
      <c r="G2" s="13"/>
      <c r="H2" s="13"/>
      <c r="I2" s="13"/>
      <c r="J2" s="13"/>
      <c r="K2" s="13"/>
      <c r="L2" s="8"/>
      <c r="O2" s="13"/>
      <c r="P2" s="13"/>
      <c r="Q2" s="13"/>
      <c r="R2" s="13"/>
      <c r="S2" s="8"/>
      <c r="T2" s="8"/>
      <c r="U2" s="8"/>
      <c r="V2" s="8"/>
      <c r="X2" s="13"/>
      <c r="Y2" s="30" t="s">
        <v>145</v>
      </c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8"/>
      <c r="AP2" s="8"/>
      <c r="AQ2" s="58"/>
    </row>
    <row r="3" spans="1:43" ht="15">
      <c r="A3" s="8"/>
      <c r="B3" s="11"/>
      <c r="C3" s="13"/>
      <c r="D3" s="13"/>
      <c r="E3" s="13"/>
      <c r="F3" s="13"/>
      <c r="G3" s="13"/>
      <c r="H3" s="13"/>
      <c r="I3" s="13"/>
      <c r="J3" s="13"/>
      <c r="K3" s="13"/>
      <c r="L3" s="8"/>
      <c r="M3" s="13"/>
      <c r="O3" s="13"/>
      <c r="P3" s="13"/>
      <c r="Q3" s="13"/>
      <c r="R3" s="13"/>
      <c r="S3" s="8"/>
      <c r="T3" s="8"/>
      <c r="U3" s="8"/>
      <c r="V3" s="8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8"/>
      <c r="AP3" s="8"/>
      <c r="AQ3" s="58"/>
    </row>
    <row r="4" spans="1:43" ht="15">
      <c r="A4" s="8"/>
      <c r="B4" s="8"/>
      <c r="C4" s="13"/>
      <c r="D4" s="13"/>
      <c r="E4" s="2"/>
      <c r="F4" s="2"/>
      <c r="G4" s="2"/>
      <c r="H4" s="2"/>
      <c r="I4" s="2"/>
      <c r="J4" s="2"/>
      <c r="K4" s="2"/>
      <c r="L4" s="2"/>
      <c r="M4" s="2" t="s">
        <v>94</v>
      </c>
      <c r="N4" s="2"/>
      <c r="O4" s="2"/>
      <c r="P4" s="2"/>
      <c r="Q4" s="3" t="s">
        <v>143</v>
      </c>
      <c r="R4" s="2"/>
      <c r="S4" s="3" t="s">
        <v>139</v>
      </c>
      <c r="T4" s="3"/>
      <c r="U4" s="3"/>
      <c r="V4" s="2"/>
      <c r="W4" s="3" t="s">
        <v>140</v>
      </c>
      <c r="X4" s="2"/>
      <c r="Y4" s="3" t="s">
        <v>95</v>
      </c>
      <c r="Z4" s="2"/>
      <c r="AA4" s="3" t="s">
        <v>96</v>
      </c>
      <c r="AB4" s="3"/>
      <c r="AC4" s="2" t="s">
        <v>97</v>
      </c>
      <c r="AD4" s="2"/>
      <c r="AE4" s="2" t="s">
        <v>98</v>
      </c>
      <c r="AF4" s="2"/>
      <c r="AG4" s="2" t="s">
        <v>99</v>
      </c>
      <c r="AH4" s="2"/>
      <c r="AI4" s="2" t="s">
        <v>100</v>
      </c>
      <c r="AJ4" s="2"/>
      <c r="AK4" s="2"/>
      <c r="AL4" s="2"/>
      <c r="AM4" s="2"/>
      <c r="AN4" s="2"/>
      <c r="AO4" s="2"/>
      <c r="AP4" s="2"/>
      <c r="AQ4" s="65"/>
    </row>
    <row r="5" spans="1:43" ht="15">
      <c r="A5" s="8"/>
      <c r="B5" s="8"/>
      <c r="C5" s="13"/>
      <c r="D5" s="13"/>
      <c r="E5" s="2" t="s">
        <v>101</v>
      </c>
      <c r="F5" s="2"/>
      <c r="G5" s="2"/>
      <c r="H5" s="2"/>
      <c r="I5" s="2" t="s">
        <v>101</v>
      </c>
      <c r="J5" s="2"/>
      <c r="K5" s="2" t="s">
        <v>136</v>
      </c>
      <c r="L5" s="2"/>
      <c r="M5" s="2" t="s">
        <v>102</v>
      </c>
      <c r="N5" s="2"/>
      <c r="O5" s="2" t="s">
        <v>94</v>
      </c>
      <c r="P5" s="2"/>
      <c r="Q5" s="2" t="s">
        <v>103</v>
      </c>
      <c r="R5" s="2"/>
      <c r="S5" s="2" t="s">
        <v>104</v>
      </c>
      <c r="T5" s="2"/>
      <c r="U5" s="2"/>
      <c r="V5" s="2"/>
      <c r="W5" s="2" t="s">
        <v>104</v>
      </c>
      <c r="X5" s="2"/>
      <c r="Y5" s="2" t="s">
        <v>104</v>
      </c>
      <c r="Z5" s="2"/>
      <c r="AA5" s="2" t="s">
        <v>104</v>
      </c>
      <c r="AB5" s="2"/>
      <c r="AC5" s="2" t="s">
        <v>104</v>
      </c>
      <c r="AD5" s="2"/>
      <c r="AE5" s="2" t="s">
        <v>141</v>
      </c>
      <c r="AF5" s="2"/>
      <c r="AG5" s="3" t="s">
        <v>105</v>
      </c>
      <c r="AH5" s="2"/>
      <c r="AI5" s="3" t="s">
        <v>105</v>
      </c>
      <c r="AJ5" s="2"/>
      <c r="AK5" s="3" t="s">
        <v>106</v>
      </c>
      <c r="AL5" s="2"/>
      <c r="AM5" s="2" t="s">
        <v>107</v>
      </c>
      <c r="AN5" s="2"/>
      <c r="AO5" s="2" t="s">
        <v>108</v>
      </c>
      <c r="AP5" s="2"/>
      <c r="AQ5" s="65"/>
    </row>
    <row r="6" spans="1:43" ht="15" thickBot="1">
      <c r="A6" s="16" t="s">
        <v>92</v>
      </c>
      <c r="B6" s="8"/>
      <c r="C6" s="17" t="s">
        <v>3</v>
      </c>
      <c r="D6" s="17"/>
      <c r="E6" s="4" t="s">
        <v>109</v>
      </c>
      <c r="F6" s="4"/>
      <c r="G6" s="75"/>
      <c r="H6" s="4"/>
      <c r="I6" s="75" t="s">
        <v>142</v>
      </c>
      <c r="J6" s="4"/>
      <c r="K6" s="4"/>
      <c r="L6" s="5"/>
      <c r="M6" s="5" t="s">
        <v>110</v>
      </c>
      <c r="N6" s="5"/>
      <c r="O6" s="5" t="s">
        <v>142</v>
      </c>
      <c r="P6" s="5"/>
      <c r="Q6" s="5" t="s">
        <v>111</v>
      </c>
      <c r="R6" s="5"/>
      <c r="S6" s="5" t="s">
        <v>112</v>
      </c>
      <c r="T6" s="5"/>
      <c r="U6" s="5"/>
      <c r="V6" s="6"/>
      <c r="W6" s="5" t="s">
        <v>113</v>
      </c>
      <c r="X6" s="6"/>
      <c r="Y6" s="5" t="s">
        <v>114</v>
      </c>
      <c r="Z6" s="5"/>
      <c r="AA6" s="5" t="s">
        <v>115</v>
      </c>
      <c r="AB6" s="6"/>
      <c r="AC6" s="5" t="s">
        <v>116</v>
      </c>
      <c r="AD6" s="5"/>
      <c r="AE6" s="5" t="s">
        <v>120</v>
      </c>
      <c r="AF6" s="5"/>
      <c r="AG6" s="5" t="s">
        <v>111</v>
      </c>
      <c r="AH6" s="5"/>
      <c r="AI6" s="5" t="s">
        <v>117</v>
      </c>
      <c r="AJ6" s="6"/>
      <c r="AK6" s="5" t="s">
        <v>118</v>
      </c>
      <c r="AL6" s="5"/>
      <c r="AM6" s="5"/>
      <c r="AN6" s="6"/>
      <c r="AO6" s="5" t="s">
        <v>119</v>
      </c>
      <c r="AP6" s="5"/>
      <c r="AQ6" s="65"/>
    </row>
    <row r="7" spans="1:43" ht="15">
      <c r="A7" s="15"/>
      <c r="B7" s="43"/>
      <c r="C7" s="19"/>
      <c r="D7" s="13"/>
      <c r="E7" s="46"/>
      <c r="F7" s="46"/>
      <c r="G7" s="46"/>
      <c r="H7" s="46"/>
      <c r="I7" s="46"/>
      <c r="J7" s="46"/>
      <c r="K7" s="46"/>
      <c r="L7" s="13"/>
      <c r="M7" s="46"/>
      <c r="N7" s="13"/>
      <c r="O7" s="46"/>
      <c r="P7" s="46"/>
      <c r="Q7" s="46"/>
      <c r="R7" s="13"/>
      <c r="S7" s="46"/>
      <c r="T7" s="46"/>
      <c r="U7" s="46"/>
      <c r="V7" s="46"/>
      <c r="W7" s="46"/>
      <c r="X7" s="13"/>
      <c r="Y7" s="46"/>
      <c r="Z7" s="13"/>
      <c r="AA7" s="46"/>
      <c r="AB7" s="46"/>
      <c r="AC7" s="46"/>
      <c r="AD7" s="13"/>
      <c r="AE7" s="46"/>
      <c r="AF7" s="13"/>
      <c r="AG7" s="46"/>
      <c r="AH7" s="13"/>
      <c r="AI7" s="46"/>
      <c r="AJ7" s="13"/>
      <c r="AK7" s="46"/>
      <c r="AL7" s="13"/>
      <c r="AM7" s="46"/>
      <c r="AN7" s="13"/>
      <c r="AO7" s="46"/>
      <c r="AP7" s="46"/>
      <c r="AQ7" s="66"/>
    </row>
    <row r="8" spans="1:43" ht="15">
      <c r="A8" s="15"/>
      <c r="B8" s="43"/>
      <c r="C8" s="19"/>
      <c r="D8" s="13"/>
      <c r="E8" s="46"/>
      <c r="F8" s="46"/>
      <c r="G8" s="46"/>
      <c r="H8" s="46"/>
      <c r="I8" s="46"/>
      <c r="J8" s="46"/>
      <c r="K8" s="46"/>
      <c r="L8" s="13"/>
      <c r="M8" s="46"/>
      <c r="N8" s="13"/>
      <c r="O8" s="46"/>
      <c r="P8" s="46"/>
      <c r="Q8" s="46"/>
      <c r="R8" s="13"/>
      <c r="S8" s="46"/>
      <c r="T8" s="46"/>
      <c r="U8" s="46"/>
      <c r="V8" s="46"/>
      <c r="W8" s="46"/>
      <c r="X8" s="13"/>
      <c r="Y8" s="46"/>
      <c r="Z8" s="13"/>
      <c r="AA8" s="46"/>
      <c r="AB8" s="46"/>
      <c r="AC8" s="46"/>
      <c r="AD8" s="13"/>
      <c r="AE8" s="46"/>
      <c r="AF8" s="13"/>
      <c r="AG8" s="46"/>
      <c r="AH8" s="13"/>
      <c r="AI8" s="46"/>
      <c r="AJ8" s="13"/>
      <c r="AK8" s="46"/>
      <c r="AL8" s="13"/>
      <c r="AM8" s="46"/>
      <c r="AN8" s="13"/>
      <c r="AO8" s="46"/>
      <c r="AP8" s="46"/>
      <c r="AQ8" s="66"/>
    </row>
    <row r="9" spans="1:43" ht="15">
      <c r="A9" s="15"/>
      <c r="B9" s="82" t="s">
        <v>146</v>
      </c>
      <c r="C9" s="19"/>
      <c r="D9" s="13"/>
      <c r="E9" s="47"/>
      <c r="F9" s="47"/>
      <c r="G9" s="47"/>
      <c r="H9" s="47"/>
      <c r="I9" s="47"/>
      <c r="J9" s="47"/>
      <c r="K9" s="47"/>
      <c r="L9" s="19"/>
      <c r="M9" s="47"/>
      <c r="N9" s="19"/>
      <c r="O9" s="47"/>
      <c r="P9" s="47"/>
      <c r="Q9" s="47"/>
      <c r="R9" s="19"/>
      <c r="S9" s="47"/>
      <c r="T9" s="47"/>
      <c r="U9" s="47"/>
      <c r="V9" s="47"/>
      <c r="W9" s="47"/>
      <c r="X9" s="19"/>
      <c r="Y9" s="47"/>
      <c r="Z9" s="19"/>
      <c r="AA9" s="47"/>
      <c r="AB9" s="47"/>
      <c r="AC9" s="47"/>
      <c r="AD9" s="19"/>
      <c r="AE9" s="47"/>
      <c r="AF9" s="19"/>
      <c r="AG9" s="47"/>
      <c r="AH9" s="19"/>
      <c r="AI9" s="47"/>
      <c r="AJ9" s="19"/>
      <c r="AK9" s="47"/>
      <c r="AL9" s="19"/>
      <c r="AM9" s="47"/>
      <c r="AN9" s="19"/>
      <c r="AO9" s="47"/>
      <c r="AP9" s="47"/>
      <c r="AQ9" s="67"/>
    </row>
    <row r="10" spans="1:43" ht="15">
      <c r="A10" s="15"/>
      <c r="B10" s="12" t="s">
        <v>147</v>
      </c>
      <c r="C10" s="39">
        <f>SUM(E10:AO10)</f>
        <v>338794.7432492231</v>
      </c>
      <c r="D10" s="39"/>
      <c r="E10" s="83">
        <f>+'[2]6-30-08  2009 Bills'!$O$5</f>
        <v>307080.42919651285</v>
      </c>
      <c r="F10" s="83"/>
      <c r="G10" s="83">
        <v>0</v>
      </c>
      <c r="H10" s="83"/>
      <c r="I10" s="83">
        <f>+'[2]6-30-08  2009 Bills'!$O$6</f>
        <v>716</v>
      </c>
      <c r="J10" s="83"/>
      <c r="K10" s="83">
        <f>+'[2]6-30-08  2009 Bills'!$O$7+'[2]6-30-08  2009 Bills'!$O$8</f>
        <v>626</v>
      </c>
      <c r="L10" s="83"/>
      <c r="M10" s="83">
        <f>+'[2]6-30-08  2009 Bills'!$O$23+'[2]6-30-08  2009 Bills'!$O$24</f>
        <v>63</v>
      </c>
      <c r="N10" s="83"/>
      <c r="O10" s="83">
        <f>+'[2]6-30-08  2009 Bills'!$O$9+'[2]6-30-08  2009 Bills'!$O$10</f>
        <v>792</v>
      </c>
      <c r="P10" s="83"/>
      <c r="Q10" s="83">
        <f>+'[2]6-30-08  2009 Bills'!$O$11+'[2]6-30-08  2009 Bills'!$O$12</f>
        <v>5311.997863247863</v>
      </c>
      <c r="R10" s="83"/>
      <c r="S10" s="83">
        <f>+'[2]6-30-08  2009 Bills'!$O$13+'[2]6-30-08  2009 Bills'!$O$14</f>
        <v>19885.2832899777</v>
      </c>
      <c r="T10" s="83"/>
      <c r="U10" s="83">
        <v>0</v>
      </c>
      <c r="V10" s="83"/>
      <c r="W10" s="83">
        <f>+'[2]6-30-08  2009 Bills'!$O$15+'[2]6-30-08  2009 Bills'!$O$16</f>
        <v>3207.9782328180027</v>
      </c>
      <c r="X10" s="83"/>
      <c r="Y10" s="83">
        <f>+'[2]6-30-08  2009 Bills'!$O$17+'[2]6-30-08  2009 Bills'!$O$18</f>
        <v>808.5546666666667</v>
      </c>
      <c r="Z10" s="83"/>
      <c r="AA10" s="83">
        <f>+'[2]6-30-08  2009 Bills'!$O$19+'[2]6-30-08  2009 Bills'!$O$20</f>
        <v>123</v>
      </c>
      <c r="AB10" s="83"/>
      <c r="AC10" s="83">
        <f>+'[2]6-30-08  2009 Bills'!$O$21+'[2]6-30-08  2009 Bills'!$O$22</f>
        <v>104.5</v>
      </c>
      <c r="AD10" s="84"/>
      <c r="AE10" s="83">
        <f>+'[2]6-30-08  2009 Bills'!$O$29</f>
        <v>26</v>
      </c>
      <c r="AF10" s="83"/>
      <c r="AG10" s="84">
        <f>+'[2]6-30-08  2009 Bills'!$O$30</f>
        <v>14</v>
      </c>
      <c r="AH10" s="84"/>
      <c r="AI10" s="84">
        <f>+'[2]6-30-08  2009 Bills'!$O$31</f>
        <v>3</v>
      </c>
      <c r="AJ10" s="84"/>
      <c r="AK10" s="84">
        <f>+'[2]6-30-08  2009 Bills'!$O$25+'[2]6-30-08  2009 Bills'!$O$26</f>
        <v>15</v>
      </c>
      <c r="AL10" s="84"/>
      <c r="AM10" s="84">
        <f>+'[2]6-30-08  2009 Bills'!$O$27+'[2]6-30-08  2009 Bills'!$O$28</f>
        <v>11</v>
      </c>
      <c r="AN10" s="84"/>
      <c r="AO10" s="84">
        <f>+'[2]6-30-08  2009 Bills'!$O$32</f>
        <v>7</v>
      </c>
      <c r="AP10" s="32"/>
      <c r="AQ10" s="68"/>
    </row>
    <row r="11" spans="1:43" ht="15">
      <c r="A11" s="15"/>
      <c r="B11" s="12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9"/>
      <c r="AE11" s="39"/>
      <c r="AF11" s="39"/>
      <c r="AG11" s="9"/>
      <c r="AH11" s="9"/>
      <c r="AI11" s="9"/>
      <c r="AJ11" s="9"/>
      <c r="AK11" s="9"/>
      <c r="AL11" s="9"/>
      <c r="AM11" s="9"/>
      <c r="AN11" s="9"/>
      <c r="AO11" s="9"/>
      <c r="AP11" s="32"/>
      <c r="AQ11" s="68"/>
    </row>
    <row r="12" spans="1:43" ht="15">
      <c r="A12" s="15"/>
      <c r="B12" s="12" t="s">
        <v>148</v>
      </c>
      <c r="C12" s="39">
        <f>SUM(E12:AO12)</f>
        <v>-3.197442310920451E-14</v>
      </c>
      <c r="D12" s="39"/>
      <c r="E12" s="39">
        <f>-SUM('[2]Plan 2009'!$I$8:$I$10)</f>
        <v>-960.9309392265194</v>
      </c>
      <c r="F12" s="39"/>
      <c r="G12" s="39">
        <v>0</v>
      </c>
      <c r="H12" s="39"/>
      <c r="I12" s="39">
        <v>0</v>
      </c>
      <c r="J12" s="39"/>
      <c r="K12" s="39">
        <v>0</v>
      </c>
      <c r="L12" s="39"/>
      <c r="M12" s="39">
        <v>0</v>
      </c>
      <c r="N12" s="39"/>
      <c r="O12" s="39">
        <v>0</v>
      </c>
      <c r="P12" s="39"/>
      <c r="Q12" s="39">
        <v>0</v>
      </c>
      <c r="R12" s="39"/>
      <c r="S12" s="39">
        <f>+'[2]Plan 2009'!$I$8</f>
        <v>843.6243093922652</v>
      </c>
      <c r="T12" s="39"/>
      <c r="U12" s="39">
        <v>0</v>
      </c>
      <c r="V12" s="39"/>
      <c r="W12" s="39">
        <f>+'[2]Plan 2009'!$I$9</f>
        <v>107.29834254143647</v>
      </c>
      <c r="X12" s="39"/>
      <c r="Y12" s="39">
        <f>+'[2]Plan 2009'!$I$10</f>
        <v>10.00828729281768</v>
      </c>
      <c r="Z12" s="39"/>
      <c r="AA12" s="39">
        <v>0</v>
      </c>
      <c r="AB12" s="39"/>
      <c r="AC12" s="39">
        <v>0</v>
      </c>
      <c r="AD12" s="9"/>
      <c r="AE12" s="39">
        <v>0</v>
      </c>
      <c r="AF12" s="39"/>
      <c r="AG12" s="9">
        <v>0</v>
      </c>
      <c r="AH12" s="9"/>
      <c r="AI12" s="9">
        <v>0</v>
      </c>
      <c r="AJ12" s="9"/>
      <c r="AK12" s="9">
        <v>0</v>
      </c>
      <c r="AL12" s="9"/>
      <c r="AM12" s="9">
        <v>0</v>
      </c>
      <c r="AN12" s="9"/>
      <c r="AO12" s="9">
        <v>0</v>
      </c>
      <c r="AP12" s="32"/>
      <c r="AQ12" s="68"/>
    </row>
    <row r="13" spans="1:43" ht="15">
      <c r="A13" s="15"/>
      <c r="B13" s="12" t="s">
        <v>149</v>
      </c>
      <c r="C13" s="39">
        <f>SUM(E13:AO13)</f>
        <v>-2.398081733190338E-14</v>
      </c>
      <c r="D13" s="39"/>
      <c r="E13" s="39">
        <f>SUM('[2]Plan 2009'!$K$5:$K$7)</f>
        <v>127.93093922651934</v>
      </c>
      <c r="F13" s="39"/>
      <c r="G13" s="39"/>
      <c r="H13" s="39"/>
      <c r="I13" s="39"/>
      <c r="J13" s="39"/>
      <c r="K13" s="39">
        <f>-'[2]Plan 2009'!$K$14</f>
        <v>-359</v>
      </c>
      <c r="L13" s="39"/>
      <c r="M13" s="39"/>
      <c r="N13" s="39"/>
      <c r="O13" s="39"/>
      <c r="P13" s="39"/>
      <c r="Q13" s="39"/>
      <c r="R13" s="39"/>
      <c r="S13" s="39">
        <f>+'[2]Plan 2009'!$K$8</f>
        <v>194.37569060773478</v>
      </c>
      <c r="T13" s="39"/>
      <c r="U13" s="39"/>
      <c r="V13" s="39"/>
      <c r="W13" s="39">
        <f>+'[2]Plan 2009'!$K$9</f>
        <v>35.70165745856353</v>
      </c>
      <c r="X13" s="39"/>
      <c r="Y13" s="39">
        <f>+'[2]Plan 2009'!$K$10</f>
        <v>0.9917127071823204</v>
      </c>
      <c r="Z13" s="39"/>
      <c r="AA13" s="39"/>
      <c r="AB13" s="39"/>
      <c r="AC13" s="39"/>
      <c r="AD13" s="9"/>
      <c r="AE13" s="39"/>
      <c r="AF13" s="39"/>
      <c r="AG13" s="9"/>
      <c r="AH13" s="9"/>
      <c r="AI13" s="9"/>
      <c r="AJ13" s="9"/>
      <c r="AK13" s="9"/>
      <c r="AL13" s="9"/>
      <c r="AM13" s="9"/>
      <c r="AN13" s="9"/>
      <c r="AO13" s="9"/>
      <c r="AP13" s="32"/>
      <c r="AQ13" s="68"/>
    </row>
    <row r="14" spans="1:43" ht="15">
      <c r="A14" s="15"/>
      <c r="B14" s="12" t="s">
        <v>150</v>
      </c>
      <c r="C14" s="39">
        <f>SUM(E14:AO14)</f>
        <v>-3.552713678800501E-15</v>
      </c>
      <c r="D14" s="39"/>
      <c r="E14" s="39">
        <f>SUM('[2]Plan 2009'!$M$5:$M$7)</f>
        <v>27.51526717557252</v>
      </c>
      <c r="F14" s="39"/>
      <c r="G14" s="39">
        <v>0</v>
      </c>
      <c r="H14" s="39"/>
      <c r="I14" s="39">
        <v>0</v>
      </c>
      <c r="J14" s="39"/>
      <c r="K14" s="39">
        <f>-'[2]Plan 2009'!$M$14</f>
        <v>-267</v>
      </c>
      <c r="L14" s="39"/>
      <c r="M14" s="39">
        <v>0</v>
      </c>
      <c r="N14" s="39"/>
      <c r="O14" s="39">
        <v>0</v>
      </c>
      <c r="P14" s="39"/>
      <c r="Q14" s="39">
        <v>0</v>
      </c>
      <c r="R14" s="39"/>
      <c r="S14" s="39">
        <f>+'[2]Plan 2009'!$M$8</f>
        <v>143.6908396946565</v>
      </c>
      <c r="T14" s="39"/>
      <c r="U14" s="39">
        <v>0</v>
      </c>
      <c r="V14" s="39"/>
      <c r="W14" s="39">
        <f>+'[2]Plan 2009'!$M$9</f>
        <v>87.6412213740458</v>
      </c>
      <c r="X14" s="39"/>
      <c r="Y14" s="39">
        <f>+'[2]Plan 2009'!$M$10</f>
        <v>8.15267175572519</v>
      </c>
      <c r="Z14" s="39"/>
      <c r="AA14" s="39">
        <v>0</v>
      </c>
      <c r="AB14" s="39"/>
      <c r="AC14" s="39">
        <v>0</v>
      </c>
      <c r="AD14" s="9"/>
      <c r="AE14" s="39">
        <v>0</v>
      </c>
      <c r="AF14" s="39"/>
      <c r="AG14" s="9">
        <v>0</v>
      </c>
      <c r="AH14" s="9"/>
      <c r="AI14" s="9">
        <v>0</v>
      </c>
      <c r="AJ14" s="9"/>
      <c r="AK14" s="9">
        <v>0</v>
      </c>
      <c r="AL14" s="9"/>
      <c r="AM14" s="9">
        <v>0</v>
      </c>
      <c r="AN14" s="9"/>
      <c r="AO14" s="9">
        <v>0</v>
      </c>
      <c r="AP14" s="32"/>
      <c r="AQ14" s="68"/>
    </row>
    <row r="15" spans="1:43" ht="15">
      <c r="A15" s="15"/>
      <c r="B15" s="12" t="s">
        <v>151</v>
      </c>
      <c r="C15" s="39">
        <f>SUM(E15:AO15)</f>
        <v>-1.4779288903810084E-12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>
        <f>'[2]Plan 2009'!$I$21</f>
        <v>3838.168803418803</v>
      </c>
      <c r="R15" s="39"/>
      <c r="S15" s="39">
        <f>'[2]Plan 2009'!$I$22-'[2]Plan 2009'!$I$28</f>
        <v>-4445.494632089475</v>
      </c>
      <c r="T15" s="39"/>
      <c r="U15" s="39"/>
      <c r="V15" s="39"/>
      <c r="W15" s="39">
        <f>'[2]Plan 2009'!$I$23</f>
        <v>607.3258286706708</v>
      </c>
      <c r="X15" s="39"/>
      <c r="Y15" s="39"/>
      <c r="Z15" s="39"/>
      <c r="AA15" s="39"/>
      <c r="AB15" s="39"/>
      <c r="AC15" s="39"/>
      <c r="AD15" s="9"/>
      <c r="AE15" s="39"/>
      <c r="AF15" s="39"/>
      <c r="AG15" s="9"/>
      <c r="AH15" s="9"/>
      <c r="AI15" s="9"/>
      <c r="AJ15" s="9"/>
      <c r="AK15" s="9"/>
      <c r="AL15" s="9"/>
      <c r="AM15" s="9"/>
      <c r="AN15" s="9"/>
      <c r="AO15" s="9"/>
      <c r="AP15" s="32"/>
      <c r="AQ15" s="68"/>
    </row>
    <row r="16" spans="1:43" ht="17.25">
      <c r="A16" s="15"/>
      <c r="B16" s="12" t="s">
        <v>152</v>
      </c>
      <c r="C16" s="85">
        <f>SUM(E16:AO16)</f>
        <v>2.2737367544323206E-13</v>
      </c>
      <c r="D16" s="85"/>
      <c r="E16" s="85">
        <v>0</v>
      </c>
      <c r="F16" s="85"/>
      <c r="G16" s="85">
        <v>0</v>
      </c>
      <c r="H16" s="85"/>
      <c r="I16" s="85">
        <v>0</v>
      </c>
      <c r="J16" s="85"/>
      <c r="K16" s="85">
        <v>0</v>
      </c>
      <c r="L16" s="85"/>
      <c r="M16" s="85">
        <v>0</v>
      </c>
      <c r="N16" s="85"/>
      <c r="O16" s="85">
        <v>0</v>
      </c>
      <c r="P16" s="85"/>
      <c r="Q16" s="85">
        <f>'[2]Plan 2009'!$M$21</f>
        <v>1275.9166666666667</v>
      </c>
      <c r="R16" s="85"/>
      <c r="S16" s="85">
        <f>'[2]Plan 2009'!$M$22-'[2]Plan 2009'!$M$28</f>
        <v>-3293.612605177993</v>
      </c>
      <c r="T16" s="85"/>
      <c r="U16" s="85">
        <v>0</v>
      </c>
      <c r="V16" s="85"/>
      <c r="W16" s="85">
        <f>'[2]Plan 2009'!$M$23</f>
        <v>2017.6959385113264</v>
      </c>
      <c r="X16" s="85"/>
      <c r="Y16" s="85">
        <v>0</v>
      </c>
      <c r="Z16" s="85"/>
      <c r="AA16" s="85">
        <v>0</v>
      </c>
      <c r="AB16" s="85"/>
      <c r="AC16" s="85">
        <v>0</v>
      </c>
      <c r="AD16" s="86"/>
      <c r="AE16" s="85">
        <v>0</v>
      </c>
      <c r="AF16" s="85"/>
      <c r="AG16" s="86">
        <v>0</v>
      </c>
      <c r="AH16" s="86"/>
      <c r="AI16" s="86">
        <v>0</v>
      </c>
      <c r="AJ16" s="86"/>
      <c r="AK16" s="86">
        <v>0</v>
      </c>
      <c r="AL16" s="86"/>
      <c r="AM16" s="86">
        <v>0</v>
      </c>
      <c r="AN16" s="86"/>
      <c r="AO16" s="86">
        <v>0</v>
      </c>
      <c r="AP16" s="87"/>
      <c r="AQ16" s="68"/>
    </row>
    <row r="17" spans="1:43" ht="15">
      <c r="A17" s="15"/>
      <c r="B17" s="12" t="s">
        <v>153</v>
      </c>
      <c r="C17" s="39">
        <f>ROUND(SUM(C12:C16),0)</f>
        <v>0</v>
      </c>
      <c r="D17" s="39"/>
      <c r="E17" s="39">
        <f>SUM(E12:E16)</f>
        <v>-805.4847328244275</v>
      </c>
      <c r="F17" s="39"/>
      <c r="G17" s="39">
        <f>SUM(G12:G16)</f>
        <v>0</v>
      </c>
      <c r="H17" s="39"/>
      <c r="I17" s="39">
        <f>SUM(I12:I16)</f>
        <v>0</v>
      </c>
      <c r="J17" s="39"/>
      <c r="K17" s="39">
        <f>SUM(K12:K16)</f>
        <v>-626</v>
      </c>
      <c r="L17" s="39"/>
      <c r="M17" s="39">
        <f>SUM(M12:M16)</f>
        <v>0</v>
      </c>
      <c r="N17" s="39"/>
      <c r="O17" s="39">
        <f>SUM(O12:O16)</f>
        <v>0</v>
      </c>
      <c r="P17" s="39"/>
      <c r="Q17" s="39">
        <f>SUM(Q12:Q16)</f>
        <v>5114.08547008547</v>
      </c>
      <c r="R17" s="39"/>
      <c r="S17" s="39">
        <f>SUM(S12:S16)</f>
        <v>-6557.416397572812</v>
      </c>
      <c r="T17" s="39"/>
      <c r="U17" s="39">
        <f>SUM(U12:U16)</f>
        <v>0</v>
      </c>
      <c r="V17" s="39"/>
      <c r="W17" s="39">
        <f>SUM(W12:W16)</f>
        <v>2855.6629885560433</v>
      </c>
      <c r="X17" s="39"/>
      <c r="Y17" s="39">
        <f>SUM(Y12:Y16)</f>
        <v>19.15267175572519</v>
      </c>
      <c r="Z17" s="39"/>
      <c r="AA17" s="39">
        <f>SUM(AA12:AA16)</f>
        <v>0</v>
      </c>
      <c r="AB17" s="39"/>
      <c r="AC17" s="39">
        <f>SUM(AC12:AC16)</f>
        <v>0</v>
      </c>
      <c r="AD17" s="9"/>
      <c r="AE17" s="39">
        <f>SUM(AE12:AE16)</f>
        <v>0</v>
      </c>
      <c r="AF17" s="39"/>
      <c r="AG17" s="39">
        <f>SUM(AG12:AG16)</f>
        <v>0</v>
      </c>
      <c r="AH17" s="9"/>
      <c r="AI17" s="39">
        <f>SUM(AI12:AI16)</f>
        <v>0</v>
      </c>
      <c r="AJ17" s="9"/>
      <c r="AK17" s="39">
        <f>SUM(AK12:AK16)</f>
        <v>0</v>
      </c>
      <c r="AL17" s="9"/>
      <c r="AM17" s="39">
        <f>SUM(AM12:AM16)</f>
        <v>0</v>
      </c>
      <c r="AN17" s="9"/>
      <c r="AO17" s="39">
        <f>SUM(AO12:AO16)</f>
        <v>0</v>
      </c>
      <c r="AP17" s="32"/>
      <c r="AQ17" s="68"/>
    </row>
    <row r="18" spans="1:43" ht="15">
      <c r="A18" s="15"/>
      <c r="B18" s="1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9"/>
      <c r="AE18" s="39"/>
      <c r="AF18" s="39"/>
      <c r="AG18" s="9"/>
      <c r="AH18" s="9"/>
      <c r="AI18" s="9"/>
      <c r="AJ18" s="9"/>
      <c r="AK18" s="9"/>
      <c r="AL18" s="9"/>
      <c r="AM18" s="9"/>
      <c r="AN18" s="9"/>
      <c r="AO18" s="9"/>
      <c r="AP18" s="32"/>
      <c r="AQ18" s="68"/>
    </row>
    <row r="19" spans="1:43" ht="15">
      <c r="A19" s="15"/>
      <c r="B19" s="12" t="s">
        <v>154</v>
      </c>
      <c r="C19" s="39">
        <f>SUM(E19:AO19)</f>
        <v>338794.7432492231</v>
      </c>
      <c r="D19" s="39"/>
      <c r="E19" s="39">
        <f>+E17+E10</f>
        <v>306274.9444636884</v>
      </c>
      <c r="F19" s="39"/>
      <c r="G19" s="39">
        <f>+G17+G10</f>
        <v>0</v>
      </c>
      <c r="H19" s="39"/>
      <c r="I19" s="39">
        <f>+I17+I10</f>
        <v>716</v>
      </c>
      <c r="J19" s="39"/>
      <c r="K19" s="39">
        <f>+K17+K10</f>
        <v>0</v>
      </c>
      <c r="L19" s="39"/>
      <c r="M19" s="39">
        <f>+M17+M10</f>
        <v>63</v>
      </c>
      <c r="N19" s="39"/>
      <c r="O19" s="39">
        <f>+O17+O10</f>
        <v>792</v>
      </c>
      <c r="P19" s="39"/>
      <c r="Q19" s="39">
        <f>+Q17+Q10</f>
        <v>10426.083333333332</v>
      </c>
      <c r="R19" s="39"/>
      <c r="S19" s="39">
        <f>+S17+S10</f>
        <v>13327.866892404887</v>
      </c>
      <c r="T19" s="39"/>
      <c r="U19" s="39">
        <f>+U17+U10</f>
        <v>0</v>
      </c>
      <c r="V19" s="39"/>
      <c r="W19" s="39">
        <f>+W17+W10</f>
        <v>6063.641221374046</v>
      </c>
      <c r="X19" s="39"/>
      <c r="Y19" s="39">
        <f>+Y17+Y10</f>
        <v>827.7073384223919</v>
      </c>
      <c r="Z19" s="39"/>
      <c r="AA19" s="39">
        <f>+AA17+AA10</f>
        <v>123</v>
      </c>
      <c r="AB19" s="39"/>
      <c r="AC19" s="39">
        <f>+AC17+AC10</f>
        <v>104.5</v>
      </c>
      <c r="AD19" s="9"/>
      <c r="AE19" s="39">
        <f>+AE17+AE10</f>
        <v>26</v>
      </c>
      <c r="AF19" s="39"/>
      <c r="AG19" s="39">
        <f>+AG17+AG10</f>
        <v>14</v>
      </c>
      <c r="AH19" s="9"/>
      <c r="AI19" s="39">
        <f>+AI17+AI10</f>
        <v>3</v>
      </c>
      <c r="AJ19" s="9"/>
      <c r="AK19" s="39">
        <f>+AK17+AK10</f>
        <v>15</v>
      </c>
      <c r="AL19" s="9"/>
      <c r="AM19" s="39">
        <f>+AM17+AM10</f>
        <v>11</v>
      </c>
      <c r="AN19" s="9"/>
      <c r="AO19" s="39">
        <f>+AO17+AO10</f>
        <v>7</v>
      </c>
      <c r="AP19" s="32"/>
      <c r="AQ19" s="68"/>
    </row>
    <row r="20" spans="1:43" ht="15">
      <c r="A20" s="15"/>
      <c r="B20" s="12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9"/>
      <c r="AE20" s="39"/>
      <c r="AF20" s="39"/>
      <c r="AG20" s="9"/>
      <c r="AH20" s="9"/>
      <c r="AI20" s="9"/>
      <c r="AJ20" s="9"/>
      <c r="AK20" s="9"/>
      <c r="AL20" s="9"/>
      <c r="AM20" s="9"/>
      <c r="AN20" s="9"/>
      <c r="AO20" s="9"/>
      <c r="AP20" s="32"/>
      <c r="AQ20" s="68"/>
    </row>
    <row r="21" spans="1:43" ht="15">
      <c r="A21" s="15"/>
      <c r="B21" s="12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9"/>
      <c r="AE21" s="39"/>
      <c r="AF21" s="39"/>
      <c r="AG21" s="9"/>
      <c r="AH21" s="9"/>
      <c r="AI21" s="9"/>
      <c r="AJ21" s="9"/>
      <c r="AK21" s="9"/>
      <c r="AL21" s="9"/>
      <c r="AM21" s="9"/>
      <c r="AN21" s="9"/>
      <c r="AO21" s="9"/>
      <c r="AP21" s="32"/>
      <c r="AQ21" s="68"/>
    </row>
    <row r="22" spans="1:43" ht="15">
      <c r="A22" s="15"/>
      <c r="B22" s="12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9"/>
      <c r="AE22" s="39"/>
      <c r="AF22" s="39"/>
      <c r="AG22" s="9"/>
      <c r="AH22" s="9"/>
      <c r="AI22" s="9"/>
      <c r="AJ22" s="9"/>
      <c r="AK22" s="9"/>
      <c r="AL22" s="9"/>
      <c r="AM22" s="9"/>
      <c r="AN22" s="9"/>
      <c r="AO22" s="9"/>
      <c r="AP22" s="32"/>
      <c r="AQ22" s="68"/>
    </row>
    <row r="23" spans="1:43" ht="15">
      <c r="A23" s="15"/>
      <c r="B23" s="82" t="s">
        <v>155</v>
      </c>
      <c r="C23" s="19"/>
      <c r="D23" s="13"/>
      <c r="E23" s="47"/>
      <c r="F23" s="47"/>
      <c r="G23" s="47"/>
      <c r="H23" s="47"/>
      <c r="I23" s="47"/>
      <c r="J23" s="47"/>
      <c r="K23" s="47"/>
      <c r="L23" s="19"/>
      <c r="M23" s="47"/>
      <c r="N23" s="19"/>
      <c r="O23" s="47"/>
      <c r="P23" s="47"/>
      <c r="Q23" s="47"/>
      <c r="R23" s="19"/>
      <c r="S23" s="47"/>
      <c r="T23" s="47"/>
      <c r="U23" s="47"/>
      <c r="V23" s="47"/>
      <c r="W23" s="47"/>
      <c r="X23" s="19"/>
      <c r="Y23" s="47"/>
      <c r="Z23" s="19"/>
      <c r="AA23" s="47"/>
      <c r="AB23" s="47"/>
      <c r="AC23" s="47"/>
      <c r="AD23" s="19"/>
      <c r="AE23" s="47"/>
      <c r="AF23" s="19"/>
      <c r="AG23" s="47"/>
      <c r="AH23" s="19"/>
      <c r="AI23" s="47"/>
      <c r="AJ23" s="19"/>
      <c r="AK23" s="47"/>
      <c r="AL23" s="19"/>
      <c r="AM23" s="47"/>
      <c r="AN23" s="19"/>
      <c r="AO23" s="47"/>
      <c r="AP23" s="32"/>
      <c r="AQ23" s="68"/>
    </row>
    <row r="24" spans="1:43" ht="15">
      <c r="A24" s="15"/>
      <c r="B24" s="12" t="s">
        <v>147</v>
      </c>
      <c r="C24" s="39">
        <f>SUM(E24:AO24)</f>
        <v>1081229670.4422457</v>
      </c>
      <c r="D24" s="39"/>
      <c r="E24" s="39">
        <f>+'[2]6-30-08 Total Company 01'!$N$5</f>
        <v>68269865.93287581</v>
      </c>
      <c r="F24" s="39"/>
      <c r="G24" s="39">
        <v>0</v>
      </c>
      <c r="H24" s="39"/>
      <c r="I24" s="39">
        <f>+'[2]6-30-08 Total Company 01'!$N$6</f>
        <v>0</v>
      </c>
      <c r="J24" s="39"/>
      <c r="K24" s="80">
        <f>+'[2]6-30-08 Total Company 01'!$N$7+'[2]6-30-08 Total Company 01'!$N$8</f>
        <v>5109749.653543383</v>
      </c>
      <c r="L24" s="39"/>
      <c r="M24" s="39">
        <f>+'[2]6-30-08 Total Company 01'!$N$23+'[2]6-30-08 Total Company 01'!$N$24</f>
        <v>901551.5528224041</v>
      </c>
      <c r="N24" s="39"/>
      <c r="O24" s="39">
        <f>+'[2]6-30-08 Total Company 01'!$N$9+'[2]6-30-08 Total Company 01'!$N$10</f>
        <v>0</v>
      </c>
      <c r="P24" s="39"/>
      <c r="Q24" s="39">
        <f>+'[2]6-30-08 Total Company 01'!$N$11+'[2]6-30-08 Total Company 01'!$N$12</f>
        <v>2542062.471775285</v>
      </c>
      <c r="R24" s="39"/>
      <c r="S24" s="39">
        <f>+'[2]6-30-08 Total Company 01'!$N$13+'[2]6-30-08 Total Company 01'!$N$14</f>
        <v>109866815.3300283</v>
      </c>
      <c r="T24" s="39"/>
      <c r="U24" s="39">
        <v>0</v>
      </c>
      <c r="V24" s="39"/>
      <c r="W24" s="39">
        <f>+'[2]6-30-08 Total Company 01'!$N$15+'[2]6-30-08 Total Company 01'!$N$16</f>
        <v>75992090.69096322</v>
      </c>
      <c r="X24" s="39"/>
      <c r="Y24" s="39">
        <f>+'[2]6-30-08 Total Company 01'!$N$17+'[2]6-30-08 Total Company 01'!$N$18</f>
        <v>73111337.78077184</v>
      </c>
      <c r="Z24" s="39"/>
      <c r="AA24" s="39">
        <f>+'[2]6-30-08 Total Company 01'!$N$19+'[2]6-30-08 Total Company 01'!$N$20</f>
        <v>43269635.39999999</v>
      </c>
      <c r="AB24" s="39"/>
      <c r="AC24" s="39">
        <f>+'[2]6-30-08 Total Company 01'!$N$21+'[2]6-30-08 Total Company 01'!$N$22</f>
        <v>65557915.29999999</v>
      </c>
      <c r="AD24" s="9"/>
      <c r="AE24" s="39">
        <f>+'[2]6-30-08 Total Company 01'!$N$29</f>
        <v>48728719</v>
      </c>
      <c r="AF24" s="39"/>
      <c r="AG24" s="39">
        <f>+'[2]6-30-08 Total Company 01'!$N$30</f>
        <v>134464513</v>
      </c>
      <c r="AH24" s="9"/>
      <c r="AI24" s="39">
        <f>+'[2]6-30-08 Total Company 01'!$N$31</f>
        <v>152002324.00399998</v>
      </c>
      <c r="AJ24" s="9"/>
      <c r="AK24" s="39">
        <f>+'[2]6-30-08 Total Company 01'!$N$25+'[2]6-30-08 Total Company 01'!$N$26</f>
        <v>428668.3425323296</v>
      </c>
      <c r="AL24" s="9"/>
      <c r="AM24" s="39">
        <f>+'[2]6-30-08 Total Company 01'!$N$27+'[2]6-30-08 Total Company 01'!$N$28</f>
        <v>1582429.983333333</v>
      </c>
      <c r="AN24" s="39"/>
      <c r="AO24" s="39">
        <f>+'[2]6-30-08 Total Company 01'!$N$32</f>
        <v>299401991.9996</v>
      </c>
      <c r="AP24" s="20"/>
      <c r="AQ24" s="68"/>
    </row>
    <row r="25" spans="1:43" ht="15">
      <c r="A25" s="15"/>
      <c r="B25" s="12"/>
      <c r="C25" s="39"/>
      <c r="D25" s="39"/>
      <c r="E25" s="8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9"/>
      <c r="AI25" s="39"/>
      <c r="AJ25" s="39"/>
      <c r="AK25" s="39"/>
      <c r="AL25" s="39"/>
      <c r="AM25" s="39"/>
      <c r="AN25" s="39"/>
      <c r="AO25" s="39"/>
      <c r="AP25" s="32"/>
      <c r="AQ25" s="68"/>
    </row>
    <row r="26" spans="1:43" ht="15">
      <c r="A26" s="15"/>
      <c r="B26" s="12" t="s">
        <v>148</v>
      </c>
      <c r="C26" s="39">
        <f>SUM(E26:AO26)</f>
        <v>-1.1641532182693481E-10</v>
      </c>
      <c r="D26" s="39"/>
      <c r="E26" s="39">
        <f>-SUM('[2]Plan 2009'!$J$8:$J$10)*(1+$AQ26)</f>
        <v>-5871741.082104969</v>
      </c>
      <c r="F26" s="39"/>
      <c r="G26" s="39">
        <v>0</v>
      </c>
      <c r="H26" s="39"/>
      <c r="I26" s="39">
        <v>0</v>
      </c>
      <c r="J26" s="39"/>
      <c r="K26" s="39">
        <v>0</v>
      </c>
      <c r="L26" s="39"/>
      <c r="M26" s="39">
        <v>0</v>
      </c>
      <c r="N26" s="39"/>
      <c r="O26" s="39">
        <v>0</v>
      </c>
      <c r="P26" s="39"/>
      <c r="Q26" s="39">
        <v>0</v>
      </c>
      <c r="R26" s="39"/>
      <c r="S26" s="39">
        <f>+'[2]Plan 2009'!$J$8*(1+$AQ26)</f>
        <v>3029651.671865041</v>
      </c>
      <c r="T26" s="39"/>
      <c r="U26" s="39">
        <v>0</v>
      </c>
      <c r="V26" s="39"/>
      <c r="W26" s="39">
        <f>+'[2]Plan 2009'!$J$9*(1+$AQ26)</f>
        <v>2021125.9860148032</v>
      </c>
      <c r="X26" s="39"/>
      <c r="Y26" s="39">
        <f>+'[2]Plan 2009'!$J$10*(1+$AQ26)</f>
        <v>820963.4242251246</v>
      </c>
      <c r="Z26" s="39"/>
      <c r="AA26" s="39">
        <v>0</v>
      </c>
      <c r="AB26" s="39"/>
      <c r="AC26" s="39">
        <v>0</v>
      </c>
      <c r="AD26" s="39"/>
      <c r="AE26" s="39">
        <v>0</v>
      </c>
      <c r="AF26" s="39"/>
      <c r="AG26" s="39">
        <v>0</v>
      </c>
      <c r="AH26" s="9"/>
      <c r="AI26" s="39">
        <v>0</v>
      </c>
      <c r="AJ26" s="39"/>
      <c r="AK26" s="39">
        <v>0</v>
      </c>
      <c r="AL26" s="39"/>
      <c r="AM26" s="39">
        <v>0</v>
      </c>
      <c r="AN26" s="39"/>
      <c r="AO26" s="39">
        <v>0</v>
      </c>
      <c r="AP26" s="32"/>
      <c r="AQ26" s="89">
        <f>+'[2]6-30-08 Total Company 01'!AE5</f>
        <v>0.002637931141678651</v>
      </c>
    </row>
    <row r="27" spans="1:43" ht="15">
      <c r="A27" s="15"/>
      <c r="B27" s="12" t="s">
        <v>149</v>
      </c>
      <c r="C27" s="39">
        <f>SUM(E27:AO27)</f>
        <v>-9.458744898438454E-11</v>
      </c>
      <c r="D27" s="39"/>
      <c r="E27" s="39">
        <f>(+'[2]Plan 2009'!$L$5+'[2]Plan 2009'!$L$6+'[2]Plan 2009'!$L$7)*(1+$AQ27)</f>
        <v>122296.58551884678</v>
      </c>
      <c r="F27" s="39"/>
      <c r="G27" s="39">
        <v>0</v>
      </c>
      <c r="H27" s="39"/>
      <c r="I27" s="39">
        <v>0</v>
      </c>
      <c r="J27" s="39"/>
      <c r="K27" s="39">
        <f>-'[2]Plan 2009'!$L$14*(1+$AQ27)</f>
        <v>-1912027</v>
      </c>
      <c r="L27" s="39"/>
      <c r="M27" s="39">
        <v>0</v>
      </c>
      <c r="N27" s="39"/>
      <c r="O27" s="39">
        <v>0</v>
      </c>
      <c r="P27" s="39"/>
      <c r="Q27" s="39">
        <v>0</v>
      </c>
      <c r="R27" s="39"/>
      <c r="S27" s="39">
        <f>+'[2]Plan 2009'!$L$8*(1+$AQ27)</f>
        <v>1072798.3137175126</v>
      </c>
      <c r="T27" s="39"/>
      <c r="U27" s="39">
        <v>0</v>
      </c>
      <c r="V27" s="39"/>
      <c r="W27" s="39">
        <f>+'[2]Plan 2009'!$L$9*(1+$AQ27)</f>
        <v>656868.577797782</v>
      </c>
      <c r="X27" s="39"/>
      <c r="Y27" s="39">
        <f>+'[2]Plan 2009'!$L$10*(1+$AQ27)</f>
        <v>60063.52296585848</v>
      </c>
      <c r="Z27" s="39"/>
      <c r="AA27" s="39">
        <v>0</v>
      </c>
      <c r="AB27" s="39"/>
      <c r="AC27" s="39">
        <v>0</v>
      </c>
      <c r="AD27" s="39"/>
      <c r="AE27" s="39">
        <v>0</v>
      </c>
      <c r="AF27" s="39"/>
      <c r="AG27" s="39">
        <v>0</v>
      </c>
      <c r="AH27" s="9"/>
      <c r="AI27" s="39">
        <v>0</v>
      </c>
      <c r="AJ27" s="39"/>
      <c r="AK27" s="39">
        <v>0</v>
      </c>
      <c r="AL27" s="39"/>
      <c r="AM27" s="39">
        <v>0</v>
      </c>
      <c r="AN27" s="39"/>
      <c r="AO27" s="39">
        <v>0</v>
      </c>
      <c r="AP27" s="32"/>
      <c r="AQ27" s="89">
        <f>+'[2]6-30-08 Total Company 01'!AE7</f>
        <v>0</v>
      </c>
    </row>
    <row r="28" spans="1:43" ht="15">
      <c r="A28" s="15"/>
      <c r="B28" s="12" t="s">
        <v>150</v>
      </c>
      <c r="C28" s="39">
        <f>SUM(E28:AO28)</f>
        <v>-5.820766091346741E-10</v>
      </c>
      <c r="D28" s="39"/>
      <c r="E28" s="39">
        <f>(+'[2]Plan 2009'!$N$5+'[2]Plan 2009'!$N$6+'[2]Plan 2009'!$N$7)*(1+$AQ28)</f>
        <v>25817.367801905362</v>
      </c>
      <c r="F28" s="39"/>
      <c r="G28" s="39">
        <v>0</v>
      </c>
      <c r="H28" s="39"/>
      <c r="I28" s="39">
        <v>0</v>
      </c>
      <c r="J28" s="39"/>
      <c r="K28" s="39">
        <f>-'[2]Plan 2009'!$N$14*(1+$AQ28)</f>
        <v>-3197722.6382691213</v>
      </c>
      <c r="L28" s="39"/>
      <c r="M28" s="39">
        <v>0</v>
      </c>
      <c r="N28" s="39"/>
      <c r="O28" s="39">
        <v>0</v>
      </c>
      <c r="P28" s="39"/>
      <c r="Q28" s="39">
        <v>0</v>
      </c>
      <c r="R28" s="39"/>
      <c r="S28" s="39">
        <f>+'[2]Plan 2009'!$N$8*(1+$AQ28)</f>
        <v>763752.752574541</v>
      </c>
      <c r="T28" s="39"/>
      <c r="U28" s="39">
        <v>0</v>
      </c>
      <c r="V28" s="39"/>
      <c r="W28" s="39">
        <f>+'[2]Plan 2009'!$N$9*(1+$AQ28)</f>
        <v>1739883.0776361448</v>
      </c>
      <c r="X28" s="39"/>
      <c r="Y28" s="39">
        <f>+'[2]Plan 2009'!$N$10*(1+$AQ28)</f>
        <v>668269.4402565296</v>
      </c>
      <c r="Z28" s="39"/>
      <c r="AA28" s="39">
        <v>0</v>
      </c>
      <c r="AB28" s="39"/>
      <c r="AC28" s="39">
        <v>0</v>
      </c>
      <c r="AD28" s="39"/>
      <c r="AE28" s="39">
        <v>0</v>
      </c>
      <c r="AF28" s="39"/>
      <c r="AG28" s="39">
        <v>0</v>
      </c>
      <c r="AH28" s="9"/>
      <c r="AI28" s="39">
        <v>0</v>
      </c>
      <c r="AJ28" s="39"/>
      <c r="AK28" s="39">
        <v>0</v>
      </c>
      <c r="AL28" s="39"/>
      <c r="AM28" s="39">
        <v>0</v>
      </c>
      <c r="AN28" s="39"/>
      <c r="AO28" s="39">
        <v>0</v>
      </c>
      <c r="AP28" s="32"/>
      <c r="AQ28" s="89">
        <f>+'[2]6-30-08 Total Company 01'!AE8+0.00000017</f>
        <v>-0.0019277641807306726</v>
      </c>
    </row>
    <row r="29" spans="1:43" ht="15">
      <c r="A29" s="15"/>
      <c r="B29" s="12" t="s">
        <v>151</v>
      </c>
      <c r="C29" s="39">
        <f>SUM(E29:AO29)</f>
        <v>-1.862645149230957E-09</v>
      </c>
      <c r="D29" s="39"/>
      <c r="E29" s="39">
        <v>0</v>
      </c>
      <c r="F29" s="39"/>
      <c r="G29" s="39">
        <v>0</v>
      </c>
      <c r="H29" s="39"/>
      <c r="I29" s="39">
        <v>0</v>
      </c>
      <c r="J29" s="39"/>
      <c r="K29" s="39">
        <v>0</v>
      </c>
      <c r="L29" s="39"/>
      <c r="M29" s="39">
        <v>0</v>
      </c>
      <c r="N29" s="39"/>
      <c r="O29" s="39">
        <v>0</v>
      </c>
      <c r="P29" s="39"/>
      <c r="Q29" s="39">
        <f>+'[2]Plan 2009'!$J$21*(1+$AQ29)</f>
        <v>4023258.0936441654</v>
      </c>
      <c r="R29" s="39"/>
      <c r="S29" s="39">
        <f>('[2]Plan 2009'!$J$22-'[2]Plan 2009'!$J$28)*(1+$AQ29)</f>
        <v>-14571336.798825419</v>
      </c>
      <c r="T29" s="39"/>
      <c r="U29" s="39">
        <v>0</v>
      </c>
      <c r="V29" s="39"/>
      <c r="W29" s="39">
        <f>+'[2]Plan 2009'!$J$23*(1+$AQ29)</f>
        <v>10548078.70518125</v>
      </c>
      <c r="X29" s="39"/>
      <c r="Y29" s="39">
        <v>0</v>
      </c>
      <c r="Z29" s="39"/>
      <c r="AA29" s="39">
        <v>0</v>
      </c>
      <c r="AB29" s="39"/>
      <c r="AC29" s="39">
        <v>0</v>
      </c>
      <c r="AD29" s="39"/>
      <c r="AE29" s="39">
        <v>0</v>
      </c>
      <c r="AF29" s="39"/>
      <c r="AG29" s="39">
        <v>0</v>
      </c>
      <c r="AH29" s="9"/>
      <c r="AI29" s="39">
        <v>0</v>
      </c>
      <c r="AJ29" s="39"/>
      <c r="AK29" s="39">
        <v>0</v>
      </c>
      <c r="AL29" s="39"/>
      <c r="AM29" s="39">
        <v>0</v>
      </c>
      <c r="AN29" s="39"/>
      <c r="AO29" s="39">
        <v>0</v>
      </c>
      <c r="AP29" s="32"/>
      <c r="AQ29" s="89">
        <f>+'[2]6-30-08 Total Company 01'!AE13</f>
        <v>-0.006113821381123041</v>
      </c>
    </row>
    <row r="30" spans="1:43" ht="17.25">
      <c r="A30" s="15"/>
      <c r="B30" s="12" t="s">
        <v>152</v>
      </c>
      <c r="C30" s="85">
        <f>SUM(E30:AO30)</f>
        <v>1.1175870895385742E-08</v>
      </c>
      <c r="D30" s="85"/>
      <c r="E30" s="85">
        <v>0</v>
      </c>
      <c r="F30" s="85"/>
      <c r="G30" s="85">
        <v>0</v>
      </c>
      <c r="H30" s="85"/>
      <c r="I30" s="85">
        <v>0</v>
      </c>
      <c r="J30" s="85"/>
      <c r="K30" s="85">
        <v>0</v>
      </c>
      <c r="L30" s="85"/>
      <c r="M30" s="85">
        <v>0</v>
      </c>
      <c r="N30" s="85"/>
      <c r="O30" s="85">
        <v>0</v>
      </c>
      <c r="P30" s="85"/>
      <c r="Q30" s="85">
        <f>+'[2]Plan 2009'!$N$21*(1+$AQ30)</f>
        <v>1451480.052150953</v>
      </c>
      <c r="R30" s="85"/>
      <c r="S30" s="85">
        <f>('[2]Plan 2009'!$N$22-'[2]Plan 2009'!$N$28)*(1+$AQ30)</f>
        <v>-32696809.051894028</v>
      </c>
      <c r="T30" s="85"/>
      <c r="U30" s="85">
        <v>0</v>
      </c>
      <c r="V30" s="85"/>
      <c r="W30" s="85">
        <f>+'[2]Plan 2009'!$N$23*(1+$AQ30)</f>
        <v>31245328.999743085</v>
      </c>
      <c r="X30" s="85"/>
      <c r="Y30" s="85">
        <v>0</v>
      </c>
      <c r="Z30" s="85"/>
      <c r="AA30" s="85">
        <v>0</v>
      </c>
      <c r="AB30" s="85"/>
      <c r="AC30" s="85">
        <v>0</v>
      </c>
      <c r="AD30" s="85"/>
      <c r="AE30" s="85">
        <v>0</v>
      </c>
      <c r="AF30" s="85"/>
      <c r="AG30" s="85">
        <v>0</v>
      </c>
      <c r="AH30" s="86"/>
      <c r="AI30" s="85">
        <v>0</v>
      </c>
      <c r="AJ30" s="85"/>
      <c r="AK30" s="85">
        <v>0</v>
      </c>
      <c r="AL30" s="85"/>
      <c r="AM30" s="85">
        <v>0</v>
      </c>
      <c r="AN30" s="85"/>
      <c r="AO30" s="85">
        <v>0</v>
      </c>
      <c r="AP30" s="32"/>
      <c r="AQ30" s="89">
        <f>+'[2]6-30-08 Total Company 01'!AE14</f>
        <v>-0.00047496286422288314</v>
      </c>
    </row>
    <row r="31" spans="1:43" ht="15">
      <c r="A31" s="15"/>
      <c r="B31" s="12" t="s">
        <v>153</v>
      </c>
      <c r="C31" s="39">
        <f>ROUND(SUM(C26:C30),0)</f>
        <v>0</v>
      </c>
      <c r="D31" s="39"/>
      <c r="E31" s="39">
        <f>ROUND(SUM(E26:E30),0)</f>
        <v>-5723627</v>
      </c>
      <c r="F31" s="39"/>
      <c r="G31" s="39">
        <f>ROUND(SUM(G26:G30),0)</f>
        <v>0</v>
      </c>
      <c r="H31" s="39"/>
      <c r="I31" s="39">
        <f>ROUND(SUM(I26:I30),0)</f>
        <v>0</v>
      </c>
      <c r="J31" s="39"/>
      <c r="K31" s="39">
        <f>(SUM(K26:K30))</f>
        <v>-5109749.638269121</v>
      </c>
      <c r="L31" s="39"/>
      <c r="M31" s="39">
        <f>ROUND(SUM(M26:M30),0)</f>
        <v>0</v>
      </c>
      <c r="N31" s="39"/>
      <c r="O31" s="39">
        <f>ROUND(SUM(O26:O30),0)</f>
        <v>0</v>
      </c>
      <c r="P31" s="39"/>
      <c r="Q31" s="39">
        <f>ROUND(SUM(Q26:Q30),0)</f>
        <v>5474738</v>
      </c>
      <c r="R31" s="39"/>
      <c r="S31" s="39">
        <f>ROUND(SUM(S26:S30),0)</f>
        <v>-42401943</v>
      </c>
      <c r="T31" s="39"/>
      <c r="U31" s="39">
        <f>ROUND(SUM(U26:U30),0)</f>
        <v>0</v>
      </c>
      <c r="V31" s="39"/>
      <c r="W31" s="39">
        <f>ROUND(SUM(W26:W30),0)</f>
        <v>46211285</v>
      </c>
      <c r="X31" s="39"/>
      <c r="Y31" s="39">
        <f>ROUND(SUM(Y26:Y30),0)</f>
        <v>1549296</v>
      </c>
      <c r="Z31" s="39"/>
      <c r="AA31" s="39">
        <f>ROUND(SUM(AA26:AA30),0)</f>
        <v>0</v>
      </c>
      <c r="AB31" s="39"/>
      <c r="AC31" s="39">
        <f>ROUND(SUM(AC26:AC30),0)</f>
        <v>0</v>
      </c>
      <c r="AD31" s="9"/>
      <c r="AE31" s="39">
        <f>ROUND(SUM(AE26:AE30),0)</f>
        <v>0</v>
      </c>
      <c r="AF31" s="39"/>
      <c r="AG31" s="39">
        <f>ROUND(SUM(AG26:AG30),0)</f>
        <v>0</v>
      </c>
      <c r="AH31" s="9"/>
      <c r="AI31" s="39">
        <f>ROUND(SUM(AI26:AI30),0)</f>
        <v>0</v>
      </c>
      <c r="AJ31" s="9"/>
      <c r="AK31" s="39">
        <f>ROUND(SUM(AK26:AK30),0)</f>
        <v>0</v>
      </c>
      <c r="AL31" s="9"/>
      <c r="AM31" s="39">
        <f>ROUND(SUM(AM26:AM30),0)</f>
        <v>0</v>
      </c>
      <c r="AN31" s="9"/>
      <c r="AO31" s="39">
        <f>ROUND(SUM(AO26:AO30),0)</f>
        <v>0</v>
      </c>
      <c r="AP31" s="32"/>
      <c r="AQ31" s="68"/>
    </row>
    <row r="32" spans="1:43" ht="15">
      <c r="A32" s="15"/>
      <c r="B32" s="1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9"/>
      <c r="AE32" s="39"/>
      <c r="AF32" s="39"/>
      <c r="AG32" s="9"/>
      <c r="AH32" s="9"/>
      <c r="AI32" s="9"/>
      <c r="AJ32" s="9"/>
      <c r="AK32" s="9"/>
      <c r="AL32" s="9"/>
      <c r="AM32" s="9"/>
      <c r="AN32" s="9"/>
      <c r="AO32" s="9"/>
      <c r="AP32" s="32"/>
      <c r="AQ32" s="68"/>
    </row>
    <row r="33" spans="1:43" ht="15">
      <c r="A33" s="15"/>
      <c r="B33" s="12" t="s">
        <v>154</v>
      </c>
      <c r="C33" s="39">
        <f>+C31+C24</f>
        <v>1081229670.4422457</v>
      </c>
      <c r="D33" s="39"/>
      <c r="E33" s="39">
        <f>+E31+E24</f>
        <v>62546238.93287581</v>
      </c>
      <c r="F33" s="39"/>
      <c r="G33" s="39">
        <f>+G31+G24</f>
        <v>0</v>
      </c>
      <c r="H33" s="39"/>
      <c r="I33" s="39">
        <f>+I31+I24</f>
        <v>0</v>
      </c>
      <c r="J33" s="39"/>
      <c r="K33" s="90">
        <f>+K31+K24</f>
        <v>0.015274262055754662</v>
      </c>
      <c r="L33" s="39"/>
      <c r="M33" s="39">
        <f>+M31+M24</f>
        <v>901551.5528224041</v>
      </c>
      <c r="N33" s="39"/>
      <c r="O33" s="39">
        <f>+O31+O24</f>
        <v>0</v>
      </c>
      <c r="P33" s="39"/>
      <c r="Q33" s="39">
        <f>+Q31+Q24</f>
        <v>8016800.471775285</v>
      </c>
      <c r="R33" s="39"/>
      <c r="S33" s="39">
        <f>+S31+S24</f>
        <v>67464872.3300283</v>
      </c>
      <c r="T33" s="39"/>
      <c r="U33" s="39">
        <f>+U31+U24</f>
        <v>0</v>
      </c>
      <c r="V33" s="39"/>
      <c r="W33" s="39">
        <f>+W31+W24</f>
        <v>122203375.69096322</v>
      </c>
      <c r="X33" s="39"/>
      <c r="Y33" s="39">
        <f>+Y31+Y24</f>
        <v>74660633.78077184</v>
      </c>
      <c r="Z33" s="39"/>
      <c r="AA33" s="39">
        <f>+AA31+AA24</f>
        <v>43269635.39999999</v>
      </c>
      <c r="AB33" s="39"/>
      <c r="AC33" s="39">
        <f>+AC31+AC24</f>
        <v>65557915.29999999</v>
      </c>
      <c r="AD33" s="9"/>
      <c r="AE33" s="39">
        <f>+AE31+AE24</f>
        <v>48728719</v>
      </c>
      <c r="AF33" s="39"/>
      <c r="AG33" s="39">
        <f>+AG31+AG24</f>
        <v>134464513</v>
      </c>
      <c r="AH33" s="9"/>
      <c r="AI33" s="39">
        <f>+AI31+AI24</f>
        <v>152002324.00399998</v>
      </c>
      <c r="AJ33" s="9"/>
      <c r="AK33" s="39">
        <f>+AK31+AK24</f>
        <v>428668.3425323296</v>
      </c>
      <c r="AL33" s="9"/>
      <c r="AM33" s="39">
        <f>+AM31+AM24</f>
        <v>1582429.983333333</v>
      </c>
      <c r="AN33" s="9"/>
      <c r="AO33" s="39">
        <f>+AO31+AO24</f>
        <v>299401991.9996</v>
      </c>
      <c r="AP33" s="32"/>
      <c r="AQ33" s="68"/>
    </row>
    <row r="34" spans="1:43" ht="15">
      <c r="A34" s="15"/>
      <c r="B34" s="12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9"/>
      <c r="AE34" s="39"/>
      <c r="AF34" s="39"/>
      <c r="AG34" s="9"/>
      <c r="AH34" s="9"/>
      <c r="AI34" s="9"/>
      <c r="AJ34" s="9"/>
      <c r="AK34" s="9"/>
      <c r="AL34" s="9"/>
      <c r="AM34" s="9"/>
      <c r="AN34" s="9"/>
      <c r="AO34" s="9"/>
      <c r="AP34" s="32"/>
      <c r="AQ34" s="68"/>
    </row>
    <row r="35" spans="1:43" ht="15">
      <c r="A35" s="15"/>
      <c r="B35" s="1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9"/>
      <c r="AE35" s="39"/>
      <c r="AF35" s="39"/>
      <c r="AG35" s="9"/>
      <c r="AH35" s="9"/>
      <c r="AI35" s="9"/>
      <c r="AJ35" s="9"/>
      <c r="AK35" s="9"/>
      <c r="AL35" s="9"/>
      <c r="AM35" s="9"/>
      <c r="AN35" s="9"/>
      <c r="AO35" s="9"/>
      <c r="AP35" s="32"/>
      <c r="AQ35" s="68"/>
    </row>
    <row r="36" spans="1:43" ht="15">
      <c r="A36" s="15"/>
      <c r="B36" s="1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88"/>
      <c r="AB36" s="39"/>
      <c r="AC36" s="88"/>
      <c r="AD36" s="9"/>
      <c r="AE36" s="39"/>
      <c r="AF36" s="39"/>
      <c r="AG36" s="9"/>
      <c r="AH36" s="9"/>
      <c r="AI36" s="9"/>
      <c r="AJ36" s="9"/>
      <c r="AK36" s="9"/>
      <c r="AL36" s="9"/>
      <c r="AM36" s="9"/>
      <c r="AN36" s="9"/>
      <c r="AO36" s="9"/>
      <c r="AP36" s="32"/>
      <c r="AQ36" s="68"/>
    </row>
    <row r="37" spans="1:44" ht="15">
      <c r="A37" s="15"/>
      <c r="B37" s="82" t="s">
        <v>156</v>
      </c>
      <c r="C37" s="39"/>
      <c r="D37" s="39"/>
      <c r="E37" s="91"/>
      <c r="F37" s="39"/>
      <c r="G37" s="91"/>
      <c r="H37" s="39"/>
      <c r="I37" s="91"/>
      <c r="J37" s="39"/>
      <c r="K37" s="91"/>
      <c r="L37" s="39"/>
      <c r="M37" s="91"/>
      <c r="N37" s="39"/>
      <c r="O37" s="91"/>
      <c r="P37" s="39"/>
      <c r="Q37" s="91"/>
      <c r="R37" s="39"/>
      <c r="S37" s="91"/>
      <c r="T37" s="39"/>
      <c r="U37" s="91"/>
      <c r="V37" s="39"/>
      <c r="W37" s="91"/>
      <c r="X37" s="39"/>
      <c r="Y37" s="91"/>
      <c r="Z37" s="39"/>
      <c r="AA37" s="91"/>
      <c r="AB37" s="39"/>
      <c r="AC37" s="91"/>
      <c r="AD37" s="39"/>
      <c r="AE37" s="91"/>
      <c r="AF37" s="39"/>
      <c r="AG37" s="91"/>
      <c r="AH37" s="9"/>
      <c r="AI37" s="91"/>
      <c r="AJ37" s="39"/>
      <c r="AK37" s="91"/>
      <c r="AL37" s="39"/>
      <c r="AM37" s="91"/>
      <c r="AN37" s="39"/>
      <c r="AO37" s="91"/>
      <c r="AP37" s="32"/>
      <c r="AQ37" s="68" t="s">
        <v>157</v>
      </c>
      <c r="AR37" s="1" t="s">
        <v>158</v>
      </c>
    </row>
    <row r="38" spans="1:43" ht="15">
      <c r="A38" s="15"/>
      <c r="B38" s="12" t="s">
        <v>147</v>
      </c>
      <c r="C38" s="39">
        <f>SUM(E38:AO38)</f>
        <v>162561426.13335088</v>
      </c>
      <c r="D38" s="39"/>
      <c r="E38" s="91">
        <f>+'[3]SCHE-1'!$C$91</f>
        <v>63643430.01892853</v>
      </c>
      <c r="F38" s="39"/>
      <c r="G38" s="91">
        <v>0</v>
      </c>
      <c r="H38" s="39"/>
      <c r="I38" s="91">
        <f>+'[3]SCHE-1'!$F$91</f>
        <v>153109.44</v>
      </c>
      <c r="J38" s="39"/>
      <c r="K38" s="91">
        <f>+'[3]SCHE-1'!$E$91</f>
        <v>0</v>
      </c>
      <c r="L38" s="39"/>
      <c r="M38" s="91">
        <f>+'[3]SCHE-1'!$G$91</f>
        <v>115660.04871158625</v>
      </c>
      <c r="N38" s="39"/>
      <c r="O38" s="91">
        <f>+'[3]SCHE-1'!$H$91</f>
        <v>262975.68</v>
      </c>
      <c r="P38" s="39"/>
      <c r="Q38" s="91">
        <f>+'[3]SCHE-1'!$I$91</f>
        <v>1944156.4328567716</v>
      </c>
      <c r="R38" s="39"/>
      <c r="S38" s="91">
        <f>+'[3]SCHE-1'!$J$91</f>
        <v>32238886.17771726</v>
      </c>
      <c r="T38" s="39"/>
      <c r="U38" s="91">
        <v>0</v>
      </c>
      <c r="V38" s="39"/>
      <c r="W38" s="91">
        <f>+'[3]SCHE-1'!$K$91</f>
        <v>18230013.95314589</v>
      </c>
      <c r="X38" s="39"/>
      <c r="Y38" s="91">
        <f>+'[3]SCHE-1'!$L$91</f>
        <v>14717457.128718164</v>
      </c>
      <c r="Z38" s="39"/>
      <c r="AA38" s="91">
        <f>+'[3]SCHE-1'!$M$91</f>
        <v>7839570.599112001</v>
      </c>
      <c r="AB38" s="39"/>
      <c r="AC38" s="91">
        <f>+'[3]SCHE-1'!$N$91</f>
        <v>6691955.805273</v>
      </c>
      <c r="AD38" s="39"/>
      <c r="AE38" s="91">
        <f>+'[3]SCHE-1'!$O$91</f>
        <v>3568424.5221300004</v>
      </c>
      <c r="AF38" s="39"/>
      <c r="AG38" s="91">
        <f>+'[3]SCHE-1'!$P$91</f>
        <v>4773640.14786</v>
      </c>
      <c r="AH38" s="9"/>
      <c r="AI38" s="91">
        <f>+'[3]SCHE-1'!$Q$91</f>
        <v>1531163.2865200804</v>
      </c>
      <c r="AJ38" s="39"/>
      <c r="AK38" s="91">
        <f>+'[3]SCHE-1'!$R$91</f>
        <v>66369.29483905534</v>
      </c>
      <c r="AL38" s="39"/>
      <c r="AM38" s="91">
        <f>+'[3]SCHE-1'!$S$91</f>
        <v>228758.61232966665</v>
      </c>
      <c r="AN38" s="39"/>
      <c r="AO38" s="91">
        <f>+'[3]SCHE-1'!$T$91</f>
        <v>6555854.985208858</v>
      </c>
      <c r="AP38" s="32"/>
      <c r="AQ38" s="68"/>
    </row>
    <row r="39" spans="1:43" ht="15">
      <c r="A39" s="15"/>
      <c r="B39" s="1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9"/>
      <c r="AI39" s="39"/>
      <c r="AJ39" s="39"/>
      <c r="AK39" s="39"/>
      <c r="AL39" s="39"/>
      <c r="AM39" s="39"/>
      <c r="AN39" s="39"/>
      <c r="AO39" s="39"/>
      <c r="AP39" s="32"/>
      <c r="AQ39" s="68"/>
    </row>
    <row r="40" spans="1:44" ht="15">
      <c r="A40" s="15"/>
      <c r="B40" s="12" t="s">
        <v>148</v>
      </c>
      <c r="C40" s="39">
        <f>SUM(E40:AO40)</f>
        <v>1.1641532182693481E-10</v>
      </c>
      <c r="D40" s="39"/>
      <c r="E40" s="91">
        <f>+E12*12*$AQ40+E26*$AR40</f>
        <v>-2327020.426103661</v>
      </c>
      <c r="F40" s="39"/>
      <c r="G40" s="91">
        <f>+G12*12*$AQ40+G26*$AR40</f>
        <v>0</v>
      </c>
      <c r="H40" s="39"/>
      <c r="I40" s="91">
        <f>+I12*12*$AQ40+I26*$AR40</f>
        <v>0</v>
      </c>
      <c r="J40" s="39"/>
      <c r="K40" s="91">
        <f>+K12*12*$AQ40+K26*$AR40</f>
        <v>0</v>
      </c>
      <c r="L40" s="39"/>
      <c r="M40" s="91">
        <f>+M12*12*$AQ40+M26*$AR40</f>
        <v>0</v>
      </c>
      <c r="N40" s="39"/>
      <c r="O40" s="91">
        <f>+O12*12*$AQ40+O26*$AR40</f>
        <v>0</v>
      </c>
      <c r="P40" s="39"/>
      <c r="Q40" s="91">
        <f>+Q12*12*$AQ40+Q26*$AR40</f>
        <v>0</v>
      </c>
      <c r="R40" s="39"/>
      <c r="S40" s="91">
        <f>+S12*12*$AQ40+S26*$AR40</f>
        <v>1242413.8123684768</v>
      </c>
      <c r="T40" s="39"/>
      <c r="U40" s="91">
        <f>+U12*12*$AQ40+U26*$AR40</f>
        <v>0</v>
      </c>
      <c r="V40" s="39"/>
      <c r="W40" s="91">
        <f>+W12*12*$AQ40+W26*$AR40</f>
        <v>774173.3262571683</v>
      </c>
      <c r="X40" s="39"/>
      <c r="Y40" s="91">
        <f>+Y12*12*$AQ40+Y26*$AR40</f>
        <v>310433.2874780159</v>
      </c>
      <c r="Z40" s="39"/>
      <c r="AA40" s="91">
        <f>+AA12*12*$AQ40+AA26*$AR40</f>
        <v>0</v>
      </c>
      <c r="AB40" s="39"/>
      <c r="AC40" s="91">
        <f>+AC12*12*$AQ40+AC26*$AR40</f>
        <v>0</v>
      </c>
      <c r="AD40" s="39"/>
      <c r="AE40" s="91">
        <f>+AE12*12*$AQ40+AE26*$AR40</f>
        <v>0</v>
      </c>
      <c r="AF40" s="39"/>
      <c r="AG40" s="91">
        <f>+AG12*12*$AQ40+AG26*$AR40</f>
        <v>0</v>
      </c>
      <c r="AH40" s="9"/>
      <c r="AI40" s="91">
        <f>+AI12*12*$AQ40+AI26*$AR40</f>
        <v>0</v>
      </c>
      <c r="AJ40" s="39"/>
      <c r="AK40" s="91">
        <f>+AK12*12*$AQ40+AK26*$AR40</f>
        <v>0</v>
      </c>
      <c r="AL40" s="39"/>
      <c r="AM40" s="91">
        <f>+AM12*12*$AQ40+AM26*$AR40</f>
        <v>0</v>
      </c>
      <c r="AN40" s="39"/>
      <c r="AO40" s="91">
        <f>+AO12*12*$AQ40+AO26*$AR40</f>
        <v>0</v>
      </c>
      <c r="AP40" s="32"/>
      <c r="AQ40" s="92">
        <v>10</v>
      </c>
      <c r="AR40" s="93">
        <v>0.37667</v>
      </c>
    </row>
    <row r="41" spans="1:44" ht="15">
      <c r="A41" s="15"/>
      <c r="B41" s="12" t="s">
        <v>149</v>
      </c>
      <c r="C41" s="39">
        <f>SUM(E41:AO41)</f>
        <v>-8.003553375601768E-11</v>
      </c>
      <c r="D41" s="39"/>
      <c r="E41" s="39">
        <f>+E13*12*$AQ41+E27*$AR41</f>
        <v>61417.16757456634</v>
      </c>
      <c r="F41" s="39"/>
      <c r="G41" s="39">
        <f>+G13*12*$AQ41+G27*$AR41</f>
        <v>0</v>
      </c>
      <c r="H41" s="39"/>
      <c r="I41" s="39">
        <f>+I13*12*$AQ41+I27*$AR41</f>
        <v>0</v>
      </c>
      <c r="J41" s="39"/>
      <c r="K41" s="39">
        <f>+K13*12*$AQ41+K27*$AR41</f>
        <v>-763283.2100900001</v>
      </c>
      <c r="L41" s="39"/>
      <c r="M41" s="39">
        <f>+M13*12*$AQ41+M27*$AR41</f>
        <v>0</v>
      </c>
      <c r="N41" s="39"/>
      <c r="O41" s="39">
        <f>+O13*12*$AQ41+O27*$AR41</f>
        <v>0</v>
      </c>
      <c r="P41" s="39"/>
      <c r="Q41" s="39">
        <f>+Q13*12*$AQ41+Q27*$AR41</f>
        <v>0</v>
      </c>
      <c r="R41" s="39"/>
      <c r="S41" s="39">
        <f>+S13*12*$AQ41+S27*$AR41</f>
        <v>427416.0237009037</v>
      </c>
      <c r="T41" s="39"/>
      <c r="U41" s="39">
        <f>+U13*12*$AQ41+U27*$AR41</f>
        <v>0</v>
      </c>
      <c r="V41" s="39"/>
      <c r="W41" s="39">
        <f>+W13*12*$AQ41+W27*$AR41</f>
        <v>251706.88609411818</v>
      </c>
      <c r="X41" s="39"/>
      <c r="Y41" s="39">
        <f>+Y13*12*$AQ41+Y27*$AR41</f>
        <v>22743.13272041179</v>
      </c>
      <c r="Z41" s="39"/>
      <c r="AA41" s="39">
        <f>+AA13*12*$AQ41+AA27*$AR41</f>
        <v>0</v>
      </c>
      <c r="AB41" s="39"/>
      <c r="AC41" s="39">
        <f>+AC13*12*$AQ41+AC27*$AR41</f>
        <v>0</v>
      </c>
      <c r="AD41" s="39"/>
      <c r="AE41" s="39">
        <f>+AE13*12*$AQ41+AE27*$AR41</f>
        <v>0</v>
      </c>
      <c r="AF41" s="39"/>
      <c r="AG41" s="39">
        <f>+AG13*12*$AQ41+AG27*$AR41</f>
        <v>0</v>
      </c>
      <c r="AH41" s="9"/>
      <c r="AI41" s="39">
        <f>+AI13*12*$AQ41+AI27*$AR41</f>
        <v>0</v>
      </c>
      <c r="AJ41" s="39"/>
      <c r="AK41" s="39">
        <f>+AK13*12*$AQ41+AK27*$AR41</f>
        <v>0</v>
      </c>
      <c r="AL41" s="39"/>
      <c r="AM41" s="39">
        <f>+AM13*12*$AQ41+AM27*$AR41</f>
        <v>0</v>
      </c>
      <c r="AN41" s="39"/>
      <c r="AO41" s="39">
        <f>+AO13*12*$AQ41+AO27*$AR41</f>
        <v>0</v>
      </c>
      <c r="AP41" s="32"/>
      <c r="AQ41" s="92">
        <v>10</v>
      </c>
      <c r="AR41" s="93">
        <v>0.37667</v>
      </c>
    </row>
    <row r="42" spans="1:44" ht="15">
      <c r="A42" s="15"/>
      <c r="B42" s="12" t="s">
        <v>150</v>
      </c>
      <c r="C42" s="39">
        <f>SUM(E42:AO42)</f>
        <v>-5.820766091346741E-11</v>
      </c>
      <c r="D42" s="39"/>
      <c r="E42" s="39">
        <f>+E14*12*$AQ42+E28*$AR42</f>
        <v>13026.459991012396</v>
      </c>
      <c r="F42" s="39"/>
      <c r="G42" s="39">
        <f>+G14*12*$AQ42+G28*$AR42</f>
        <v>0</v>
      </c>
      <c r="H42" s="39"/>
      <c r="I42" s="39">
        <f>+I14*12*$AQ42+I28*$AR42</f>
        <v>0</v>
      </c>
      <c r="J42" s="39"/>
      <c r="K42" s="39">
        <f>+K14*12*$AQ42+K28*$AR42</f>
        <v>-1236526.1861568298</v>
      </c>
      <c r="L42" s="39"/>
      <c r="M42" s="39">
        <f>+M14*12*$AQ42+M28*$AR42</f>
        <v>0</v>
      </c>
      <c r="N42" s="39"/>
      <c r="O42" s="39">
        <f>+O14*12*$AQ42+O28*$AR42</f>
        <v>0</v>
      </c>
      <c r="P42" s="39"/>
      <c r="Q42" s="39">
        <f>+Q14*12*$AQ42+Q28*$AR42</f>
        <v>0</v>
      </c>
      <c r="R42" s="39"/>
      <c r="S42" s="39">
        <f>+S14*12*$AQ42+S28*$AR42</f>
        <v>304925.6500756112</v>
      </c>
      <c r="T42" s="39"/>
      <c r="U42" s="39">
        <f>+U14*12*$AQ42+U28*$AR42</f>
        <v>0</v>
      </c>
      <c r="V42" s="39"/>
      <c r="W42" s="39">
        <f>+W14*12*$AQ42+W28*$AR42</f>
        <v>665878.7054180921</v>
      </c>
      <c r="X42" s="39"/>
      <c r="Y42" s="39">
        <f>+Y14*12*$AQ42+Y28*$AR42</f>
        <v>252695.37067211402</v>
      </c>
      <c r="Z42" s="39"/>
      <c r="AA42" s="39">
        <f>+AA14*12*$AQ42+AA28*$AR42</f>
        <v>0</v>
      </c>
      <c r="AB42" s="39"/>
      <c r="AC42" s="39">
        <f>+AC14*12*$AQ42+AC28*$AR42</f>
        <v>0</v>
      </c>
      <c r="AD42" s="39"/>
      <c r="AE42" s="39">
        <f>+AE14*12*$AQ42+AE28*$AR42</f>
        <v>0</v>
      </c>
      <c r="AF42" s="39"/>
      <c r="AG42" s="39">
        <f>+AG14*12*$AQ42+AG28*$AR42</f>
        <v>0</v>
      </c>
      <c r="AH42" s="9"/>
      <c r="AI42" s="39">
        <f>+AI14*12*$AQ42+AI28*$AR42</f>
        <v>0</v>
      </c>
      <c r="AJ42" s="39"/>
      <c r="AK42" s="39">
        <f>+AK14*12*$AQ42+AK28*$AR42</f>
        <v>0</v>
      </c>
      <c r="AL42" s="39"/>
      <c r="AM42" s="39">
        <f>+AM14*12*$AQ42+AM28*$AR42</f>
        <v>0</v>
      </c>
      <c r="AN42" s="39"/>
      <c r="AO42" s="39">
        <f>+AO14*12*$AQ42+AO28*$AR42</f>
        <v>0</v>
      </c>
      <c r="AP42" s="32"/>
      <c r="AQ42" s="92">
        <v>10</v>
      </c>
      <c r="AR42" s="93">
        <v>0.37667</v>
      </c>
    </row>
    <row r="43" spans="1:44" ht="15">
      <c r="A43" s="15"/>
      <c r="B43" s="12" t="s">
        <v>151</v>
      </c>
      <c r="C43" s="39">
        <f>SUM(E43:AO43)</f>
        <v>-1.862645149230957E-09</v>
      </c>
      <c r="D43" s="39"/>
      <c r="E43" s="39">
        <f>+E15*12*$AQ43+E29*$AR43</f>
        <v>0</v>
      </c>
      <c r="F43" s="39"/>
      <c r="G43" s="39">
        <f>+G15*12*$AQ43+G29*$AR43</f>
        <v>0</v>
      </c>
      <c r="H43" s="39"/>
      <c r="I43" s="39">
        <f>+I15*12*$AQ43+I29*$AR43</f>
        <v>0</v>
      </c>
      <c r="J43" s="39"/>
      <c r="K43" s="39">
        <f>+K15*12*$AQ43+K29*$AR43</f>
        <v>0</v>
      </c>
      <c r="L43" s="39"/>
      <c r="M43" s="39">
        <f>+M15*12*$AQ43+M29*$AR43</f>
        <v>0</v>
      </c>
      <c r="N43" s="39"/>
      <c r="O43" s="39">
        <f>+O15*12*$AQ43+O29*$AR43</f>
        <v>0</v>
      </c>
      <c r="P43" s="39"/>
      <c r="Q43" s="39">
        <f>+Q15*12*$AQ43+Q29*$AR43</f>
        <v>2308900.596911067</v>
      </c>
      <c r="R43" s="39"/>
      <c r="S43" s="39">
        <f>+S15*12*$AQ43+S29*$AR43</f>
        <v>-4958342.632841529</v>
      </c>
      <c r="T43" s="39"/>
      <c r="U43" s="39">
        <f>+U15*12*$AQ43+U29*$AR43</f>
        <v>0</v>
      </c>
      <c r="V43" s="39"/>
      <c r="W43" s="39">
        <f>+W15*12*$AQ43+W29*$AR43</f>
        <v>2649442.0359304603</v>
      </c>
      <c r="X43" s="39"/>
      <c r="Y43" s="39">
        <f>+Y15*12*$AQ43+Y29*$AR43</f>
        <v>0</v>
      </c>
      <c r="Z43" s="39"/>
      <c r="AA43" s="39">
        <f>+AA15*12*$AQ43+AA29*$AR43</f>
        <v>0</v>
      </c>
      <c r="AB43" s="39"/>
      <c r="AC43" s="39">
        <f>+AC15*12*$AQ43+AC29*$AR43</f>
        <v>0</v>
      </c>
      <c r="AD43" s="39"/>
      <c r="AE43" s="39">
        <f>+AE15*12*$AQ43+AE29*$AR43</f>
        <v>0</v>
      </c>
      <c r="AF43" s="39"/>
      <c r="AG43" s="39">
        <f>+AG15*12*$AQ43+AG29*$AR43</f>
        <v>0</v>
      </c>
      <c r="AH43" s="9"/>
      <c r="AI43" s="39">
        <f>+AI15*12*$AQ43+AI29*$AR43</f>
        <v>0</v>
      </c>
      <c r="AJ43" s="39"/>
      <c r="AK43" s="39">
        <f>+AK15*12*$AQ43+AK29*$AR43</f>
        <v>0</v>
      </c>
      <c r="AL43" s="39"/>
      <c r="AM43" s="39">
        <f>+AM15*12*$AQ43+AM29*$AR43</f>
        <v>0</v>
      </c>
      <c r="AN43" s="39"/>
      <c r="AO43" s="39">
        <f>+AO15*12*$AQ43+AO29*$AR43</f>
        <v>0</v>
      </c>
      <c r="AP43" s="32"/>
      <c r="AQ43" s="92">
        <v>30</v>
      </c>
      <c r="AR43" s="93">
        <v>0.23045</v>
      </c>
    </row>
    <row r="44" spans="1:44" ht="17.25">
      <c r="A44" s="15"/>
      <c r="B44" s="12" t="s">
        <v>152</v>
      </c>
      <c r="C44" s="85">
        <f>SUM(E44:AO44)</f>
        <v>2.7939677238464355E-09</v>
      </c>
      <c r="D44" s="85"/>
      <c r="E44" s="85">
        <f>+E16*12*$AQ44+E30*$AR44</f>
        <v>0</v>
      </c>
      <c r="F44" s="85"/>
      <c r="G44" s="85">
        <f>+G16*12*$AQ44+G30*$AR44</f>
        <v>0</v>
      </c>
      <c r="H44" s="85"/>
      <c r="I44" s="85">
        <f>+I16*12*$AQ44+I30*$AR44</f>
        <v>0</v>
      </c>
      <c r="J44" s="85"/>
      <c r="K44" s="85">
        <f>+K16*12*$AQ44+K30*$AR44</f>
        <v>0</v>
      </c>
      <c r="L44" s="85"/>
      <c r="M44" s="85">
        <f>+M16*12*$AQ44+M30*$AR44</f>
        <v>0</v>
      </c>
      <c r="N44" s="85"/>
      <c r="O44" s="85">
        <f>+O16*12*$AQ44+O30*$AR44</f>
        <v>0</v>
      </c>
      <c r="P44" s="85"/>
      <c r="Q44" s="85">
        <f>+Q16*12*$AQ44+Q30*$AR44</f>
        <v>793823.5780181871</v>
      </c>
      <c r="R44" s="85"/>
      <c r="S44" s="85">
        <f>+S16*12*$AQ44+S30*$AR44</f>
        <v>-8720680.183873056</v>
      </c>
      <c r="T44" s="85"/>
      <c r="U44" s="85">
        <f>+U16*12*$AQ44+U30*$AR44</f>
        <v>0</v>
      </c>
      <c r="V44" s="85"/>
      <c r="W44" s="85">
        <f>+W16*12*$AQ44+W30*$AR44</f>
        <v>7926856.605854872</v>
      </c>
      <c r="X44" s="85"/>
      <c r="Y44" s="85">
        <f>+Y16*12*$AQ44+Y30*$AR44</f>
        <v>0</v>
      </c>
      <c r="Z44" s="85"/>
      <c r="AA44" s="85">
        <f>+AA16*12*$AQ44+AA30*$AR44</f>
        <v>0</v>
      </c>
      <c r="AB44" s="85"/>
      <c r="AC44" s="85">
        <f>+AC16*12*$AQ44+AC30*$AR44</f>
        <v>0</v>
      </c>
      <c r="AD44" s="85"/>
      <c r="AE44" s="85">
        <f>+AE16*12*$AQ44+AE30*$AR44</f>
        <v>0</v>
      </c>
      <c r="AF44" s="85"/>
      <c r="AG44" s="85">
        <f>+AG16*12*$AQ44+AG30*$AR44</f>
        <v>0</v>
      </c>
      <c r="AH44" s="86"/>
      <c r="AI44" s="85">
        <f>+AI16*12*$AQ44+AI30*$AR44</f>
        <v>0</v>
      </c>
      <c r="AJ44" s="85"/>
      <c r="AK44" s="85">
        <f>+AK16*12*$AQ44+AK30*$AR44</f>
        <v>0</v>
      </c>
      <c r="AL44" s="85"/>
      <c r="AM44" s="85">
        <f>+AM16*12*$AQ44+AM30*$AR44</f>
        <v>0</v>
      </c>
      <c r="AN44" s="85"/>
      <c r="AO44" s="85">
        <f>+AO16*12*$AQ44+AO30*$AR44</f>
        <v>0</v>
      </c>
      <c r="AP44" s="32"/>
      <c r="AQ44" s="92">
        <v>30</v>
      </c>
      <c r="AR44" s="93">
        <v>0.23045</v>
      </c>
    </row>
    <row r="45" spans="1:43" ht="15">
      <c r="A45" s="15"/>
      <c r="B45" s="12" t="s">
        <v>153</v>
      </c>
      <c r="C45" s="39">
        <f>ROUND(SUM(C40:C44),0)</f>
        <v>0</v>
      </c>
      <c r="D45" s="39"/>
      <c r="E45" s="91">
        <f>ROUND(SUM(E40:E44),0)</f>
        <v>-2252577</v>
      </c>
      <c r="F45" s="39"/>
      <c r="G45" s="91">
        <f>ROUND(SUM(G40:G44),0)</f>
        <v>0</v>
      </c>
      <c r="H45" s="39"/>
      <c r="I45" s="91">
        <f>ROUND(SUM(I40:I44),0)</f>
        <v>0</v>
      </c>
      <c r="J45" s="39"/>
      <c r="K45" s="91">
        <f>ROUND(SUM(K40:K44),0)</f>
        <v>-1999809</v>
      </c>
      <c r="L45" s="39"/>
      <c r="M45" s="91">
        <f>ROUND(SUM(M40:M44),0)</f>
        <v>0</v>
      </c>
      <c r="N45" s="39"/>
      <c r="O45" s="91">
        <f>ROUND(SUM(O40:O44),0)</f>
        <v>0</v>
      </c>
      <c r="P45" s="39"/>
      <c r="Q45" s="91">
        <f>ROUND(SUM(Q40:Q44),0)</f>
        <v>3102724</v>
      </c>
      <c r="R45" s="39"/>
      <c r="S45" s="91">
        <f>ROUND(SUM(S40:S44),0)</f>
        <v>-11704267</v>
      </c>
      <c r="T45" s="39"/>
      <c r="U45" s="91">
        <f>ROUND(SUM(U40:U44),0)</f>
        <v>0</v>
      </c>
      <c r="V45" s="39"/>
      <c r="W45" s="91">
        <f>ROUND(SUM(W40:W44),0)</f>
        <v>12268058</v>
      </c>
      <c r="X45" s="39"/>
      <c r="Y45" s="91">
        <f>ROUND(SUM(Y40:Y44),0)</f>
        <v>585872</v>
      </c>
      <c r="Z45" s="39"/>
      <c r="AA45" s="91">
        <f>ROUND(SUM(AA40:AA44),0)</f>
        <v>0</v>
      </c>
      <c r="AB45" s="39"/>
      <c r="AC45" s="91">
        <f>ROUND(SUM(AC40:AC44),0)</f>
        <v>0</v>
      </c>
      <c r="AD45" s="9"/>
      <c r="AE45" s="91">
        <f>ROUND(SUM(AE40:AE44),0)</f>
        <v>0</v>
      </c>
      <c r="AF45" s="39"/>
      <c r="AG45" s="91">
        <f>ROUND(SUM(AG40:AG44),0)</f>
        <v>0</v>
      </c>
      <c r="AH45" s="9"/>
      <c r="AI45" s="91">
        <f>ROUND(SUM(AI40:AI44),0)</f>
        <v>0</v>
      </c>
      <c r="AJ45" s="9"/>
      <c r="AK45" s="91">
        <f>ROUND(SUM(AK40:AK44),0)</f>
        <v>0</v>
      </c>
      <c r="AL45" s="9"/>
      <c r="AM45" s="91">
        <f>ROUND(SUM(AM40:AM44),0)</f>
        <v>0</v>
      </c>
      <c r="AN45" s="9"/>
      <c r="AO45" s="91">
        <f>ROUND(SUM(AO40:AO44),0)</f>
        <v>0</v>
      </c>
      <c r="AP45" s="32"/>
      <c r="AQ45" s="68"/>
    </row>
    <row r="46" spans="1:43" ht="15">
      <c r="A46" s="15"/>
      <c r="B46" s="12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9"/>
      <c r="AE46" s="39"/>
      <c r="AF46" s="39"/>
      <c r="AG46" s="39"/>
      <c r="AH46" s="9"/>
      <c r="AI46" s="39"/>
      <c r="AJ46" s="9"/>
      <c r="AK46" s="39"/>
      <c r="AL46" s="9"/>
      <c r="AM46" s="39"/>
      <c r="AN46" s="9"/>
      <c r="AO46" s="39"/>
      <c r="AP46" s="32"/>
      <c r="AQ46" s="68"/>
    </row>
    <row r="47" spans="1:43" ht="15">
      <c r="A47" s="15"/>
      <c r="B47" s="12" t="s">
        <v>154</v>
      </c>
      <c r="C47" s="39">
        <f>+C45+C38</f>
        <v>162561426.13335088</v>
      </c>
      <c r="D47" s="39"/>
      <c r="E47" s="91">
        <f>+E45+E38</f>
        <v>61390853.01892853</v>
      </c>
      <c r="F47" s="39"/>
      <c r="G47" s="91">
        <f>+G45+G38</f>
        <v>0</v>
      </c>
      <c r="H47" s="39"/>
      <c r="I47" s="91">
        <f>+I45+I38</f>
        <v>153109.44</v>
      </c>
      <c r="J47" s="39"/>
      <c r="K47" s="91">
        <f>+K45+K38</f>
        <v>-1999809</v>
      </c>
      <c r="L47" s="39"/>
      <c r="M47" s="91">
        <f>+M45+M38</f>
        <v>115660.04871158625</v>
      </c>
      <c r="N47" s="39"/>
      <c r="O47" s="91">
        <f>+O45+O38</f>
        <v>262975.68</v>
      </c>
      <c r="P47" s="39"/>
      <c r="Q47" s="91">
        <f>+Q45+Q38</f>
        <v>5046880.432856772</v>
      </c>
      <c r="R47" s="39"/>
      <c r="S47" s="91">
        <f>+S45+S38</f>
        <v>20534619.17771726</v>
      </c>
      <c r="T47" s="39"/>
      <c r="U47" s="91">
        <f>+U45+U38</f>
        <v>0</v>
      </c>
      <c r="V47" s="39"/>
      <c r="W47" s="91">
        <f>+W45+W38</f>
        <v>30498071.95314589</v>
      </c>
      <c r="X47" s="39"/>
      <c r="Y47" s="91">
        <f>+Y45+Y38</f>
        <v>15303329.128718164</v>
      </c>
      <c r="Z47" s="39"/>
      <c r="AA47" s="91">
        <f>+AA45+AA38</f>
        <v>7839570.599112001</v>
      </c>
      <c r="AB47" s="39"/>
      <c r="AC47" s="91">
        <f>+AC45+AC38</f>
        <v>6691955.805273</v>
      </c>
      <c r="AD47" s="9"/>
      <c r="AE47" s="91">
        <f>+AE45+AE38</f>
        <v>3568424.5221300004</v>
      </c>
      <c r="AF47" s="39"/>
      <c r="AG47" s="91">
        <f>+AG45+AG38</f>
        <v>4773640.14786</v>
      </c>
      <c r="AH47" s="9"/>
      <c r="AI47" s="91">
        <f>+AI45+AI38</f>
        <v>1531163.2865200804</v>
      </c>
      <c r="AJ47" s="9"/>
      <c r="AK47" s="91">
        <f>+AK45+AK38</f>
        <v>66369.29483905534</v>
      </c>
      <c r="AL47" s="9"/>
      <c r="AM47" s="91">
        <f>+AM45+AM38</f>
        <v>228758.61232966665</v>
      </c>
      <c r="AN47" s="9"/>
      <c r="AO47" s="91">
        <f>+AO45+AO38</f>
        <v>6555854.985208858</v>
      </c>
      <c r="AP47" s="32"/>
      <c r="AQ47" s="68"/>
    </row>
    <row r="48" spans="1:43" ht="15">
      <c r="A48" s="15"/>
      <c r="B48" s="12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9"/>
      <c r="AE48" s="39"/>
      <c r="AF48" s="39"/>
      <c r="AG48" s="9"/>
      <c r="AH48" s="9"/>
      <c r="AI48" s="9"/>
      <c r="AJ48" s="9"/>
      <c r="AK48" s="9"/>
      <c r="AL48" s="9"/>
      <c r="AM48" s="9"/>
      <c r="AN48" s="9"/>
      <c r="AO48" s="9"/>
      <c r="AP48" s="32"/>
      <c r="AQ48" s="68"/>
    </row>
    <row r="49" spans="1:43" ht="15">
      <c r="A49" s="15"/>
      <c r="B49" s="12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9"/>
      <c r="AE49" s="39"/>
      <c r="AF49" s="39"/>
      <c r="AG49" s="9"/>
      <c r="AH49" s="9"/>
      <c r="AI49" s="9"/>
      <c r="AJ49" s="9"/>
      <c r="AK49" s="9"/>
      <c r="AL49" s="9"/>
      <c r="AM49" s="9"/>
      <c r="AN49" s="9"/>
      <c r="AO49" s="9"/>
      <c r="AP49" s="32"/>
      <c r="AQ49" s="68"/>
    </row>
    <row r="50" spans="1:43" ht="15">
      <c r="A50" s="15"/>
      <c r="B50" s="82" t="s">
        <v>159</v>
      </c>
      <c r="C50" s="19"/>
      <c r="D50" s="13"/>
      <c r="E50" s="47"/>
      <c r="F50" s="47"/>
      <c r="G50" s="47"/>
      <c r="H50" s="47"/>
      <c r="I50" s="47"/>
      <c r="J50" s="47"/>
      <c r="K50" s="47"/>
      <c r="L50" s="19"/>
      <c r="M50" s="47"/>
      <c r="N50" s="19"/>
      <c r="O50" s="47"/>
      <c r="P50" s="47"/>
      <c r="Q50" s="47"/>
      <c r="R50" s="19"/>
      <c r="S50" s="47"/>
      <c r="T50" s="47"/>
      <c r="U50" s="47"/>
      <c r="V50" s="47"/>
      <c r="W50" s="47"/>
      <c r="X50" s="19"/>
      <c r="Y50" s="47"/>
      <c r="Z50" s="19"/>
      <c r="AA50" s="47"/>
      <c r="AB50" s="47"/>
      <c r="AC50" s="47"/>
      <c r="AD50" s="19"/>
      <c r="AE50" s="47"/>
      <c r="AF50" s="19"/>
      <c r="AG50" s="47"/>
      <c r="AH50" s="19"/>
      <c r="AI50" s="47"/>
      <c r="AJ50" s="19"/>
      <c r="AK50" s="47"/>
      <c r="AL50" s="19"/>
      <c r="AM50" s="47"/>
      <c r="AN50" s="19"/>
      <c r="AO50" s="47"/>
      <c r="AP50" s="32"/>
      <c r="AQ50" s="68"/>
    </row>
    <row r="51" spans="1:43" ht="15">
      <c r="A51" s="15"/>
      <c r="B51" s="12" t="s">
        <v>147</v>
      </c>
      <c r="C51" s="39">
        <f>SUM(E51:AO51)</f>
        <v>150893510.65169108</v>
      </c>
      <c r="D51" s="39"/>
      <c r="E51" s="39">
        <f>+'[2]6-30-08 Total Company 01'!$D$42</f>
        <v>19230138.125313114</v>
      </c>
      <c r="F51" s="39"/>
      <c r="G51" s="39">
        <v>0</v>
      </c>
      <c r="H51" s="39"/>
      <c r="I51" s="39">
        <f>+'[2]6-30-08 Total Company 01'!$D$43</f>
        <v>0</v>
      </c>
      <c r="J51" s="39"/>
      <c r="K51" s="39">
        <f>+'[2]6-30-08 Total Company 01'!$D$44+'[2]6-30-08 Total Company 01'!$D$45</f>
        <v>1280423.1804579655</v>
      </c>
      <c r="L51" s="39"/>
      <c r="M51" s="39">
        <f>+'[2]6-30-08 Total Company 01'!$D$60+'[2]6-30-08 Total Company 01'!$D$61</f>
        <v>157300.51540154777</v>
      </c>
      <c r="N51" s="39"/>
      <c r="O51" s="39">
        <f>+'[2]6-30-08 Total Company 01'!$D$46+'[2]6-30-08 Total Company 01'!$D$47</f>
        <v>0</v>
      </c>
      <c r="P51" s="39"/>
      <c r="Q51" s="39">
        <f>+'[2]6-30-08 Total Company 01'!$D$48+'[2]6-30-08 Total Company 01'!$D$49</f>
        <v>542868.8790144405</v>
      </c>
      <c r="R51" s="39"/>
      <c r="S51" s="39">
        <f>+'[2]6-30-08 Total Company 01'!$D$50+'[2]6-30-08 Total Company 01'!$D$51</f>
        <v>21462462.225405112</v>
      </c>
      <c r="T51" s="39"/>
      <c r="U51" s="39">
        <v>0</v>
      </c>
      <c r="V51" s="39"/>
      <c r="W51" s="39">
        <f>+'[2]6-30-08 Total Company 01'!$D$52+'[2]6-30-08 Total Company 01'!$D$53</f>
        <v>14613682.56008207</v>
      </c>
      <c r="X51" s="39"/>
      <c r="Y51" s="39">
        <f>+'[2]6-30-08 Total Company 01'!$D$54+'[2]6-30-08 Total Company 01'!$D$55</f>
        <v>13179718.337951422</v>
      </c>
      <c r="Z51" s="39"/>
      <c r="AA51" s="39">
        <f>+'[2]6-30-08 Total Company 01'!$D$56+'[2]6-30-08 Total Company 01'!$D$57</f>
        <v>7494403.433060095</v>
      </c>
      <c r="AB51" s="39"/>
      <c r="AC51" s="39">
        <f>+'[2]6-30-08 Total Company 01'!$D$58+'[2]6-30-08 Total Company 01'!$D$59</f>
        <v>11490342.909873236</v>
      </c>
      <c r="AD51" s="39"/>
      <c r="AE51" s="39">
        <f>+'[2]6-30-08 Total Company 01'!$D$66</f>
        <v>5124865.751563903</v>
      </c>
      <c r="AF51" s="39"/>
      <c r="AG51" s="39">
        <f>+'[2]6-30-08 Total Company 01'!$D$67</f>
        <v>14265719.504763521</v>
      </c>
      <c r="AH51" s="9"/>
      <c r="AI51" s="39">
        <f>+'[2]6-30-08 Total Company 01'!$D$68</f>
        <v>14267525.932844575</v>
      </c>
      <c r="AJ51" s="39"/>
      <c r="AK51" s="39">
        <f>+'[2]6-30-08 Total Company 01'!$D$62+'[2]6-30-08 Total Company 01'!$D$63</f>
        <v>71897.49746557928</v>
      </c>
      <c r="AL51" s="39"/>
      <c r="AM51" s="39">
        <f>+'[2]6-30-08 Total Company 01'!$D$64+'[2]6-30-08 Total Company 01'!$D$65</f>
        <v>231613.83194444442</v>
      </c>
      <c r="AN51" s="39"/>
      <c r="AO51" s="39">
        <f>+'[2]6-30-08 Total Company 01'!$D$69</f>
        <v>27480547.966550022</v>
      </c>
      <c r="AP51" s="32"/>
      <c r="AQ51" s="68"/>
    </row>
    <row r="52" spans="1:43" ht="15">
      <c r="A52" s="15"/>
      <c r="B52" s="12"/>
      <c r="C52" s="39"/>
      <c r="D52" s="39"/>
      <c r="E52" s="94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9"/>
      <c r="AI52" s="39"/>
      <c r="AJ52" s="39"/>
      <c r="AK52" s="39"/>
      <c r="AL52" s="39"/>
      <c r="AM52" s="39"/>
      <c r="AN52" s="39"/>
      <c r="AO52" s="39"/>
      <c r="AP52" s="32"/>
      <c r="AQ52" s="68"/>
    </row>
    <row r="53" spans="1:43" ht="15">
      <c r="A53" s="15"/>
      <c r="B53" s="12" t="s">
        <v>148</v>
      </c>
      <c r="C53" s="39">
        <f>SUM(E53:AO53)</f>
        <v>-1.4551915228366852E-10</v>
      </c>
      <c r="D53" s="39"/>
      <c r="E53" s="39">
        <f>E26/$E24*$E$51</f>
        <v>-1653941.9039722965</v>
      </c>
      <c r="F53" s="39"/>
      <c r="G53" s="39">
        <f>G26/$E24*$E$51</f>
        <v>0</v>
      </c>
      <c r="H53" s="39"/>
      <c r="I53" s="39">
        <f>I26/$E24*$E$51</f>
        <v>0</v>
      </c>
      <c r="J53" s="39"/>
      <c r="K53" s="39">
        <f>K26/$E24*$E$51</f>
        <v>0</v>
      </c>
      <c r="L53" s="39"/>
      <c r="M53" s="39">
        <f>M26/$E24*$E$51</f>
        <v>0</v>
      </c>
      <c r="N53" s="39"/>
      <c r="O53" s="39">
        <f>O26/$E24*$E$51</f>
        <v>0</v>
      </c>
      <c r="P53" s="39"/>
      <c r="Q53" s="39">
        <f>Q26/$E24*$E$51</f>
        <v>0</v>
      </c>
      <c r="R53" s="39"/>
      <c r="S53" s="39">
        <f>S26/$E24*$E$51</f>
        <v>853387.0592163379</v>
      </c>
      <c r="T53" s="39"/>
      <c r="U53" s="39">
        <f>U26/$E24*$E$51</f>
        <v>0</v>
      </c>
      <c r="V53" s="39"/>
      <c r="W53" s="39">
        <f>W26/$E24*$E$51</f>
        <v>569307.2829224333</v>
      </c>
      <c r="X53" s="39"/>
      <c r="Y53" s="39">
        <f>Y26/$E24*$E$51</f>
        <v>231247.56183352516</v>
      </c>
      <c r="Z53" s="39"/>
      <c r="AA53" s="39">
        <f>AA26/$E24*$E$51</f>
        <v>0</v>
      </c>
      <c r="AB53" s="39"/>
      <c r="AC53" s="39">
        <f>AC26/$E24*$E$51</f>
        <v>0</v>
      </c>
      <c r="AD53" s="39"/>
      <c r="AE53" s="39">
        <f>AE26/$E24*$E$51</f>
        <v>0</v>
      </c>
      <c r="AF53" s="39"/>
      <c r="AG53" s="39">
        <f>AG26/$E24*$E$51</f>
        <v>0</v>
      </c>
      <c r="AH53" s="9"/>
      <c r="AI53" s="39">
        <f>AI26/$E24*$E$51</f>
        <v>0</v>
      </c>
      <c r="AJ53" s="39"/>
      <c r="AK53" s="39">
        <f>AK26/$E24*$E$51</f>
        <v>0</v>
      </c>
      <c r="AL53" s="39"/>
      <c r="AM53" s="39">
        <f>AM26/$E24*$E$51</f>
        <v>0</v>
      </c>
      <c r="AN53" s="39"/>
      <c r="AO53" s="39">
        <f>AO26/$E24*$E$51</f>
        <v>0</v>
      </c>
      <c r="AP53" s="32"/>
      <c r="AQ53" s="68"/>
    </row>
    <row r="54" spans="1:43" ht="15">
      <c r="A54" s="15"/>
      <c r="B54" s="12" t="s">
        <v>149</v>
      </c>
      <c r="C54" s="39">
        <f>SUM(E54:AO54)</f>
        <v>-3.8198777474462986E-11</v>
      </c>
      <c r="D54" s="39"/>
      <c r="E54" s="39">
        <f>E27/$K$24*$K$51</f>
        <v>30645.607633752123</v>
      </c>
      <c r="F54" s="39"/>
      <c r="G54" s="39">
        <f>G27/$K$24*$K$51</f>
        <v>0</v>
      </c>
      <c r="H54" s="39"/>
      <c r="I54" s="39">
        <f>I27/$K$24*$K$51</f>
        <v>0</v>
      </c>
      <c r="J54" s="39"/>
      <c r="K54" s="39">
        <f>K27/$K$24*$K$51</f>
        <v>-479123.9998937683</v>
      </c>
      <c r="L54" s="39"/>
      <c r="M54" s="39">
        <f>M27/$K$24*$K$51</f>
        <v>0</v>
      </c>
      <c r="N54" s="39"/>
      <c r="O54" s="39">
        <f>O27/$K$24*$K$51</f>
        <v>0</v>
      </c>
      <c r="P54" s="39"/>
      <c r="Q54" s="39">
        <f>Q27/$K$24*$K$51</f>
        <v>0</v>
      </c>
      <c r="R54" s="39"/>
      <c r="S54" s="39">
        <f>S27/$K$24*$K$51</f>
        <v>268826.4439506473</v>
      </c>
      <c r="T54" s="39"/>
      <c r="U54" s="39">
        <f>U27/$K$24*$K$51</f>
        <v>0</v>
      </c>
      <c r="V54" s="39"/>
      <c r="W54" s="39">
        <f>W27/$K$24*$K$51</f>
        <v>164600.97080166976</v>
      </c>
      <c r="X54" s="39"/>
      <c r="Y54" s="39">
        <f>Y27/$K$24*$K$51</f>
        <v>15050.977507699068</v>
      </c>
      <c r="Z54" s="39"/>
      <c r="AA54" s="39">
        <f>AA27/$K$24*$K$51</f>
        <v>0</v>
      </c>
      <c r="AB54" s="39"/>
      <c r="AC54" s="39">
        <f>AC27/$K$24*$K$51</f>
        <v>0</v>
      </c>
      <c r="AD54" s="39"/>
      <c r="AE54" s="39">
        <f>AE27/$K$24*$K$51</f>
        <v>0</v>
      </c>
      <c r="AF54" s="39"/>
      <c r="AG54" s="39">
        <f>AG27/$K$24*$K$51</f>
        <v>0</v>
      </c>
      <c r="AH54" s="9"/>
      <c r="AI54" s="39">
        <f>AI27/$K$24*$K$51</f>
        <v>0</v>
      </c>
      <c r="AJ54" s="39"/>
      <c r="AK54" s="39">
        <f>AK27/$K$24*$K$51</f>
        <v>0</v>
      </c>
      <c r="AL54" s="39"/>
      <c r="AM54" s="39">
        <f>AM27/$K$24*$K$51</f>
        <v>0</v>
      </c>
      <c r="AN54" s="39"/>
      <c r="AO54" s="39">
        <f>AO27/$K$24*$K$51</f>
        <v>0</v>
      </c>
      <c r="AP54" s="32"/>
      <c r="AQ54" s="68"/>
    </row>
    <row r="55" spans="1:43" ht="15">
      <c r="A55" s="15"/>
      <c r="B55" s="12" t="s">
        <v>150</v>
      </c>
      <c r="C55" s="39">
        <f>SUM(E55:AO55)</f>
        <v>-1.4551915228366852E-10</v>
      </c>
      <c r="D55" s="39"/>
      <c r="E55" s="39">
        <f>E28/$K$24*$K$51</f>
        <v>6469.427747608941</v>
      </c>
      <c r="F55" s="39"/>
      <c r="G55" s="39">
        <f>G28/$K$24*$K$51</f>
        <v>0</v>
      </c>
      <c r="H55" s="39"/>
      <c r="I55" s="39">
        <f>I28/$K$24*$K$51</f>
        <v>0</v>
      </c>
      <c r="J55" s="39"/>
      <c r="K55" s="39">
        <f>K28/$K$24*$K$51</f>
        <v>-801299.1767367066</v>
      </c>
      <c r="L55" s="39"/>
      <c r="M55" s="39">
        <f>M28/$K$24*$K$51</f>
        <v>0</v>
      </c>
      <c r="N55" s="39"/>
      <c r="O55" s="39">
        <f>O28/$K$24*$K$51</f>
        <v>0</v>
      </c>
      <c r="P55" s="39"/>
      <c r="Q55" s="39">
        <f>Q28/$K$24*$K$51</f>
        <v>0</v>
      </c>
      <c r="R55" s="39"/>
      <c r="S55" s="39">
        <f>S28/$K$24*$K$51</f>
        <v>191384.46985497046</v>
      </c>
      <c r="T55" s="39"/>
      <c r="U55" s="39">
        <f>U28/$K$24*$K$51</f>
        <v>0</v>
      </c>
      <c r="V55" s="39"/>
      <c r="W55" s="39">
        <f>W28/$K$24*$K$51</f>
        <v>435987.43088068813</v>
      </c>
      <c r="X55" s="39"/>
      <c r="Y55" s="39">
        <f>Y28/$K$24*$K$51</f>
        <v>167457.84825343892</v>
      </c>
      <c r="Z55" s="39"/>
      <c r="AA55" s="39">
        <f>AA28/$K$24*$K$51</f>
        <v>0</v>
      </c>
      <c r="AB55" s="39"/>
      <c r="AC55" s="39">
        <f>AC28/$K$24*$K$51</f>
        <v>0</v>
      </c>
      <c r="AD55" s="39"/>
      <c r="AE55" s="39">
        <f>AE28/$K$24*$K$51</f>
        <v>0</v>
      </c>
      <c r="AF55" s="39"/>
      <c r="AG55" s="39">
        <f>AG28/$K$24*$K$51</f>
        <v>0</v>
      </c>
      <c r="AH55" s="9"/>
      <c r="AI55" s="39">
        <f>AI28/$K$24*$K$51</f>
        <v>0</v>
      </c>
      <c r="AJ55" s="39"/>
      <c r="AK55" s="39">
        <f>AK28/$K$24*$K$51</f>
        <v>0</v>
      </c>
      <c r="AL55" s="39"/>
      <c r="AM55" s="39">
        <f>AM28/$K$24*$K$51</f>
        <v>0</v>
      </c>
      <c r="AN55" s="39"/>
      <c r="AO55" s="39">
        <f>AO28/$K$24*$K$51</f>
        <v>0</v>
      </c>
      <c r="AP55" s="32"/>
      <c r="AQ55" s="68"/>
    </row>
    <row r="56" spans="1:43" ht="15">
      <c r="A56" s="15"/>
      <c r="B56" s="12" t="s">
        <v>151</v>
      </c>
      <c r="C56" s="39">
        <f>SUM(E56:AO56)</f>
        <v>-4.656612873077393E-10</v>
      </c>
      <c r="D56" s="39"/>
      <c r="E56" s="39">
        <f>E29/$S$24*$S$51</f>
        <v>0</v>
      </c>
      <c r="F56" s="39"/>
      <c r="G56" s="39">
        <f>G29/$S$24*$S$51</f>
        <v>0</v>
      </c>
      <c r="H56" s="39"/>
      <c r="I56" s="39">
        <f>I29/$S$24*$S$51</f>
        <v>0</v>
      </c>
      <c r="J56" s="39"/>
      <c r="K56" s="39">
        <f>K29/$S$24*$S$51</f>
        <v>0</v>
      </c>
      <c r="L56" s="39"/>
      <c r="M56" s="39">
        <f>M29/$S$24*$S$51</f>
        <v>0</v>
      </c>
      <c r="N56" s="39"/>
      <c r="O56" s="39">
        <f>O29/$S$24*$S$51</f>
        <v>0</v>
      </c>
      <c r="P56" s="39"/>
      <c r="Q56" s="39">
        <f>Q29/$S$24*$S$51</f>
        <v>785942.7307373018</v>
      </c>
      <c r="R56" s="39"/>
      <c r="S56" s="39">
        <f>S29/$S$24*$S$51</f>
        <v>-2846507.9713015966</v>
      </c>
      <c r="T56" s="39"/>
      <c r="U56" s="39">
        <f>U29/$S$24*$S$51</f>
        <v>0</v>
      </c>
      <c r="V56" s="39"/>
      <c r="W56" s="39">
        <f>W29/$S$24*$S$51</f>
        <v>2060565.2405642944</v>
      </c>
      <c r="X56" s="39"/>
      <c r="Y56" s="39">
        <f>Y29/$S$24*$S$51</f>
        <v>0</v>
      </c>
      <c r="Z56" s="39"/>
      <c r="AA56" s="39">
        <f>AA29/$S$24*$S$51</f>
        <v>0</v>
      </c>
      <c r="AB56" s="39"/>
      <c r="AC56" s="39">
        <f>AC29/$S$24*$S$51</f>
        <v>0</v>
      </c>
      <c r="AD56" s="39"/>
      <c r="AE56" s="39">
        <f>AE29/$S$24*$S$51</f>
        <v>0</v>
      </c>
      <c r="AF56" s="39"/>
      <c r="AG56" s="39">
        <f>AG29/$S$24*$S$51</f>
        <v>0</v>
      </c>
      <c r="AH56" s="9"/>
      <c r="AI56" s="39">
        <f>AI29/$S$24*$S$51</f>
        <v>0</v>
      </c>
      <c r="AJ56" s="39"/>
      <c r="AK56" s="39">
        <f>AK29/$S$24*$S$51</f>
        <v>0</v>
      </c>
      <c r="AL56" s="39"/>
      <c r="AM56" s="39">
        <f>AM29/$S$24*$S$51</f>
        <v>0</v>
      </c>
      <c r="AN56" s="39"/>
      <c r="AO56" s="39">
        <f>AO29/$S$24*$S$51</f>
        <v>0</v>
      </c>
      <c r="AP56" s="32"/>
      <c r="AQ56" s="68"/>
    </row>
    <row r="57" spans="1:43" ht="17.25">
      <c r="A57" s="15"/>
      <c r="B57" s="12" t="s">
        <v>152</v>
      </c>
      <c r="C57" s="85">
        <f>SUM(E57:AO57)</f>
        <v>1.862645149230957E-09</v>
      </c>
      <c r="D57" s="85"/>
      <c r="E57" s="85">
        <f>E30/$S$24*$S$51</f>
        <v>0</v>
      </c>
      <c r="F57" s="85"/>
      <c r="G57" s="85">
        <f>G30/$S$24*$S$51</f>
        <v>0</v>
      </c>
      <c r="H57" s="85"/>
      <c r="I57" s="85">
        <f>I30/$S$24*$S$51</f>
        <v>0</v>
      </c>
      <c r="J57" s="85"/>
      <c r="K57" s="85">
        <f>K30/$S$24*$S$51</f>
        <v>0</v>
      </c>
      <c r="L57" s="85"/>
      <c r="M57" s="85">
        <f>M30/$S$24*$S$51</f>
        <v>0</v>
      </c>
      <c r="N57" s="85"/>
      <c r="O57" s="85">
        <f>O30/$S$24*$S$51</f>
        <v>0</v>
      </c>
      <c r="P57" s="85"/>
      <c r="Q57" s="85">
        <f>Q30/$S$24*$S$51</f>
        <v>283546.3619896558</v>
      </c>
      <c r="R57" s="85"/>
      <c r="S57" s="85">
        <f>S30/$S$24*$S$51</f>
        <v>-6387315.651769505</v>
      </c>
      <c r="T57" s="85"/>
      <c r="U57" s="85">
        <f>U30/$S$24*$S$51</f>
        <v>0</v>
      </c>
      <c r="V57" s="85"/>
      <c r="W57" s="85">
        <f>W30/$S$24*$S$51</f>
        <v>6103769.289779851</v>
      </c>
      <c r="X57" s="85"/>
      <c r="Y57" s="85">
        <f>Y30/$S$24*$S$51</f>
        <v>0</v>
      </c>
      <c r="Z57" s="85"/>
      <c r="AA57" s="85">
        <f>AA30/$S$24*$S$51</f>
        <v>0</v>
      </c>
      <c r="AB57" s="85"/>
      <c r="AC57" s="85">
        <f>AC30/$S$24*$S$51</f>
        <v>0</v>
      </c>
      <c r="AD57" s="85"/>
      <c r="AE57" s="85">
        <f>AE30/$S$24*$S$51</f>
        <v>0</v>
      </c>
      <c r="AF57" s="85"/>
      <c r="AG57" s="85">
        <f>AG30/$S$24*$S$51</f>
        <v>0</v>
      </c>
      <c r="AH57" s="86"/>
      <c r="AI57" s="85">
        <f>AI30/$S$24*$S$51</f>
        <v>0</v>
      </c>
      <c r="AJ57" s="85"/>
      <c r="AK57" s="85">
        <f>AK30/$S$24*$S$51</f>
        <v>0</v>
      </c>
      <c r="AL57" s="85"/>
      <c r="AM57" s="85">
        <f>AM30/$S$24*$S$51</f>
        <v>0</v>
      </c>
      <c r="AN57" s="85"/>
      <c r="AO57" s="85">
        <f>AO30/$S$24*$S$51</f>
        <v>0</v>
      </c>
      <c r="AP57" s="32"/>
      <c r="AQ57" s="68"/>
    </row>
    <row r="58" spans="1:43" ht="15">
      <c r="A58" s="15"/>
      <c r="B58" s="12" t="s">
        <v>153</v>
      </c>
      <c r="C58" s="39">
        <f>ROUND(SUM(C53:C57),0)</f>
        <v>0</v>
      </c>
      <c r="D58" s="39"/>
      <c r="E58" s="39">
        <f>ROUND(SUM(E53:E57),0)</f>
        <v>-1616827</v>
      </c>
      <c r="F58" s="39"/>
      <c r="G58" s="39">
        <f>ROUND(SUM(G53:G57),0)</f>
        <v>0</v>
      </c>
      <c r="H58" s="39"/>
      <c r="I58" s="39">
        <f>ROUND(SUM(I53:I57),0)</f>
        <v>0</v>
      </c>
      <c r="J58" s="39"/>
      <c r="K58" s="39">
        <f>ROUND(SUM(K53:K57),0)</f>
        <v>-1280423</v>
      </c>
      <c r="L58" s="39"/>
      <c r="M58" s="39">
        <f>ROUND(SUM(M53:M57),0)</f>
        <v>0</v>
      </c>
      <c r="N58" s="39"/>
      <c r="O58" s="39">
        <f>ROUND(SUM(O53:O57),0)</f>
        <v>0</v>
      </c>
      <c r="P58" s="39"/>
      <c r="Q58" s="39">
        <f>ROUND(SUM(Q53:Q57),0)</f>
        <v>1069489</v>
      </c>
      <c r="R58" s="39"/>
      <c r="S58" s="39">
        <f>ROUND(SUM(S53:S57),0)</f>
        <v>-7920226</v>
      </c>
      <c r="T58" s="39"/>
      <c r="U58" s="39">
        <f>ROUND(SUM(U53:U57),0)</f>
        <v>0</v>
      </c>
      <c r="V58" s="39"/>
      <c r="W58" s="39">
        <f>ROUND(SUM(W53:W57),0)</f>
        <v>9334230</v>
      </c>
      <c r="X58" s="39"/>
      <c r="Y58" s="39">
        <f>ROUND(SUM(Y53:Y57),0)</f>
        <v>413756</v>
      </c>
      <c r="Z58" s="39"/>
      <c r="AA58" s="39">
        <f>ROUND(SUM(AA53:AA57),0)</f>
        <v>0</v>
      </c>
      <c r="AB58" s="39"/>
      <c r="AC58" s="39">
        <f>ROUND(SUM(AC53:AC57),0)</f>
        <v>0</v>
      </c>
      <c r="AD58" s="9"/>
      <c r="AE58" s="39">
        <f>ROUND(SUM(AE53:AE57),0)</f>
        <v>0</v>
      </c>
      <c r="AF58" s="39"/>
      <c r="AG58" s="39">
        <f>ROUND(SUM(AG53:AG57),0)</f>
        <v>0</v>
      </c>
      <c r="AH58" s="9"/>
      <c r="AI58" s="39">
        <f>ROUND(SUM(AI53:AI57),0)</f>
        <v>0</v>
      </c>
      <c r="AJ58" s="9"/>
      <c r="AK58" s="39">
        <f>ROUND(SUM(AK53:AK57),0)</f>
        <v>0</v>
      </c>
      <c r="AL58" s="9"/>
      <c r="AM58" s="39">
        <f>ROUND(SUM(AM53:AM57),0)</f>
        <v>0</v>
      </c>
      <c r="AN58" s="9"/>
      <c r="AO58" s="39">
        <f>ROUND(SUM(AO53:AO57),0)</f>
        <v>0</v>
      </c>
      <c r="AP58" s="32"/>
      <c r="AQ58" s="68"/>
    </row>
    <row r="59" spans="1:43" ht="30.75" customHeight="1">
      <c r="A59" s="15"/>
      <c r="B59" s="12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9"/>
      <c r="AE59" s="39"/>
      <c r="AF59" s="39"/>
      <c r="AG59" s="9"/>
      <c r="AH59" s="9"/>
      <c r="AI59" s="9"/>
      <c r="AJ59" s="9"/>
      <c r="AK59" s="9"/>
      <c r="AL59" s="9"/>
      <c r="AM59" s="9"/>
      <c r="AN59" s="9"/>
      <c r="AO59" s="9"/>
      <c r="AP59" s="31"/>
      <c r="AQ59" s="69"/>
    </row>
    <row r="60" spans="1:68" ht="15">
      <c r="A60" s="15"/>
      <c r="B60" s="12" t="s">
        <v>154</v>
      </c>
      <c r="C60" s="39">
        <f>+C58+C51</f>
        <v>150893510.65169108</v>
      </c>
      <c r="D60" s="39"/>
      <c r="E60" s="39">
        <f>+E58+E51</f>
        <v>17613311.125313114</v>
      </c>
      <c r="F60" s="39"/>
      <c r="G60" s="39">
        <f>+G58+G51</f>
        <v>0</v>
      </c>
      <c r="H60" s="39"/>
      <c r="I60" s="39">
        <f>+I58+I51</f>
        <v>0</v>
      </c>
      <c r="J60" s="39"/>
      <c r="K60" s="39">
        <f>ROUND(+K58+K51,0)</f>
        <v>0</v>
      </c>
      <c r="L60" s="39"/>
      <c r="M60" s="39">
        <f>+M58+M51</f>
        <v>157300.51540154777</v>
      </c>
      <c r="N60" s="39"/>
      <c r="O60" s="39">
        <f>+O58+O51</f>
        <v>0</v>
      </c>
      <c r="P60" s="39"/>
      <c r="Q60" s="39">
        <f>+Q58+Q51</f>
        <v>1612357.8790144403</v>
      </c>
      <c r="R60" s="39"/>
      <c r="S60" s="39">
        <f>+S58+S51</f>
        <v>13542236.225405112</v>
      </c>
      <c r="T60" s="39"/>
      <c r="U60" s="39">
        <f>+U58+U51</f>
        <v>0</v>
      </c>
      <c r="V60" s="39"/>
      <c r="W60" s="39">
        <f>+W58+W51</f>
        <v>23947912.56008207</v>
      </c>
      <c r="X60" s="39"/>
      <c r="Y60" s="39">
        <f>+Y58+Y51</f>
        <v>13593474.337951422</v>
      </c>
      <c r="Z60" s="39"/>
      <c r="AA60" s="39">
        <f>+AA58+AA51</f>
        <v>7494403.433060095</v>
      </c>
      <c r="AB60" s="39"/>
      <c r="AC60" s="39">
        <f>+AC58+AC51</f>
        <v>11490342.909873236</v>
      </c>
      <c r="AD60" s="9"/>
      <c r="AE60" s="39">
        <f>+AE58+AE51</f>
        <v>5124865.751563903</v>
      </c>
      <c r="AF60" s="39"/>
      <c r="AG60" s="39">
        <f>+AG58+AG51</f>
        <v>14265719.504763521</v>
      </c>
      <c r="AH60" s="9"/>
      <c r="AI60" s="39">
        <f>+AI58+AI51</f>
        <v>14267525.932844575</v>
      </c>
      <c r="AJ60" s="9"/>
      <c r="AK60" s="39">
        <f>+AK58+AK51</f>
        <v>71897.49746557928</v>
      </c>
      <c r="AL60" s="9"/>
      <c r="AM60" s="39">
        <f>+AM58+AM51</f>
        <v>231613.83194444442</v>
      </c>
      <c r="AN60" s="9"/>
      <c r="AO60" s="39">
        <f>+AO58+AO51</f>
        <v>27480547.966550022</v>
      </c>
      <c r="AP60" s="20"/>
      <c r="AQ60" s="42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</row>
    <row r="61" spans="1:43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58"/>
    </row>
    <row r="62" spans="1:43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58"/>
    </row>
    <row r="63" spans="1:43" ht="15">
      <c r="A63" s="8"/>
      <c r="B63" s="82" t="s">
        <v>159</v>
      </c>
      <c r="C63" s="8"/>
      <c r="D63" s="8"/>
      <c r="E63" s="121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58"/>
    </row>
    <row r="64" spans="1:43" ht="15">
      <c r="A64" s="8"/>
      <c r="B64" s="8" t="s">
        <v>176</v>
      </c>
      <c r="C64" s="39">
        <f>SUM(E64:AO64)</f>
        <v>-37328782.75809501</v>
      </c>
      <c r="D64" s="39"/>
      <c r="E64" s="100">
        <v>0</v>
      </c>
      <c r="F64" s="39"/>
      <c r="G64" s="100">
        <v>0</v>
      </c>
      <c r="H64" s="39"/>
      <c r="I64" s="100">
        <v>0</v>
      </c>
      <c r="J64" s="39"/>
      <c r="K64" s="100">
        <v>0</v>
      </c>
      <c r="L64" s="39"/>
      <c r="M64" s="100">
        <v>0</v>
      </c>
      <c r="N64" s="39"/>
      <c r="O64" s="100">
        <v>0</v>
      </c>
      <c r="P64" s="39"/>
      <c r="Q64" s="100">
        <v>0</v>
      </c>
      <c r="R64" s="39"/>
      <c r="S64" s="100">
        <v>0</v>
      </c>
      <c r="T64" s="39"/>
      <c r="U64" s="100">
        <v>0</v>
      </c>
      <c r="V64" s="39"/>
      <c r="W64" s="100">
        <v>0</v>
      </c>
      <c r="X64" s="39"/>
      <c r="Y64" s="100">
        <v>0</v>
      </c>
      <c r="Z64" s="39"/>
      <c r="AA64" s="100">
        <v>0</v>
      </c>
      <c r="AB64" s="39"/>
      <c r="AC64" s="100">
        <v>0</v>
      </c>
      <c r="AD64" s="39"/>
      <c r="AE64" s="100">
        <v>0</v>
      </c>
      <c r="AF64" s="39"/>
      <c r="AG64" s="39">
        <v>-4822299.8582744775</v>
      </c>
      <c r="AH64" s="9"/>
      <c r="AI64" s="39">
        <v>-14267525.843481299</v>
      </c>
      <c r="AJ64" s="39"/>
      <c r="AK64" s="100">
        <v>0</v>
      </c>
      <c r="AL64" s="39"/>
      <c r="AM64" s="100">
        <v>0</v>
      </c>
      <c r="AN64" s="39"/>
      <c r="AO64" s="39">
        <v>-18238957.05633923</v>
      </c>
      <c r="AP64" s="8"/>
      <c r="AQ64" s="58"/>
    </row>
    <row r="65" spans="1:43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58"/>
    </row>
    <row r="66" spans="1:43" ht="15">
      <c r="A66" s="8"/>
      <c r="B66" s="8" t="s">
        <v>177</v>
      </c>
      <c r="C66" s="39">
        <f>SUM(E66:AO66)</f>
        <v>113564726.71313807</v>
      </c>
      <c r="D66" s="39"/>
      <c r="E66" s="39">
        <f>+E64+E60</f>
        <v>17613311.125313114</v>
      </c>
      <c r="F66" s="39"/>
      <c r="G66" s="39">
        <f>+G64+G60</f>
        <v>0</v>
      </c>
      <c r="H66" s="39"/>
      <c r="I66" s="39">
        <f>+I64+I60</f>
        <v>0</v>
      </c>
      <c r="J66" s="39"/>
      <c r="K66" s="39">
        <f>+K64+K60</f>
        <v>0</v>
      </c>
      <c r="L66" s="39"/>
      <c r="M66" s="39">
        <f>+M64+M60</f>
        <v>157300.51540154777</v>
      </c>
      <c r="N66" s="39"/>
      <c r="O66" s="39">
        <f>+O64+O60</f>
        <v>0</v>
      </c>
      <c r="P66" s="39"/>
      <c r="Q66" s="39">
        <f>+Q64+Q60</f>
        <v>1612357.8790144403</v>
      </c>
      <c r="R66" s="39"/>
      <c r="S66" s="39">
        <f>+S64+S60</f>
        <v>13542236.225405112</v>
      </c>
      <c r="T66" s="39"/>
      <c r="U66" s="39">
        <f>+U64+U60</f>
        <v>0</v>
      </c>
      <c r="V66" s="39"/>
      <c r="W66" s="39">
        <f>+W64+W60</f>
        <v>23947912.56008207</v>
      </c>
      <c r="X66" s="39"/>
      <c r="Y66" s="39">
        <f>+Y64+Y60</f>
        <v>13593474.337951422</v>
      </c>
      <c r="Z66" s="39"/>
      <c r="AA66" s="39">
        <f>+AA64+AA60</f>
        <v>7494403.433060095</v>
      </c>
      <c r="AB66" s="39"/>
      <c r="AC66" s="39">
        <f>+AC64+AC60</f>
        <v>11490342.909873236</v>
      </c>
      <c r="AD66" s="39"/>
      <c r="AE66" s="39">
        <f>+AE64+AE60</f>
        <v>5124865.751563903</v>
      </c>
      <c r="AF66" s="39"/>
      <c r="AG66" s="39">
        <f>+AG64+AG60</f>
        <v>9443419.646489043</v>
      </c>
      <c r="AH66" s="39"/>
      <c r="AI66" s="39">
        <f>+AI64+AI60</f>
        <v>0.08936327695846558</v>
      </c>
      <c r="AJ66" s="39"/>
      <c r="AK66" s="39">
        <f>+AK64+AK60</f>
        <v>71897.49746557928</v>
      </c>
      <c r="AL66" s="39"/>
      <c r="AM66" s="39">
        <f>+AM64+AM60</f>
        <v>231613.83194444442</v>
      </c>
      <c r="AN66" s="39"/>
      <c r="AO66" s="39">
        <f>+AO64+AO60</f>
        <v>9241590.910210792</v>
      </c>
      <c r="AP66" s="8"/>
      <c r="AQ66" s="58"/>
    </row>
    <row r="67" spans="1:43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58"/>
    </row>
    <row r="68" spans="1:43" ht="15">
      <c r="A68" s="8"/>
      <c r="B68" s="8"/>
      <c r="C68" s="39">
        <v>109178503.84999184</v>
      </c>
      <c r="D68" s="39"/>
      <c r="E68" s="39">
        <v>17613311.125313114</v>
      </c>
      <c r="F68" s="39"/>
      <c r="G68" s="39">
        <v>0</v>
      </c>
      <c r="H68" s="39"/>
      <c r="I68" s="39">
        <v>0</v>
      </c>
      <c r="J68" s="39"/>
      <c r="K68" s="39">
        <v>0</v>
      </c>
      <c r="L68" s="39"/>
      <c r="M68" s="39">
        <v>157300.51540154777</v>
      </c>
      <c r="N68" s="39"/>
      <c r="O68" s="39">
        <v>0</v>
      </c>
      <c r="P68" s="39"/>
      <c r="Q68" s="39">
        <v>1612357.8790144403</v>
      </c>
      <c r="R68" s="39"/>
      <c r="S68" s="39">
        <v>13542236.225405112</v>
      </c>
      <c r="T68" s="39"/>
      <c r="U68" s="39">
        <v>0</v>
      </c>
      <c r="V68" s="39"/>
      <c r="W68" s="39">
        <v>23947912.56008207</v>
      </c>
      <c r="X68" s="39"/>
      <c r="Y68" s="39">
        <v>13593474.337951422</v>
      </c>
      <c r="Z68" s="39"/>
      <c r="AA68" s="39">
        <v>7494403.433060095</v>
      </c>
      <c r="AB68" s="39"/>
      <c r="AC68" s="39">
        <v>11490342.909873236</v>
      </c>
      <c r="AD68" s="9"/>
      <c r="AE68" s="39">
        <v>4060726.5833333335</v>
      </c>
      <c r="AF68" s="39"/>
      <c r="AG68" s="39">
        <v>7372463.583333334</v>
      </c>
      <c r="AH68" s="9"/>
      <c r="AI68" s="39">
        <v>0.08366666734218597</v>
      </c>
      <c r="AJ68" s="9"/>
      <c r="AK68" s="39">
        <v>71897.49746557928</v>
      </c>
      <c r="AL68" s="9"/>
      <c r="AM68" s="39">
        <v>231613.83194444442</v>
      </c>
      <c r="AN68" s="9"/>
      <c r="AO68" s="39">
        <v>7990462.1036894955</v>
      </c>
      <c r="AP68" s="8"/>
      <c r="AQ68" s="58"/>
    </row>
    <row r="69" spans="1:43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58"/>
    </row>
    <row r="70" spans="1:43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58"/>
    </row>
    <row r="71" spans="1:43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58"/>
    </row>
    <row r="72" spans="1:43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58"/>
    </row>
    <row r="73" spans="1:43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58"/>
    </row>
    <row r="74" spans="1:43" ht="15">
      <c r="A74" s="8"/>
      <c r="B74" s="82" t="s">
        <v>213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58"/>
    </row>
    <row r="75" spans="1:43" ht="15">
      <c r="A75" s="8"/>
      <c r="B75" s="12" t="s">
        <v>147</v>
      </c>
      <c r="C75" s="39">
        <f>SUM(E75:AO75)</f>
        <v>85557628.5811033</v>
      </c>
      <c r="D75" s="39"/>
      <c r="E75" s="39">
        <f>+'[2]6-30-08 Total Company 01'!$B5</f>
        <v>13540982.630906796</v>
      </c>
      <c r="F75" s="39"/>
      <c r="G75" s="39">
        <v>0</v>
      </c>
      <c r="H75" s="39"/>
      <c r="I75" s="39">
        <f>+'[2]6-30-08 Total Company 01'!$B6</f>
        <v>0</v>
      </c>
      <c r="J75" s="39"/>
      <c r="K75" s="39">
        <f>+'[2]6-30-08 Total Company 01'!$B$7+'[2]6-30-08 Total Company 01'!$B$8</f>
        <v>854610.7093293502</v>
      </c>
      <c r="L75" s="39"/>
      <c r="M75" s="39">
        <f>+'[2]6-30-08 Total Company 01'!$B$23+'[2]6-30-08 Total Company 01'!$B$24</f>
        <v>82171.21933301409</v>
      </c>
      <c r="N75" s="39"/>
      <c r="O75" s="39">
        <f>+'[2]6-30-08 Total Company 01'!$B$9+'[2]6-30-08 Total Company 01'!$B$10</f>
        <v>0</v>
      </c>
      <c r="P75" s="39"/>
      <c r="Q75" s="39">
        <f>+'[2]6-30-08 Total Company 01'!$B$11+'[2]6-30-08 Total Company 01'!$B$12</f>
        <v>331030.33969983336</v>
      </c>
      <c r="R75" s="39"/>
      <c r="S75" s="39">
        <f>+'[2]6-30-08 Total Company 01'!$B$13+'[2]6-30-08 Total Company 01'!$B$14</f>
        <v>12306894.281236088</v>
      </c>
      <c r="T75" s="39"/>
      <c r="U75" s="39">
        <v>0</v>
      </c>
      <c r="V75" s="39"/>
      <c r="W75" s="39">
        <f>+'[2]6-30-08 Total Company 01'!$B$15+'[2]6-30-08 Total Company 01'!$B$16</f>
        <v>8281008.335835134</v>
      </c>
      <c r="X75" s="39"/>
      <c r="Y75" s="39">
        <f>+'[2]6-30-08 Total Company 01'!$B$17+'[2]6-30-08 Total Company 01'!$B$18</f>
        <v>7087106.856220434</v>
      </c>
      <c r="Z75" s="39"/>
      <c r="AA75" s="39">
        <f>+'[2]6-30-08 Total Company 01'!$B$19+'[2]6-30-08 Total Company 01'!$B$20</f>
        <v>3888600.4830600945</v>
      </c>
      <c r="AB75" s="39"/>
      <c r="AC75" s="39">
        <f>+'[2]6-30-08 Total Company 01'!$B$21+'[2]6-30-08 Total Company 01'!$B$22</f>
        <v>6027183.301539903</v>
      </c>
      <c r="AD75" s="39"/>
      <c r="AE75" s="39">
        <f>+'[2]6-30-08 Total Company 01'!$B$29</f>
        <v>4256556.672922276</v>
      </c>
      <c r="AF75" s="39"/>
      <c r="AG75" s="39">
        <f>+'[2]6-30-08 Total Company 01'!$B$30</f>
        <v>12241373.68572075</v>
      </c>
      <c r="AH75" s="9"/>
      <c r="AI75" s="39">
        <f>+'[2]6-30-08 Total Company 01'!$B$31</f>
        <v>6402662.396711641</v>
      </c>
      <c r="AJ75" s="39"/>
      <c r="AK75" s="39">
        <f>+'[2]6-30-08 Total Company 01'!$B$25+'[2]6-30-08 Total Company 01'!$B$26</f>
        <v>36175.13558788515</v>
      </c>
      <c r="AL75" s="39"/>
      <c r="AM75" s="39">
        <f>+'[2]6-30-08 Total Company 01'!$B$27+'[2]6-30-08 Total Company 01'!$B$28</f>
        <v>99744.66666666669</v>
      </c>
      <c r="AN75" s="39"/>
      <c r="AO75" s="39">
        <f>+'[2]6-30-08 Total Company 01'!$B$32</f>
        <v>10121527.866333429</v>
      </c>
      <c r="AP75" s="8"/>
      <c r="AQ75" s="58"/>
    </row>
    <row r="76" spans="1:43" ht="15">
      <c r="A76" s="8"/>
      <c r="B76" s="12"/>
      <c r="C76" s="39"/>
      <c r="D76" s="39"/>
      <c r="E76" s="94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9"/>
      <c r="AI76" s="39"/>
      <c r="AJ76" s="39"/>
      <c r="AK76" s="39"/>
      <c r="AL76" s="39"/>
      <c r="AM76" s="39"/>
      <c r="AN76" s="39"/>
      <c r="AO76" s="39"/>
      <c r="AP76" s="8"/>
      <c r="AQ76" s="58"/>
    </row>
    <row r="77" spans="1:43" ht="15">
      <c r="A77" s="8"/>
      <c r="B77" s="12" t="s">
        <v>148</v>
      </c>
      <c r="C77" s="39">
        <f>SUM(E77:AO77)</f>
        <v>-1.4551915228366852E-10</v>
      </c>
      <c r="D77" s="39"/>
      <c r="E77" s="39">
        <f>E26/$E24*$E$75</f>
        <v>-1164630.1471302158</v>
      </c>
      <c r="F77" s="39"/>
      <c r="G77" s="39">
        <f>G26/$E24*$E$75</f>
        <v>0</v>
      </c>
      <c r="H77" s="39"/>
      <c r="I77" s="39">
        <f>I26/$E24*$E$75</f>
        <v>0</v>
      </c>
      <c r="J77" s="39"/>
      <c r="K77" s="39">
        <f>K26/$E24*$E$75</f>
        <v>0</v>
      </c>
      <c r="L77" s="39"/>
      <c r="M77" s="39">
        <f>M26/$E24*$E$75</f>
        <v>0</v>
      </c>
      <c r="N77" s="39"/>
      <c r="O77" s="39">
        <f>O26/$E24*$E$75</f>
        <v>0</v>
      </c>
      <c r="P77" s="39"/>
      <c r="Q77" s="39">
        <f>Q26/$E24*$E$75</f>
        <v>0</v>
      </c>
      <c r="R77" s="39"/>
      <c r="S77" s="39">
        <f>S26/$E24*$E$75</f>
        <v>600916.0865609178</v>
      </c>
      <c r="T77" s="39"/>
      <c r="U77" s="39">
        <f>U26/$E24*$E$75</f>
        <v>0</v>
      </c>
      <c r="V77" s="39"/>
      <c r="W77" s="39">
        <f>W26/$E24*$E$75</f>
        <v>400880.11742119974</v>
      </c>
      <c r="X77" s="39"/>
      <c r="Y77" s="39">
        <f>Y26/$E24*$E$75</f>
        <v>162833.9431480981</v>
      </c>
      <c r="Z77" s="39"/>
      <c r="AA77" s="39">
        <f>AA26/$E24*$E$75</f>
        <v>0</v>
      </c>
      <c r="AB77" s="39"/>
      <c r="AC77" s="39">
        <f>AC26/$E24*$E$75</f>
        <v>0</v>
      </c>
      <c r="AD77" s="39"/>
      <c r="AE77" s="39">
        <f>AE26/$E24*$E$75</f>
        <v>0</v>
      </c>
      <c r="AF77" s="39"/>
      <c r="AG77" s="39">
        <f>AG26/$E24*$E$75</f>
        <v>0</v>
      </c>
      <c r="AH77" s="9"/>
      <c r="AI77" s="39">
        <f>AI26/$E24*$E$75</f>
        <v>0</v>
      </c>
      <c r="AJ77" s="39"/>
      <c r="AK77" s="39">
        <f>AK26/$E24*$E$75</f>
        <v>0</v>
      </c>
      <c r="AL77" s="39"/>
      <c r="AM77" s="39">
        <f>AM26/$E24*$E$75</f>
        <v>0</v>
      </c>
      <c r="AN77" s="39"/>
      <c r="AO77" s="39">
        <f>AO26/$E24*$E$75</f>
        <v>0</v>
      </c>
      <c r="AP77" s="8"/>
      <c r="AQ77" s="58"/>
    </row>
    <row r="78" spans="1:43" ht="15">
      <c r="A78" s="8"/>
      <c r="B78" s="12" t="s">
        <v>149</v>
      </c>
      <c r="C78" s="39">
        <f>SUM(E78:AO78)</f>
        <v>-6.002665031701326E-11</v>
      </c>
      <c r="D78" s="39"/>
      <c r="E78" s="39">
        <f>E27/$K24*$K$75</f>
        <v>20454.225507181556</v>
      </c>
      <c r="F78" s="39"/>
      <c r="G78" s="39">
        <f>G27/$K24*$K$75</f>
        <v>0</v>
      </c>
      <c r="H78" s="39"/>
      <c r="I78" s="39">
        <f>I27/$K24*$K$75</f>
        <v>0</v>
      </c>
      <c r="J78" s="39"/>
      <c r="K78" s="39">
        <f>K27/$K24*$K$75</f>
        <v>-319788.41656043497</v>
      </c>
      <c r="L78" s="39"/>
      <c r="M78" s="39">
        <f>M27/$K24*$K$75</f>
        <v>0</v>
      </c>
      <c r="N78" s="39"/>
      <c r="O78" s="39">
        <f>O27/$K24*$K$75</f>
        <v>0</v>
      </c>
      <c r="P78" s="39"/>
      <c r="Q78" s="39">
        <f>Q27/$K24*$K$75</f>
        <v>0</v>
      </c>
      <c r="R78" s="39"/>
      <c r="S78" s="39">
        <f>S27/$K24*$K$75</f>
        <v>179426.58447418793</v>
      </c>
      <c r="T78" s="39"/>
      <c r="U78" s="39">
        <f>U27/$K24*$K$75</f>
        <v>0</v>
      </c>
      <c r="V78" s="39"/>
      <c r="W78" s="39">
        <f>W27/$K24*$K$75</f>
        <v>109861.92265185458</v>
      </c>
      <c r="X78" s="39"/>
      <c r="Y78" s="39">
        <f>Y27/$K24*$K$75</f>
        <v>10045.683927210861</v>
      </c>
      <c r="Z78" s="39"/>
      <c r="AA78" s="39">
        <f>AA27/$K24*$K$75</f>
        <v>0</v>
      </c>
      <c r="AB78" s="39"/>
      <c r="AC78" s="39">
        <f>AC27/$K24*$K$75</f>
        <v>0</v>
      </c>
      <c r="AD78" s="39"/>
      <c r="AE78" s="39">
        <f>AE27/$K24*$K$75</f>
        <v>0</v>
      </c>
      <c r="AF78" s="39"/>
      <c r="AG78" s="39">
        <f>AG27/$K24*$K$75</f>
        <v>0</v>
      </c>
      <c r="AH78" s="9"/>
      <c r="AI78" s="39">
        <f>AI27/$K24*$K$75</f>
        <v>0</v>
      </c>
      <c r="AJ78" s="39"/>
      <c r="AK78" s="39">
        <f>AK27/$K24*$K$75</f>
        <v>0</v>
      </c>
      <c r="AL78" s="39"/>
      <c r="AM78" s="39">
        <f>AM27/$K24*$K$75</f>
        <v>0</v>
      </c>
      <c r="AN78" s="39"/>
      <c r="AO78" s="39">
        <f>AO27/$K24*$K$75</f>
        <v>0</v>
      </c>
      <c r="AP78" s="8"/>
      <c r="AQ78" s="58"/>
    </row>
    <row r="79" spans="1:43" ht="15">
      <c r="A79" s="8"/>
      <c r="B79" s="12" t="s">
        <v>150</v>
      </c>
      <c r="C79" s="39">
        <f>SUM(E79:AO79)</f>
        <v>-1.0186340659856796E-10</v>
      </c>
      <c r="D79" s="39"/>
      <c r="E79" s="39">
        <f>E28/$K24*$K$75</f>
        <v>4317.980430783494</v>
      </c>
      <c r="F79" s="39"/>
      <c r="G79" s="39">
        <f>G28/$K24*$K$75</f>
        <v>0</v>
      </c>
      <c r="H79" s="39"/>
      <c r="I79" s="39">
        <f>I28/$K24*$K$75</f>
        <v>0</v>
      </c>
      <c r="J79" s="39"/>
      <c r="K79" s="39">
        <f>K28/$K24*$K$75</f>
        <v>-534822.2902142798</v>
      </c>
      <c r="L79" s="39"/>
      <c r="M79" s="39">
        <f>M28/$K24*$K$75</f>
        <v>0</v>
      </c>
      <c r="N79" s="39"/>
      <c r="O79" s="39">
        <f>O28/$K24*$K$75</f>
        <v>0</v>
      </c>
      <c r="P79" s="39"/>
      <c r="Q79" s="39">
        <f>Q28/$K24*$K$75</f>
        <v>0</v>
      </c>
      <c r="R79" s="39"/>
      <c r="S79" s="39">
        <f>S28/$K24*$K$75</f>
        <v>127738.40714042538</v>
      </c>
      <c r="T79" s="39"/>
      <c r="U79" s="39">
        <f>U28/$K24*$K$75</f>
        <v>0</v>
      </c>
      <c r="V79" s="39"/>
      <c r="W79" s="39">
        <f>W28/$K24*$K$75</f>
        <v>290997.17441100936</v>
      </c>
      <c r="X79" s="39"/>
      <c r="Y79" s="39">
        <f>Y28/$K24*$K$75</f>
        <v>111768.72823206145</v>
      </c>
      <c r="Z79" s="39"/>
      <c r="AA79" s="39">
        <f>AA28/$K24*$K$75</f>
        <v>0</v>
      </c>
      <c r="AB79" s="39"/>
      <c r="AC79" s="39">
        <f>AC28/$K24*$K$75</f>
        <v>0</v>
      </c>
      <c r="AD79" s="39"/>
      <c r="AE79" s="39">
        <f>AE28/$K24*$K$75</f>
        <v>0</v>
      </c>
      <c r="AF79" s="39"/>
      <c r="AG79" s="39">
        <f>AG28/$K24*$K$75</f>
        <v>0</v>
      </c>
      <c r="AH79" s="9"/>
      <c r="AI79" s="39">
        <f>AI28/$K24*$K$75</f>
        <v>0</v>
      </c>
      <c r="AJ79" s="39"/>
      <c r="AK79" s="39">
        <f>AK28/$K24*$K$75</f>
        <v>0</v>
      </c>
      <c r="AL79" s="39"/>
      <c r="AM79" s="39">
        <f>AM28/$K24*$K$75</f>
        <v>0</v>
      </c>
      <c r="AN79" s="39"/>
      <c r="AO79" s="39">
        <f>AO28/$K24*$K$75</f>
        <v>0</v>
      </c>
      <c r="AP79" s="8"/>
      <c r="AQ79" s="58"/>
    </row>
    <row r="80" spans="1:43" ht="15">
      <c r="A80" s="8"/>
      <c r="B80" s="12" t="s">
        <v>151</v>
      </c>
      <c r="C80" s="39">
        <f>SUM(E80:AO80)</f>
        <v>-2.3283064365386963E-10</v>
      </c>
      <c r="D80" s="39"/>
      <c r="E80" s="39">
        <f>E29/$S24*$S$75</f>
        <v>0</v>
      </c>
      <c r="F80" s="39"/>
      <c r="G80" s="39">
        <f>G29/$S24*$S$75</f>
        <v>0</v>
      </c>
      <c r="H80" s="39"/>
      <c r="I80" s="39">
        <f>I29/$S24*$S$75</f>
        <v>0</v>
      </c>
      <c r="J80" s="39"/>
      <c r="K80" s="39">
        <f>K29/$S24*$S$75</f>
        <v>0</v>
      </c>
      <c r="L80" s="39"/>
      <c r="M80" s="39">
        <f>M29/$S24*$S$75</f>
        <v>0</v>
      </c>
      <c r="N80" s="39"/>
      <c r="O80" s="39">
        <f>O29/$S24*$S$75</f>
        <v>0</v>
      </c>
      <c r="P80" s="39"/>
      <c r="Q80" s="39">
        <f>Q29/$S24*$S$75</f>
        <v>450671.2229336213</v>
      </c>
      <c r="R80" s="39"/>
      <c r="S80" s="39">
        <f>S29/$S24*$S$75</f>
        <v>-1632229.9047328117</v>
      </c>
      <c r="T80" s="39"/>
      <c r="U80" s="39">
        <f>U29/$S24*$S$75</f>
        <v>0</v>
      </c>
      <c r="V80" s="39"/>
      <c r="W80" s="39">
        <f>W29/$S24*$S$75</f>
        <v>1181558.6817991901</v>
      </c>
      <c r="X80" s="39"/>
      <c r="Y80" s="39">
        <f>Y29/$S24*$S$75</f>
        <v>0</v>
      </c>
      <c r="Z80" s="39"/>
      <c r="AA80" s="39">
        <f>AA29/$S24*$S$75</f>
        <v>0</v>
      </c>
      <c r="AB80" s="39"/>
      <c r="AC80" s="39">
        <f>AC29/$S24*$S$75</f>
        <v>0</v>
      </c>
      <c r="AD80" s="39"/>
      <c r="AE80" s="39">
        <f>AE29/$S24*$S$75</f>
        <v>0</v>
      </c>
      <c r="AF80" s="39"/>
      <c r="AG80" s="39">
        <f>AG29/$S24*$S$75</f>
        <v>0</v>
      </c>
      <c r="AH80" s="9"/>
      <c r="AI80" s="39">
        <f>AI29/$S24*$S$75</f>
        <v>0</v>
      </c>
      <c r="AJ80" s="39"/>
      <c r="AK80" s="39">
        <f>AK29/$S24*$S$75</f>
        <v>0</v>
      </c>
      <c r="AL80" s="39"/>
      <c r="AM80" s="39">
        <f>AM29/$S24*$S$75</f>
        <v>0</v>
      </c>
      <c r="AN80" s="39"/>
      <c r="AO80" s="39">
        <f>AO29/$S24*$S$75</f>
        <v>0</v>
      </c>
      <c r="AP80" s="8"/>
      <c r="AQ80" s="58"/>
    </row>
    <row r="81" spans="1:43" ht="17.25">
      <c r="A81" s="8"/>
      <c r="B81" s="12" t="s">
        <v>152</v>
      </c>
      <c r="C81" s="85">
        <f>SUM(E81:AO81)</f>
        <v>1.3969838619232178E-09</v>
      </c>
      <c r="D81" s="85"/>
      <c r="E81" s="85">
        <f>E30/$S24*$S$75</f>
        <v>0</v>
      </c>
      <c r="F81" s="85"/>
      <c r="G81" s="85">
        <f>G30/$S24*$S$75</f>
        <v>0</v>
      </c>
      <c r="H81" s="85"/>
      <c r="I81" s="85">
        <f>I30/$S24*$S$75</f>
        <v>0</v>
      </c>
      <c r="J81" s="85"/>
      <c r="K81" s="85">
        <f>K30/$S24*$S$75</f>
        <v>0</v>
      </c>
      <c r="L81" s="85"/>
      <c r="M81" s="85">
        <f>M30/$S24*$S$75</f>
        <v>0</v>
      </c>
      <c r="N81" s="85"/>
      <c r="O81" s="85">
        <f>O30/$S24*$S$75</f>
        <v>0</v>
      </c>
      <c r="P81" s="85"/>
      <c r="Q81" s="85">
        <f>Q30/$S24*$S$75</f>
        <v>162589.69097707642</v>
      </c>
      <c r="R81" s="85"/>
      <c r="S81" s="85">
        <f>S30/$S24*$S$75</f>
        <v>-3662581.564111669</v>
      </c>
      <c r="T81" s="85"/>
      <c r="U81" s="85">
        <f>U30/$S24*$S$75</f>
        <v>0</v>
      </c>
      <c r="V81" s="85"/>
      <c r="W81" s="85">
        <f>W30/$S24*$S$75</f>
        <v>3499991.873134594</v>
      </c>
      <c r="X81" s="85"/>
      <c r="Y81" s="85">
        <f>Y30/$S24*$S$75</f>
        <v>0</v>
      </c>
      <c r="Z81" s="85"/>
      <c r="AA81" s="85">
        <f>AA30/$S24*$S$75</f>
        <v>0</v>
      </c>
      <c r="AB81" s="85"/>
      <c r="AC81" s="85">
        <f>AC30/$S24*$S$75</f>
        <v>0</v>
      </c>
      <c r="AD81" s="85"/>
      <c r="AE81" s="85">
        <f>AE30/$S24*$S$75</f>
        <v>0</v>
      </c>
      <c r="AF81" s="85"/>
      <c r="AG81" s="85">
        <f>AG30/$S24*$S$75</f>
        <v>0</v>
      </c>
      <c r="AH81" s="86"/>
      <c r="AI81" s="85">
        <f>AI30/$S24*$S$75</f>
        <v>0</v>
      </c>
      <c r="AJ81" s="85"/>
      <c r="AK81" s="85">
        <f>AK30/$S24*$S$75</f>
        <v>0</v>
      </c>
      <c r="AL81" s="85"/>
      <c r="AM81" s="85">
        <f>AM30/$S24*$S$75</f>
        <v>0</v>
      </c>
      <c r="AN81" s="85"/>
      <c r="AO81" s="85">
        <f>AO30/$S24*$S$75</f>
        <v>0</v>
      </c>
      <c r="AP81" s="8"/>
      <c r="AQ81" s="58"/>
    </row>
    <row r="82" spans="2:41" ht="15">
      <c r="B82" s="12" t="s">
        <v>153</v>
      </c>
      <c r="C82" s="39">
        <f>ROUND(SUM(C77:C81),0)</f>
        <v>0</v>
      </c>
      <c r="D82" s="39"/>
      <c r="E82" s="39">
        <f>ROUND(SUM(E77:E81),0)</f>
        <v>-1139858</v>
      </c>
      <c r="F82" s="39"/>
      <c r="G82" s="39">
        <f>ROUND(SUM(G77:G81),0)</f>
        <v>0</v>
      </c>
      <c r="H82" s="39"/>
      <c r="I82" s="39">
        <f>ROUND(SUM(I77:I81),0)</f>
        <v>0</v>
      </c>
      <c r="J82" s="39"/>
      <c r="K82" s="39">
        <f>ROUND(SUM(K77:K81),0)</f>
        <v>-854611</v>
      </c>
      <c r="L82" s="39"/>
      <c r="M82" s="39">
        <f>ROUND(SUM(M77:M81),0)</f>
        <v>0</v>
      </c>
      <c r="N82" s="39"/>
      <c r="O82" s="39">
        <f>ROUND(SUM(O77:O81),0)</f>
        <v>0</v>
      </c>
      <c r="P82" s="39"/>
      <c r="Q82" s="39">
        <f>ROUND(SUM(Q77:Q81),0)</f>
        <v>613261</v>
      </c>
      <c r="R82" s="39"/>
      <c r="S82" s="39">
        <f>ROUND(SUM(S77:S81),0)</f>
        <v>-4386730</v>
      </c>
      <c r="T82" s="39"/>
      <c r="U82" s="39">
        <f>ROUND(SUM(U77:U81),0)</f>
        <v>0</v>
      </c>
      <c r="V82" s="39"/>
      <c r="W82" s="39">
        <f>ROUND(SUM(W77:W81),0)</f>
        <v>5483290</v>
      </c>
      <c r="X82" s="39"/>
      <c r="Y82" s="39">
        <f>ROUND(SUM(Y77:Y81),0)</f>
        <v>284648</v>
      </c>
      <c r="Z82" s="39"/>
      <c r="AA82" s="39">
        <f>ROUND(SUM(AA77:AA81),0)</f>
        <v>0</v>
      </c>
      <c r="AB82" s="39"/>
      <c r="AC82" s="39">
        <f>ROUND(SUM(AC77:AC81),0)</f>
        <v>0</v>
      </c>
      <c r="AD82" s="9"/>
      <c r="AE82" s="39">
        <f>ROUND(SUM(AE77:AE81),0)</f>
        <v>0</v>
      </c>
      <c r="AF82" s="39"/>
      <c r="AG82" s="39">
        <f>ROUND(SUM(AG77:AG81),0)</f>
        <v>0</v>
      </c>
      <c r="AH82" s="9"/>
      <c r="AI82" s="39">
        <f>ROUND(SUM(AI77:AI81),0)</f>
        <v>0</v>
      </c>
      <c r="AJ82" s="9"/>
      <c r="AK82" s="39">
        <f>ROUND(SUM(AK77:AK81),0)</f>
        <v>0</v>
      </c>
      <c r="AL82" s="9"/>
      <c r="AM82" s="39">
        <f>ROUND(SUM(AM77:AM81),0)</f>
        <v>0</v>
      </c>
      <c r="AN82" s="9"/>
      <c r="AO82" s="39">
        <f>ROUND(SUM(AO77:AO81),0)</f>
        <v>0</v>
      </c>
    </row>
    <row r="83" spans="2:41" ht="15">
      <c r="B83" s="12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9"/>
      <c r="AE83" s="39"/>
      <c r="AF83" s="39"/>
      <c r="AG83" s="9"/>
      <c r="AH83" s="9"/>
      <c r="AI83" s="9"/>
      <c r="AJ83" s="9"/>
      <c r="AK83" s="9"/>
      <c r="AL83" s="9"/>
      <c r="AM83" s="9"/>
      <c r="AN83" s="9"/>
      <c r="AO83" s="9"/>
    </row>
    <row r="84" spans="2:41" ht="15">
      <c r="B84" s="12" t="s">
        <v>154</v>
      </c>
      <c r="C84" s="39">
        <f>+C82+C75</f>
        <v>85557628.5811033</v>
      </c>
      <c r="D84" s="39"/>
      <c r="E84" s="39">
        <f>+E82+E75</f>
        <v>12401124.630906796</v>
      </c>
      <c r="F84" s="39"/>
      <c r="G84" s="39">
        <f>+G82+G75</f>
        <v>0</v>
      </c>
      <c r="H84" s="39"/>
      <c r="I84" s="39">
        <f>+I82+I75</f>
        <v>0</v>
      </c>
      <c r="J84" s="39"/>
      <c r="K84" s="39">
        <f>ROUND(+K82+K75,0)</f>
        <v>0</v>
      </c>
      <c r="L84" s="39"/>
      <c r="M84" s="39">
        <f>+M82+M75</f>
        <v>82171.21933301409</v>
      </c>
      <c r="N84" s="39"/>
      <c r="O84" s="39">
        <f>+O82+O75</f>
        <v>0</v>
      </c>
      <c r="P84" s="39"/>
      <c r="Q84" s="39">
        <f>+Q82+Q75</f>
        <v>944291.3396998334</v>
      </c>
      <c r="R84" s="39"/>
      <c r="S84" s="39">
        <f>+S82+S75</f>
        <v>7920164.281236088</v>
      </c>
      <c r="T84" s="39"/>
      <c r="U84" s="39">
        <f>+U82+U75</f>
        <v>0</v>
      </c>
      <c r="V84" s="39"/>
      <c r="W84" s="39">
        <f>+W82+W75</f>
        <v>13764298.335835133</v>
      </c>
      <c r="X84" s="39"/>
      <c r="Y84" s="39">
        <f>+Y82+Y75</f>
        <v>7371754.856220434</v>
      </c>
      <c r="Z84" s="39"/>
      <c r="AA84" s="39">
        <f>+AA82+AA75</f>
        <v>3888600.4830600945</v>
      </c>
      <c r="AB84" s="39"/>
      <c r="AC84" s="39">
        <f>+AC82+AC75</f>
        <v>6027183.301539903</v>
      </c>
      <c r="AD84" s="9"/>
      <c r="AE84" s="39">
        <f>+AE82+AE75</f>
        <v>4256556.672922276</v>
      </c>
      <c r="AF84" s="39"/>
      <c r="AG84" s="39">
        <f>+AG82+AG75</f>
        <v>12241373.68572075</v>
      </c>
      <c r="AH84" s="9"/>
      <c r="AI84" s="39">
        <f>+AI82+AI75</f>
        <v>6402662.396711641</v>
      </c>
      <c r="AJ84" s="9"/>
      <c r="AK84" s="39">
        <f>+AK82+AK75</f>
        <v>36175.13558788515</v>
      </c>
      <c r="AL84" s="9"/>
      <c r="AM84" s="39">
        <f>+AM82+AM75</f>
        <v>99744.66666666669</v>
      </c>
      <c r="AN84" s="9"/>
      <c r="AO84" s="39">
        <f>+AO82+AO75</f>
        <v>10121527.866333429</v>
      </c>
    </row>
    <row r="88" ht="13.5">
      <c r="E88" s="121"/>
    </row>
  </sheetData>
  <sheetProtection/>
  <printOptions horizontalCentered="1"/>
  <pageMargins left="0.25" right="0.25" top="1" bottom="0.5" header="0.5" footer="0.5"/>
  <pageSetup fitToHeight="0" fitToWidth="1" horizontalDpi="600" verticalDpi="600" orientation="landscape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B1">
      <selection activeCell="F5" sqref="F5"/>
    </sheetView>
  </sheetViews>
  <sheetFormatPr defaultColWidth="8.88671875" defaultRowHeight="15.75"/>
  <sheetData/>
  <sheetProtection/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Chesapeake Utilities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Bates</dc:creator>
  <cp:keywords/>
  <dc:description/>
  <cp:lastModifiedBy>Floyd, Kandi M.</cp:lastModifiedBy>
  <cp:lastPrinted>2009-05-27T15:33:22Z</cp:lastPrinted>
  <dcterms:created xsi:type="dcterms:W3CDTF">1999-12-29T18:31:43Z</dcterms:created>
  <dcterms:modified xsi:type="dcterms:W3CDTF">2018-04-25T15:26:20Z</dcterms:modified>
  <cp:category/>
  <cp:version/>
  <cp:contentType/>
  <cp:contentStatus/>
</cp:coreProperties>
</file>