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3" yWindow="43" windowWidth="12120" windowHeight="8220" activeTab="0"/>
  </bookViews>
  <sheets>
    <sheet name="SCHH-3" sheetId="1" r:id="rId1"/>
    <sheet name="Macro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Page_1">'SCHH-3'!$A$1:$L$55</definedName>
    <definedName name="Page_2">'SCHH-3'!$A$60:$L$115</definedName>
    <definedName name="Page_3">'SCHH-3'!$A$121:$L$177</definedName>
    <definedName name="Page_4">'SCHH-3'!$A$182:$L$239</definedName>
    <definedName name="Page_5">'SCHH-3'!$A$245:$L$300</definedName>
  </definedNames>
  <calcPr fullCalcOnLoad="1"/>
</workbook>
</file>

<file path=xl/sharedStrings.xml><?xml version="1.0" encoding="utf-8"?>
<sst xmlns="http://schemas.openxmlformats.org/spreadsheetml/2006/main" count="303" uniqueCount="185">
  <si>
    <t>PAGE 5 OF 5</t>
  </si>
  <si>
    <t>FLORIDA PUBLIC SERVICE COMMISSION</t>
  </si>
  <si>
    <t>TYPE OF DATA SHOWN:</t>
  </si>
  <si>
    <t>TOTAL</t>
  </si>
  <si>
    <t>CUSTOMER</t>
  </si>
  <si>
    <t>CAPACITY</t>
  </si>
  <si>
    <t>COMMODITY</t>
  </si>
  <si>
    <t>CLASSIFIER</t>
  </si>
  <si>
    <t>LOCAL STORAGE PLANT</t>
  </si>
  <si>
    <t>100% capacity</t>
  </si>
  <si>
    <t>INTANGIBLE PLANT:</t>
  </si>
  <si>
    <t>PRODUCTION PLANT</t>
  </si>
  <si>
    <t>DISTRIBUTION PLANT:</t>
  </si>
  <si>
    <t xml:space="preserve">   374 Land and Land Rights</t>
  </si>
  <si>
    <t xml:space="preserve">   375 Structures and Improvements</t>
  </si>
  <si>
    <t xml:space="preserve">   376 Mains</t>
  </si>
  <si>
    <t xml:space="preserve">   377 Comp.Sta.Eq.</t>
  </si>
  <si>
    <t xml:space="preserve">   378 Meas.&amp; Reg.Sta.Eq.-Gen</t>
  </si>
  <si>
    <t xml:space="preserve">   379 Meas.&amp; Reg.Sta.Eq.-CG</t>
  </si>
  <si>
    <t xml:space="preserve">   380 Services</t>
  </si>
  <si>
    <t>100% customer</t>
  </si>
  <si>
    <t xml:space="preserve">   381-382 Meters</t>
  </si>
  <si>
    <t xml:space="preserve">   383-384 House Regulators</t>
  </si>
  <si>
    <t xml:space="preserve">   385 Industrial Meas.&amp; Reg.Eq.</t>
  </si>
  <si>
    <t xml:space="preserve">   386 Property on Customer Premises</t>
  </si>
  <si>
    <t xml:space="preserve">   387 Other Equipment</t>
  </si>
  <si>
    <t xml:space="preserve">       Total Distribution Plant</t>
  </si>
  <si>
    <t>GENERAL PLANT:</t>
  </si>
  <si>
    <t>PLANT ACQUISITIONS:</t>
  </si>
  <si>
    <t>GAS PLANT FOR FUTURE USE:</t>
  </si>
  <si>
    <t>CWIP:</t>
  </si>
  <si>
    <t>TOTAL PLANT</t>
  </si>
  <si>
    <t>SUPPORTING SCHEDULES:  G-1 p.1, G-1 p.4, G-1 p.10</t>
  </si>
  <si>
    <t>PAGE 4 OF 5</t>
  </si>
  <si>
    <t>LOCAL STORAGE PLANT:</t>
  </si>
  <si>
    <t xml:space="preserve">   377 Compressor Sta. Eq.</t>
  </si>
  <si>
    <t xml:space="preserve">   378 Meas.&amp; Reg.Sta. Eq.-Gen</t>
  </si>
  <si>
    <t xml:space="preserve">   379 Meas.&amp; Reg.Sta. Eq.-CG</t>
  </si>
  <si>
    <t xml:space="preserve">   385 Indust.Meas.&amp; Reg.Sta.Eq.</t>
  </si>
  <si>
    <t xml:space="preserve">       Total A.D. on Dist. Plant</t>
  </si>
  <si>
    <t>TOTAL ACCUMULATED DEPRECIATION</t>
  </si>
  <si>
    <t>NET PLANT (Plant less Accum.Dep.)</t>
  </si>
  <si>
    <t>plus:WORKING CAPITAL</t>
  </si>
  <si>
    <t>equals:TOTAL RATE BASE</t>
  </si>
  <si>
    <t>SUPPORTING SCHEDULES:  G-1 p.1, G-1 p.4, G-1 p.12</t>
  </si>
  <si>
    <t>PAGE 2 OF 5</t>
  </si>
  <si>
    <t>OPERATIONS AND MAINTENANCE EXPENSES</t>
  </si>
  <si>
    <t>DISTRIBUTION:</t>
  </si>
  <si>
    <t xml:space="preserve">   870 Operation Supervision &amp; Eng.</t>
  </si>
  <si>
    <t xml:space="preserve">   871 Dist.Load Dispatch</t>
  </si>
  <si>
    <t xml:space="preserve">   872 Compr.Sta.Lab. &amp; Ex.</t>
  </si>
  <si>
    <t xml:space="preserve">   873 Compr.Sta.Fuel &amp; Power</t>
  </si>
  <si>
    <t xml:space="preserve">   874 Mains and Services</t>
  </si>
  <si>
    <t xml:space="preserve">   875 Meas.&amp; Reg. Sta.Eq.-Gen</t>
  </si>
  <si>
    <t xml:space="preserve">   876 Meas.&amp; Reg. Sta.Eq.-Ind.</t>
  </si>
  <si>
    <t xml:space="preserve">   877 Meas.&amp; Reg. Sta.Eq.-CG</t>
  </si>
  <si>
    <t xml:space="preserve">   878 Meter and House Reg.</t>
  </si>
  <si>
    <t xml:space="preserve">   879 Customer Instal.</t>
  </si>
  <si>
    <t xml:space="preserve">   880 Other Expenses</t>
  </si>
  <si>
    <t xml:space="preserve">   881 Rents</t>
  </si>
  <si>
    <t xml:space="preserve">   885 Maintenance Supervision</t>
  </si>
  <si>
    <t xml:space="preserve">   886 Maint. of Struct. and Improv.</t>
  </si>
  <si>
    <t xml:space="preserve">   887 Maintenance of Mains</t>
  </si>
  <si>
    <t xml:space="preserve">   888 Maint. of Comp.Sta.Eq.</t>
  </si>
  <si>
    <t xml:space="preserve">   889 Maint. of Meas.&amp; Reg. Sta.Eq.-Gen</t>
  </si>
  <si>
    <t xml:space="preserve">   890 Maint. of Meas.&amp; Reg. Sta.Eq.-Ind.</t>
  </si>
  <si>
    <t xml:space="preserve">   891 Maint. of Meas.&amp; Reg.Sta.Eq.-CG</t>
  </si>
  <si>
    <t xml:space="preserve">   892 Maintenance of Services</t>
  </si>
  <si>
    <t xml:space="preserve">   893 Maint. of Meters and House Reg.</t>
  </si>
  <si>
    <t xml:space="preserve">   894 Maint. of Other Equipment</t>
  </si>
  <si>
    <t xml:space="preserve">       Total Distribution Expenses</t>
  </si>
  <si>
    <t>CUSTOMER ACCOUNTS:</t>
  </si>
  <si>
    <t xml:space="preserve">   901 Supervision</t>
  </si>
  <si>
    <t xml:space="preserve">   902 Meter-Reading Expense</t>
  </si>
  <si>
    <t xml:space="preserve">   903 Records  and Collection Exp.</t>
  </si>
  <si>
    <t xml:space="preserve">   904 Uncollectible Accounts</t>
  </si>
  <si>
    <t xml:space="preserve">   905 Misc. Expenses</t>
  </si>
  <si>
    <t xml:space="preserve">       Total Customer Accounts</t>
  </si>
  <si>
    <t>O&amp;M excl. A&amp;G</t>
  </si>
  <si>
    <t>TOTAL O&amp;M EXPENSE</t>
  </si>
  <si>
    <t>SUPPORTING SCHEDULES:  G- 2 p.10-19</t>
  </si>
  <si>
    <t>PAGE 3 OF 5</t>
  </si>
  <si>
    <t>COST OF SERVICE STUDY</t>
  </si>
  <si>
    <t>DEPRECIATION AND AMORTIZATION EXPENSE:</t>
  </si>
  <si>
    <t>REVENUE</t>
  </si>
  <si>
    <t xml:space="preserve">   Depreciation Expense</t>
  </si>
  <si>
    <t>net plant</t>
  </si>
  <si>
    <t xml:space="preserve">   Total Deprec. and Amort. Expense</t>
  </si>
  <si>
    <t>TAXES OTHER THAN INCOME TAXES:</t>
  </si>
  <si>
    <t xml:space="preserve">   Revenue Related</t>
  </si>
  <si>
    <t>100% revenue</t>
  </si>
  <si>
    <t xml:space="preserve">   Other</t>
  </si>
  <si>
    <t xml:space="preserve">   Total Taxes other than Income Taxes</t>
  </si>
  <si>
    <t>INCOME TAXES</t>
  </si>
  <si>
    <t>TOTAL OVERALL COST OF SERVICE</t>
  </si>
  <si>
    <t>SUPPORTING SCHEDULES:  E-1 p.3, G-2 p.1, G-2 p.23</t>
  </si>
  <si>
    <t>PAGE 1 OF 5</t>
  </si>
  <si>
    <t>SUMMARY:</t>
  </si>
  <si>
    <t>ATTRITION</t>
  </si>
  <si>
    <t>O&amp;M</t>
  </si>
  <si>
    <t>AMORTIZATION OF OTHER GAS PLANT</t>
  </si>
  <si>
    <t>AMORTIZATION OF LIMITED TERM INVESTMENT</t>
  </si>
  <si>
    <t>AMORTIZATION OF ACQUISITION ADJUSTMENT</t>
  </si>
  <si>
    <t>AMORTIZATION OF CONVERSION COSTS</t>
  </si>
  <si>
    <t>TOTAL TAXES OTHER THAN INCOME</t>
  </si>
  <si>
    <t>RETURN</t>
  </si>
  <si>
    <t>REVENUES CREDITED TO COST OF SERVICE</t>
  </si>
  <si>
    <t>TOTAL COST</t>
  </si>
  <si>
    <t>RATE BASE</t>
  </si>
  <si>
    <t xml:space="preserve">   RATE BASE ITEMS(PLANT-ACC.DEP):</t>
  </si>
  <si>
    <t>381-382 METERS</t>
  </si>
  <si>
    <t>383-384 HOUSE REGULATORS</t>
  </si>
  <si>
    <t>385 INDUSTRIAL MEAS.&amp; REG.EQ.</t>
  </si>
  <si>
    <t>376 MAINS</t>
  </si>
  <si>
    <t>380 SERVICES</t>
  </si>
  <si>
    <t>378 MEAS.&amp; REG.STA.EQ.-GEN.</t>
  </si>
  <si>
    <t>876 MEAS.&amp; REG.STA.EQ.IND.</t>
  </si>
  <si>
    <t>878 METER &amp; HOUSE REG.</t>
  </si>
  <si>
    <t>890 MAINT.OF MEAS.&amp; REG.STA.EQ.-IND.</t>
  </si>
  <si>
    <t>893 MAINT.OF METERS AND HOUSE REG.</t>
  </si>
  <si>
    <t>874 MAINS AND SERVICES</t>
  </si>
  <si>
    <t>887 MAINT. OF MAINS</t>
  </si>
  <si>
    <t xml:space="preserve">  O &amp; M ITEMS</t>
  </si>
  <si>
    <t>892 MAINT. OF SERVICES</t>
  </si>
  <si>
    <t>LINE NO.</t>
  </si>
  <si>
    <t>COMPANY:  PEOPLES GAS SYSTEM</t>
  </si>
  <si>
    <t>RWIP:</t>
  </si>
  <si>
    <t>AMORT. ACQ. ADJUSTMENT</t>
  </si>
  <si>
    <t>AMORT. OTHER UTILITY PLANT</t>
  </si>
  <si>
    <t>CUST. ADV. FOR CONSTRUCITON</t>
  </si>
  <si>
    <t>KNOWN DIRECT &amp; SPECIAL ASSIGNMENTS:</t>
  </si>
  <si>
    <t>50% customer 50% capacity</t>
  </si>
  <si>
    <t>COST OF SERVICE</t>
  </si>
  <si>
    <t>EXPLANATION:  PROVIDE A FULLY ALLOCATED EMBEDDED</t>
  </si>
  <si>
    <t>DERIVATION OF COST OF SERVICE BY COST CLASSIFICATION</t>
  </si>
  <si>
    <t>(SUMMARY)</t>
  </si>
  <si>
    <t>AMORTIZATION OF ENVIRONMENTAL</t>
  </si>
  <si>
    <t xml:space="preserve">   907-910  Customer Serv.&amp; Info. Exp.</t>
  </si>
  <si>
    <t xml:space="preserve">   911-916  Sales Expense</t>
  </si>
  <si>
    <t xml:space="preserve">   920-931  Administration &amp; General</t>
  </si>
  <si>
    <t xml:space="preserve">   Amort. Of Environmental</t>
  </si>
  <si>
    <t xml:space="preserve">   Amort. Of Conversion Costs</t>
  </si>
  <si>
    <t xml:space="preserve">   Amort. Of Acquisition Adj.</t>
  </si>
  <si>
    <t xml:space="preserve">   Amort. Of Lease Improvements/Other</t>
  </si>
  <si>
    <t>50% customer, 50% capacity</t>
  </si>
  <si>
    <t>RETURN (REQUIRED NOI)</t>
  </si>
  <si>
    <t>PROJECTED TEST YEAR:      12/31/09</t>
  </si>
  <si>
    <t>WITNESS:  D. YARDLEY</t>
  </si>
  <si>
    <t>DOCKET NO.:   080318-GU</t>
  </si>
  <si>
    <t>904 UNCOLLECTIBLE ACCOUNTS</t>
  </si>
  <si>
    <t>911-916 SALES EXPENSE</t>
  </si>
  <si>
    <t>Accts 374-386</t>
  </si>
  <si>
    <t>Related Plant Account</t>
  </si>
  <si>
    <t>CLASSIFICATION OF RATE BASE - GROSS PLANT INVESTMENT</t>
  </si>
  <si>
    <t>CLASSIFICATION OF RATE BASE - ACCUMULATED RESERVE FOR DEPRECIATION</t>
  </si>
  <si>
    <t>CLASSIFICATION OF O&amp;M EXPENSES</t>
  </si>
  <si>
    <t>CLASSIFICATION OF DEPRECIATION AND TAX EXPENSE AND</t>
  </si>
  <si>
    <t xml:space="preserve">   932 Maint. Of General Plant</t>
  </si>
  <si>
    <t>O&amp;M Expense</t>
  </si>
  <si>
    <t>Accts 871-879</t>
  </si>
  <si>
    <t>Distribution Plant</t>
  </si>
  <si>
    <t>Accts 376, 380</t>
  </si>
  <si>
    <t>Acct 378</t>
  </si>
  <si>
    <t>Acct 385</t>
  </si>
  <si>
    <t>Acct 379</t>
  </si>
  <si>
    <t>Acct 375</t>
  </si>
  <si>
    <t>Acct 376</t>
  </si>
  <si>
    <t>Acct 380</t>
  </si>
  <si>
    <t>Accts 381-383</t>
  </si>
  <si>
    <t>General Plant</t>
  </si>
  <si>
    <t>Accts 381-384</t>
  </si>
  <si>
    <t>100% Customer</t>
  </si>
  <si>
    <t>Accts 870-879, 881-894</t>
  </si>
  <si>
    <t>Accts 885-894</t>
  </si>
  <si>
    <t>Net Plant</t>
  </si>
  <si>
    <t>GAIN ON SALE OF PROPERTY</t>
  </si>
  <si>
    <t>REVENUE CREDIT TO COS</t>
  </si>
  <si>
    <t>Rate Base</t>
  </si>
  <si>
    <t>Return</t>
  </si>
  <si>
    <t>Intangible plant</t>
  </si>
  <si>
    <t>DEPRECIATION</t>
  </si>
  <si>
    <t>RECAP SCHEDULES:  H-3 p.5</t>
  </si>
  <si>
    <t>SUPPORTING SCHEDULES;  H-3 p.1-4</t>
  </si>
  <si>
    <t>RECAP SCHEDULES:  H-2 p.1</t>
  </si>
  <si>
    <t>SCHEDULE H-3 (Revised - 5/06/09)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</si>
</sst>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_)"/>
    <numFmt numFmtId="170" formatCode="0.00_)"/>
    <numFmt numFmtId="171" formatCode="0.000_)"/>
  </numFmts>
  <fonts count="38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7" fontId="2" fillId="0" borderId="0" xfId="42" applyNumberFormat="1" applyFont="1" applyAlignment="1">
      <alignment/>
    </xf>
    <xf numFmtId="164" fontId="2" fillId="0" borderId="0" xfId="0" applyFont="1" applyFill="1" applyAlignment="1">
      <alignment/>
    </xf>
    <xf numFmtId="167" fontId="2" fillId="0" borderId="0" xfId="42" applyNumberFormat="1" applyFont="1" applyFill="1" applyAlignment="1">
      <alignment/>
    </xf>
    <xf numFmtId="167" fontId="2" fillId="0" borderId="10" xfId="42" applyNumberFormat="1" applyFont="1" applyBorder="1" applyAlignment="1" applyProtection="1">
      <alignment/>
      <protection/>
    </xf>
    <xf numFmtId="167" fontId="2" fillId="0" borderId="0" xfId="42" applyNumberFormat="1" applyFont="1" applyAlignment="1" applyProtection="1">
      <alignment/>
      <protection/>
    </xf>
    <xf numFmtId="164" fontId="2" fillId="0" borderId="0" xfId="0" applyFont="1" applyAlignment="1" applyProtection="1">
      <alignment horizontal="fill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7" fontId="2" fillId="0" borderId="11" xfId="42" applyNumberFormat="1" applyFont="1" applyFill="1" applyBorder="1" applyAlignment="1" applyProtection="1">
      <alignment/>
      <protection/>
    </xf>
    <xf numFmtId="167" fontId="2" fillId="0" borderId="11" xfId="42" applyNumberFormat="1" applyFont="1" applyBorder="1" applyAlignment="1" applyProtection="1">
      <alignment/>
      <protection/>
    </xf>
    <xf numFmtId="167" fontId="2" fillId="0" borderId="0" xfId="42" applyNumberFormat="1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12" xfId="0" applyFont="1" applyBorder="1" applyAlignment="1" applyProtection="1">
      <alignment horizontal="left"/>
      <protection/>
    </xf>
    <xf numFmtId="164" fontId="2" fillId="0" borderId="1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2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fill"/>
      <protection/>
    </xf>
    <xf numFmtId="171" fontId="2" fillId="0" borderId="0" xfId="0" applyNumberFormat="1" applyFont="1" applyAlignment="1">
      <alignment/>
    </xf>
    <xf numFmtId="164" fontId="2" fillId="0" borderId="13" xfId="0" applyFont="1" applyBorder="1" applyAlignment="1">
      <alignment/>
    </xf>
    <xf numFmtId="164" fontId="2" fillId="0" borderId="13" xfId="0" applyFont="1" applyBorder="1" applyAlignment="1" applyProtection="1">
      <alignment horizontal="left"/>
      <protection/>
    </xf>
    <xf numFmtId="164" fontId="2" fillId="0" borderId="13" xfId="0" applyFont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left"/>
      <protection locked="0"/>
    </xf>
    <xf numFmtId="167" fontId="2" fillId="0" borderId="0" xfId="42" applyNumberFormat="1" applyFont="1" applyFill="1" applyAlignment="1" applyProtection="1">
      <alignment/>
      <protection locked="0"/>
    </xf>
    <xf numFmtId="167" fontId="2" fillId="0" borderId="0" xfId="42" applyNumberFormat="1" applyFont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Fill="1" applyAlignment="1" applyProtection="1" quotePrefix="1">
      <alignment horizontal="left"/>
      <protection locked="0"/>
    </xf>
    <xf numFmtId="167" fontId="2" fillId="0" borderId="11" xfId="42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7" fontId="2" fillId="0" borderId="0" xfId="42" applyNumberFormat="1" applyFont="1" applyFill="1" applyAlignment="1" applyProtection="1">
      <alignment horizontal="right"/>
      <protection locked="0"/>
    </xf>
    <xf numFmtId="167" fontId="2" fillId="0" borderId="0" xfId="42" applyNumberFormat="1" applyFont="1" applyAlignment="1" applyProtection="1">
      <alignment horizontal="righ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7" fontId="2" fillId="0" borderId="0" xfId="42" applyNumberFormat="1" applyFont="1" applyAlignment="1" applyProtection="1" quotePrefix="1">
      <alignment horizontal="right"/>
      <protection locked="0"/>
    </xf>
    <xf numFmtId="164" fontId="2" fillId="0" borderId="0" xfId="0" applyFont="1" applyAlignment="1" applyProtection="1" quotePrefix="1">
      <alignment horizontal="left"/>
      <protection locked="0"/>
    </xf>
    <xf numFmtId="164" fontId="2" fillId="0" borderId="0" xfId="0" applyFont="1" applyAlignment="1" applyProtection="1">
      <alignment horizontal="right"/>
      <protection locked="0"/>
    </xf>
    <xf numFmtId="167" fontId="2" fillId="0" borderId="11" xfId="42" applyNumberFormat="1" applyFont="1" applyBorder="1" applyAlignment="1" applyProtection="1">
      <alignment/>
      <protection locked="0"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 applyProtection="1">
      <alignment horizontal="left"/>
      <protection locked="0"/>
    </xf>
    <xf numFmtId="164" fontId="0" fillId="0" borderId="13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14" xfId="0" applyFont="1" applyBorder="1" applyAlignment="1" applyProtection="1">
      <alignment horizontal="left"/>
      <protection locked="0"/>
    </xf>
    <xf numFmtId="167" fontId="2" fillId="8" borderId="0" xfId="42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G%20schedules\SCH-G2-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E%20schedules\SCH-E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G%20schedules\SCH-G2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E%20schedules\SCH-E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\Documents\TECO%20-%20Peoples%20Gas\Hearings\Staff\4-23-09%20Staff%20adjustments.xml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wkmf\Local%20Settings\Temporary%20Internet%20Files\Content.Outlook\ITOJ3WQP\5-5-09%20PSC%20adjust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LG2-24"/>
    </sheetNames>
    <sheetDataSet>
      <sheetData sheetId="0">
        <row r="19">
          <cell r="R19">
            <v>472.6799999999999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6"/>
      <sheetName val="PlantData"/>
      <sheetName val="Reserves"/>
      <sheetName val="Data"/>
      <sheetName val="O&amp;M Data"/>
    </sheetNames>
    <sheetDataSet>
      <sheetData sheetId="0">
        <row r="18">
          <cell r="U18">
            <v>0</v>
          </cell>
        </row>
        <row r="20">
          <cell r="U20">
            <v>15050317.243577505</v>
          </cell>
        </row>
        <row r="24">
          <cell r="U24">
            <v>5328591.157819721</v>
          </cell>
        </row>
        <row r="25">
          <cell r="U25">
            <v>18462846.467357323</v>
          </cell>
        </row>
        <row r="26">
          <cell r="U26">
            <v>550521168.845385</v>
          </cell>
        </row>
        <row r="27">
          <cell r="U27">
            <v>0</v>
          </cell>
        </row>
        <row r="28">
          <cell r="U28">
            <v>6509175.899999998</v>
          </cell>
        </row>
        <row r="29">
          <cell r="U29">
            <v>9306050.519999998</v>
          </cell>
        </row>
        <row r="30">
          <cell r="U30">
            <v>216316950.68999994</v>
          </cell>
        </row>
        <row r="31">
          <cell r="U31">
            <v>78721614.43</v>
          </cell>
        </row>
        <row r="32">
          <cell r="U32">
            <v>25809638.106153846</v>
          </cell>
        </row>
        <row r="33">
          <cell r="U33">
            <v>9887387.851538466</v>
          </cell>
        </row>
        <row r="34">
          <cell r="U34">
            <v>0</v>
          </cell>
        </row>
        <row r="35">
          <cell r="U35">
            <v>2430276.1500000013</v>
          </cell>
        </row>
        <row r="36">
          <cell r="U36">
            <v>1605352</v>
          </cell>
        </row>
        <row r="40">
          <cell r="U40">
            <v>48873805.93853149</v>
          </cell>
        </row>
        <row r="42">
          <cell r="U42">
            <v>-0.3199999999778811</v>
          </cell>
        </row>
        <row r="44">
          <cell r="U44">
            <v>2301670.869999999</v>
          </cell>
        </row>
        <row r="46">
          <cell r="U46">
            <v>18249444.37</v>
          </cell>
        </row>
        <row r="82">
          <cell r="U82">
            <v>0</v>
          </cell>
        </row>
        <row r="84">
          <cell r="U84">
            <v>-12876171.16230769</v>
          </cell>
        </row>
        <row r="88">
          <cell r="U88">
            <v>-3245506.0407692306</v>
          </cell>
        </row>
        <row r="89">
          <cell r="U89">
            <v>-3878799.320769231</v>
          </cell>
        </row>
        <row r="90">
          <cell r="U90">
            <v>-229756989.73846155</v>
          </cell>
        </row>
        <row r="91">
          <cell r="U91">
            <v>0</v>
          </cell>
        </row>
        <row r="92">
          <cell r="U92">
            <v>-1790495.6953846156</v>
          </cell>
        </row>
        <row r="93">
          <cell r="U93">
            <v>-2997387.61</v>
          </cell>
        </row>
        <row r="94">
          <cell r="U94">
            <v>-105933799.68769231</v>
          </cell>
        </row>
        <row r="95">
          <cell r="U95">
            <v>-26328858.693076923</v>
          </cell>
        </row>
        <row r="96">
          <cell r="U96">
            <v>-9736417.90846154</v>
          </cell>
        </row>
        <row r="97">
          <cell r="U97">
            <v>-4221482.910769231</v>
          </cell>
        </row>
        <row r="98">
          <cell r="U98">
            <v>0</v>
          </cell>
        </row>
        <row r="99">
          <cell r="U99">
            <v>-1203884.8523076924</v>
          </cell>
        </row>
        <row r="103">
          <cell r="U103">
            <v>-22753303.86263674</v>
          </cell>
        </row>
        <row r="104">
          <cell r="U104">
            <v>1862906.6099999996</v>
          </cell>
        </row>
        <row r="105">
          <cell r="U105">
            <v>-3504168</v>
          </cell>
        </row>
        <row r="106">
          <cell r="U106">
            <v>0</v>
          </cell>
        </row>
        <row r="107">
          <cell r="U107">
            <v>0</v>
          </cell>
        </row>
        <row r="108">
          <cell r="U108">
            <v>-7916126.78</v>
          </cell>
        </row>
        <row r="113">
          <cell r="U113">
            <v>-11494370.870289877</v>
          </cell>
        </row>
        <row r="147">
          <cell r="U147">
            <v>361375.8680016</v>
          </cell>
        </row>
        <row r="148">
          <cell r="U148">
            <v>369911.04150649</v>
          </cell>
        </row>
        <row r="149">
          <cell r="U149">
            <v>1884.4870941300014</v>
          </cell>
        </row>
        <row r="150">
          <cell r="U150">
            <v>0</v>
          </cell>
        </row>
        <row r="151">
          <cell r="U151">
            <v>6596577.85089246</v>
          </cell>
        </row>
        <row r="152">
          <cell r="U152">
            <v>176062.705311</v>
          </cell>
        </row>
        <row r="153">
          <cell r="U153">
            <v>-4062.2332799999986</v>
          </cell>
        </row>
        <row r="154">
          <cell r="U154">
            <v>78729.3961056</v>
          </cell>
        </row>
        <row r="155">
          <cell r="U155">
            <v>3093303.72349818</v>
          </cell>
        </row>
        <row r="156">
          <cell r="U156">
            <v>2481648.22944018</v>
          </cell>
        </row>
        <row r="157">
          <cell r="U157">
            <v>1569525.311542</v>
          </cell>
        </row>
        <row r="158">
          <cell r="U158">
            <v>154115.935428</v>
          </cell>
        </row>
        <row r="159">
          <cell r="U159">
            <v>0</v>
          </cell>
        </row>
        <row r="160">
          <cell r="U160">
            <v>222230.33893665002</v>
          </cell>
        </row>
        <row r="161">
          <cell r="U161">
            <v>2522843.61551217</v>
          </cell>
        </row>
        <row r="162">
          <cell r="U162">
            <v>0</v>
          </cell>
        </row>
        <row r="163">
          <cell r="U163">
            <v>269225.94805869</v>
          </cell>
        </row>
        <row r="164">
          <cell r="U164">
            <v>459123.2023674</v>
          </cell>
        </row>
        <row r="165">
          <cell r="U165">
            <v>538436.7394941901</v>
          </cell>
        </row>
        <row r="166">
          <cell r="U166">
            <v>630097.2658663499</v>
          </cell>
        </row>
        <row r="167">
          <cell r="U167">
            <v>457928.32182849</v>
          </cell>
        </row>
        <row r="168">
          <cell r="U168">
            <v>92472.62547747002</v>
          </cell>
        </row>
        <row r="206">
          <cell r="U206">
            <v>0</v>
          </cell>
        </row>
        <row r="207">
          <cell r="U207">
            <v>2583748.5406023604</v>
          </cell>
        </row>
        <row r="208">
          <cell r="U208">
            <v>5613877.20866607</v>
          </cell>
        </row>
        <row r="209">
          <cell r="U209">
            <v>849420</v>
          </cell>
        </row>
        <row r="210">
          <cell r="U210">
            <v>0</v>
          </cell>
        </row>
        <row r="215">
          <cell r="U215">
            <v>0</v>
          </cell>
        </row>
        <row r="216">
          <cell r="U216">
            <v>6223067.0115013495</v>
          </cell>
        </row>
        <row r="217">
          <cell r="U217">
            <v>169724.74797799997</v>
          </cell>
        </row>
        <row r="218">
          <cell r="U218">
            <v>37097631.605314195</v>
          </cell>
        </row>
        <row r="264">
          <cell r="U264">
            <v>41967130.39821072</v>
          </cell>
        </row>
        <row r="265">
          <cell r="U265">
            <v>640000</v>
          </cell>
        </row>
        <row r="266">
          <cell r="U266">
            <v>0</v>
          </cell>
        </row>
        <row r="267">
          <cell r="U267">
            <v>156624</v>
          </cell>
        </row>
        <row r="268">
          <cell r="U268">
            <v>1040978.72</v>
          </cell>
        </row>
        <row r="273">
          <cell r="U273">
            <v>1045182.9213442489</v>
          </cell>
        </row>
        <row r="274">
          <cell r="U274">
            <v>9778750.24955483</v>
          </cell>
        </row>
        <row r="278">
          <cell r="U278">
            <v>50060255</v>
          </cell>
        </row>
        <row r="280">
          <cell r="U280">
            <v>19576717.569092106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G2-1"/>
      <sheetName val="data"/>
    </sheetNames>
    <sheetDataSet>
      <sheetData sheetId="0">
        <row r="36">
          <cell r="R36">
            <v>-480321.33785999997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-1"/>
      <sheetName val="SCNew"/>
      <sheetName val="Fuel Rev"/>
      <sheetName val="Unbilled Fuel"/>
      <sheetName val="Actual 2007"/>
      <sheetName val="Plan 2009"/>
      <sheetName val="Plan 2009 New"/>
      <sheetName val="SO Hist"/>
      <sheetName val="SC"/>
    </sheetNames>
    <sheetDataSet>
      <sheetData sheetId="0">
        <row r="146">
          <cell r="U146">
            <v>500000</v>
          </cell>
        </row>
        <row r="150">
          <cell r="V150">
            <v>7746215.372888428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P9">
            <v>-113640</v>
          </cell>
        </row>
        <row r="13">
          <cell r="P13">
            <v>1500000</v>
          </cell>
        </row>
        <row r="14">
          <cell r="P14">
            <v>7500</v>
          </cell>
        </row>
        <row r="18">
          <cell r="P18">
            <v>-23860</v>
          </cell>
        </row>
        <row r="19">
          <cell r="P19">
            <v>-253300</v>
          </cell>
        </row>
        <row r="20">
          <cell r="P20">
            <v>-78875</v>
          </cell>
        </row>
        <row r="21">
          <cell r="P21">
            <v>-125361</v>
          </cell>
        </row>
        <row r="22">
          <cell r="P22">
            <v>-26500</v>
          </cell>
        </row>
        <row r="26">
          <cell r="P26">
            <v>723580</v>
          </cell>
        </row>
        <row r="27">
          <cell r="P27">
            <v>-250000</v>
          </cell>
        </row>
        <row r="28">
          <cell r="P28">
            <v>-42500</v>
          </cell>
        </row>
        <row r="29">
          <cell r="P29">
            <v>-407360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7">
          <cell r="P47">
            <v>-2856553.3357554837</v>
          </cell>
        </row>
        <row r="50">
          <cell r="P50">
            <v>-1959308</v>
          </cell>
        </row>
        <row r="51">
          <cell r="P51">
            <v>-795371</v>
          </cell>
        </row>
        <row r="54">
          <cell r="P54">
            <v>-2388451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1171"/>
  <sheetViews>
    <sheetView tabSelected="1" zoomScaleSheetLayoutView="65" zoomScalePageLayoutView="0" workbookViewId="0" topLeftCell="A1">
      <selection activeCell="A1" sqref="A1"/>
    </sheetView>
  </sheetViews>
  <sheetFormatPr defaultColWidth="15.77734375" defaultRowHeight="15.75"/>
  <cols>
    <col min="1" max="1" width="10.10546875" style="36" customWidth="1"/>
    <col min="2" max="2" width="38.6640625" style="36" customWidth="1"/>
    <col min="3" max="3" width="20.77734375" style="36" customWidth="1"/>
    <col min="4" max="6" width="16.77734375" style="36" customWidth="1"/>
    <col min="7" max="7" width="2.77734375" style="36" hidden="1" customWidth="1"/>
    <col min="8" max="8" width="16.77734375" style="36" customWidth="1"/>
    <col min="9" max="9" width="2.77734375" style="36" customWidth="1"/>
    <col min="10" max="10" width="15.88671875" style="36" customWidth="1"/>
    <col min="11" max="11" width="16.4453125" style="36" bestFit="1" customWidth="1"/>
    <col min="12" max="13" width="15.77734375" style="36" customWidth="1"/>
  </cols>
  <sheetData>
    <row r="1" spans="1:16" ht="15" thickBot="1">
      <c r="A1" s="1"/>
      <c r="B1" s="3" t="s">
        <v>184</v>
      </c>
      <c r="C1" s="1"/>
      <c r="D1" s="1"/>
      <c r="E1" s="14" t="s">
        <v>132</v>
      </c>
      <c r="F1" s="3"/>
      <c r="G1" s="1"/>
      <c r="H1" s="1"/>
      <c r="I1" s="1"/>
      <c r="J1" s="1"/>
      <c r="K1" s="3" t="s">
        <v>96</v>
      </c>
      <c r="L1" s="1"/>
      <c r="M1" s="1"/>
      <c r="N1" s="1"/>
      <c r="O1" s="1"/>
      <c r="P1" s="1"/>
    </row>
    <row r="2" spans="1:16" ht="25.5" customHeight="1">
      <c r="A2" s="18"/>
      <c r="B2" s="19" t="s">
        <v>1</v>
      </c>
      <c r="C2" s="18"/>
      <c r="D2" s="18"/>
      <c r="E2" s="20"/>
      <c r="F2" s="18"/>
      <c r="G2" s="18"/>
      <c r="H2" s="18"/>
      <c r="I2" s="18"/>
      <c r="J2" s="18"/>
      <c r="K2" s="19" t="s">
        <v>2</v>
      </c>
      <c r="L2" s="18"/>
      <c r="M2" s="1"/>
      <c r="N2" s="1"/>
      <c r="O2" s="1"/>
      <c r="P2" s="1"/>
    </row>
    <row r="3" spans="1:16" ht="15">
      <c r="A3" s="1"/>
      <c r="B3" s="4" t="s">
        <v>125</v>
      </c>
      <c r="C3" s="1"/>
      <c r="D3" s="3"/>
      <c r="E3" s="14" t="s">
        <v>133</v>
      </c>
      <c r="F3" s="1"/>
      <c r="G3" s="1"/>
      <c r="H3" s="1"/>
      <c r="I3" s="1"/>
      <c r="J3" s="1"/>
      <c r="K3" s="3" t="s">
        <v>146</v>
      </c>
      <c r="L3" s="1"/>
      <c r="M3" s="1"/>
      <c r="N3" s="1"/>
      <c r="O3" s="1"/>
      <c r="P3" s="1"/>
    </row>
    <row r="4" spans="1:16" ht="15">
      <c r="A4" s="1"/>
      <c r="B4" s="4" t="s">
        <v>148</v>
      </c>
      <c r="C4" s="1"/>
      <c r="D4" s="1"/>
      <c r="E4" s="14" t="s">
        <v>82</v>
      </c>
      <c r="F4" s="3"/>
      <c r="G4" s="1"/>
      <c r="H4" s="1"/>
      <c r="I4" s="1"/>
      <c r="J4" s="1"/>
      <c r="K4" s="4" t="s">
        <v>147</v>
      </c>
      <c r="L4" s="1"/>
      <c r="M4" s="1"/>
      <c r="N4" s="1"/>
      <c r="O4" s="1"/>
      <c r="P4" s="1"/>
    </row>
    <row r="5" spans="1:16" ht="15" thickBot="1">
      <c r="A5" s="2"/>
      <c r="B5" s="2"/>
      <c r="C5" s="2"/>
      <c r="D5" s="2"/>
      <c r="E5" s="21"/>
      <c r="F5" s="2"/>
      <c r="G5" s="2"/>
      <c r="H5" s="2"/>
      <c r="I5" s="2"/>
      <c r="J5" s="2"/>
      <c r="K5" s="2"/>
      <c r="L5" s="2"/>
      <c r="M5" s="1"/>
      <c r="N5" s="1"/>
      <c r="O5" s="1"/>
      <c r="P5" s="1"/>
    </row>
    <row r="6" spans="1:16" ht="25.5" customHeight="1">
      <c r="A6" s="18"/>
      <c r="B6" s="18"/>
      <c r="C6" s="18"/>
      <c r="D6" s="18"/>
      <c r="E6" s="22" t="s">
        <v>153</v>
      </c>
      <c r="F6" s="19"/>
      <c r="G6" s="18"/>
      <c r="H6" s="18"/>
      <c r="I6" s="18"/>
      <c r="J6" s="18"/>
      <c r="K6" s="18"/>
      <c r="L6" s="18"/>
      <c r="M6" s="1"/>
      <c r="N6" s="1"/>
      <c r="O6" s="1"/>
      <c r="P6" s="1"/>
    </row>
    <row r="7" spans="1:16" ht="15">
      <c r="A7" s="1"/>
      <c r="B7" s="1"/>
      <c r="C7" s="1"/>
      <c r="D7" s="1"/>
      <c r="E7" s="14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60" customHeight="1">
      <c r="A8" s="1"/>
      <c r="B8" s="3"/>
      <c r="C8" s="1"/>
      <c r="D8" s="1"/>
      <c r="E8" s="1"/>
      <c r="F8" s="1"/>
      <c r="G8" s="1"/>
      <c r="H8" s="1"/>
      <c r="I8" s="1"/>
      <c r="J8" s="3"/>
      <c r="K8" s="1"/>
      <c r="L8" s="1"/>
      <c r="M8" s="1"/>
      <c r="N8" s="1"/>
      <c r="O8" s="1"/>
      <c r="P8" s="1"/>
    </row>
    <row r="9" spans="1:16" ht="15">
      <c r="A9" s="5" t="s">
        <v>124</v>
      </c>
      <c r="B9" s="1"/>
      <c r="C9" s="5" t="s">
        <v>3</v>
      </c>
      <c r="D9" s="5" t="s">
        <v>4</v>
      </c>
      <c r="E9" s="5" t="s">
        <v>5</v>
      </c>
      <c r="F9" s="5" t="s">
        <v>6</v>
      </c>
      <c r="G9" s="5"/>
      <c r="H9" s="5" t="s">
        <v>84</v>
      </c>
      <c r="I9" s="5"/>
      <c r="J9" s="5" t="s">
        <v>7</v>
      </c>
      <c r="K9" s="1"/>
      <c r="L9" s="1"/>
      <c r="M9" s="1"/>
      <c r="N9" s="1"/>
      <c r="O9" s="1"/>
      <c r="P9" s="1"/>
    </row>
    <row r="10" spans="1:16" ht="15">
      <c r="A10" s="1"/>
      <c r="B10" s="1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ht="15">
      <c r="A11" s="6">
        <v>1</v>
      </c>
      <c r="B11" s="30" t="s">
        <v>8</v>
      </c>
      <c r="C11" s="31">
        <f>+'[2]SchE6'!$U$18</f>
        <v>0</v>
      </c>
      <c r="D11" s="7"/>
      <c r="E11" s="32"/>
      <c r="F11" s="7"/>
      <c r="G11" s="1"/>
      <c r="H11" s="1"/>
      <c r="I11" s="1"/>
      <c r="J11" s="33"/>
      <c r="K11" s="1"/>
      <c r="L11" s="1"/>
      <c r="M11" s="1"/>
      <c r="N11" s="1"/>
      <c r="O11" s="1"/>
      <c r="P11" s="1"/>
    </row>
    <row r="12" spans="1:16" ht="15">
      <c r="A12" s="6"/>
      <c r="B12" s="8"/>
      <c r="C12" s="9"/>
      <c r="D12" s="7"/>
      <c r="E12" s="7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6">
        <v>2</v>
      </c>
      <c r="B13" s="30" t="s">
        <v>10</v>
      </c>
      <c r="C13" s="31">
        <f>+'[2]SchE6'!$U$20</f>
        <v>15050317.243577505</v>
      </c>
      <c r="D13" s="7"/>
      <c r="E13" s="32">
        <f>C13</f>
        <v>15050317.243577505</v>
      </c>
      <c r="F13" s="7"/>
      <c r="G13" s="1"/>
      <c r="H13" s="7"/>
      <c r="I13" s="1"/>
      <c r="J13" s="33" t="s">
        <v>9</v>
      </c>
      <c r="K13" s="1"/>
      <c r="L13" s="1"/>
      <c r="M13" s="1"/>
      <c r="N13" s="1"/>
      <c r="O13" s="1"/>
      <c r="P13" s="1"/>
    </row>
    <row r="14" spans="1:16" ht="15">
      <c r="A14" s="6"/>
      <c r="B14" s="30"/>
      <c r="C14" s="31"/>
      <c r="D14" s="7"/>
      <c r="E14" s="32"/>
      <c r="F14" s="7"/>
      <c r="G14" s="1"/>
      <c r="H14" s="7"/>
      <c r="I14" s="1"/>
      <c r="J14" s="33"/>
      <c r="K14" s="1"/>
      <c r="L14" s="1"/>
      <c r="M14" s="1"/>
      <c r="N14" s="1"/>
      <c r="O14" s="1"/>
      <c r="P14" s="1"/>
    </row>
    <row r="15" spans="1:16" ht="15">
      <c r="A15" s="6">
        <v>3</v>
      </c>
      <c r="B15" s="30" t="s">
        <v>12</v>
      </c>
      <c r="C15" s="9"/>
      <c r="D15" s="7"/>
      <c r="E15" s="7"/>
      <c r="F15" s="7"/>
      <c r="G15" s="1"/>
      <c r="H15" s="7"/>
      <c r="I15" s="1"/>
      <c r="J15" s="1"/>
      <c r="K15" s="1"/>
      <c r="L15" s="1"/>
      <c r="M15" s="1"/>
      <c r="N15" s="1"/>
      <c r="O15" s="1"/>
      <c r="P15" s="1"/>
    </row>
    <row r="16" spans="1:16" ht="15">
      <c r="A16" s="6">
        <v>4</v>
      </c>
      <c r="B16" s="30" t="s">
        <v>13</v>
      </c>
      <c r="C16" s="31">
        <f>+'[2]SchE6'!$U24</f>
        <v>5328591.157819721</v>
      </c>
      <c r="D16" s="7"/>
      <c r="E16" s="32">
        <f aca="true" t="shared" si="0" ref="E16:E21">C16</f>
        <v>5328591.157819721</v>
      </c>
      <c r="F16" s="7"/>
      <c r="G16" s="1"/>
      <c r="H16" s="7"/>
      <c r="I16" s="1"/>
      <c r="J16" s="33" t="s">
        <v>9</v>
      </c>
      <c r="K16" s="1"/>
      <c r="L16" s="1"/>
      <c r="M16" s="1"/>
      <c r="N16" s="1"/>
      <c r="O16" s="1"/>
      <c r="P16" s="1"/>
    </row>
    <row r="17" spans="1:16" ht="15">
      <c r="A17" s="6">
        <v>5</v>
      </c>
      <c r="B17" s="30" t="s">
        <v>14</v>
      </c>
      <c r="C17" s="31">
        <f>+'[2]SchE6'!$U25</f>
        <v>18462846.467357323</v>
      </c>
      <c r="D17" s="7"/>
      <c r="E17" s="32">
        <f t="shared" si="0"/>
        <v>18462846.467357323</v>
      </c>
      <c r="F17" s="7"/>
      <c r="G17" s="1"/>
      <c r="H17" s="7"/>
      <c r="I17" s="1"/>
      <c r="J17" s="33" t="s">
        <v>9</v>
      </c>
      <c r="K17" s="1"/>
      <c r="L17" s="1"/>
      <c r="M17" s="1"/>
      <c r="N17" s="1"/>
      <c r="O17" s="1"/>
      <c r="P17" s="1"/>
    </row>
    <row r="18" spans="1:16" ht="15">
      <c r="A18" s="6">
        <v>6</v>
      </c>
      <c r="B18" s="30" t="s">
        <v>15</v>
      </c>
      <c r="C18" s="51">
        <f>+'[2]SchE6'!$U$26+'[6]Sheet1'!$P$50</f>
        <v>548561860.845385</v>
      </c>
      <c r="D18" s="7"/>
      <c r="E18" s="32">
        <f t="shared" si="0"/>
        <v>548561860.845385</v>
      </c>
      <c r="F18" s="7"/>
      <c r="G18" s="1"/>
      <c r="H18" s="7"/>
      <c r="I18" s="1"/>
      <c r="J18" s="33" t="s">
        <v>9</v>
      </c>
      <c r="K18" s="1"/>
      <c r="L18" s="1"/>
      <c r="M18" s="1"/>
      <c r="N18" s="1"/>
      <c r="O18" s="1"/>
      <c r="P18" s="1"/>
    </row>
    <row r="19" spans="1:16" ht="15">
      <c r="A19" s="6">
        <v>7</v>
      </c>
      <c r="B19" s="30" t="s">
        <v>16</v>
      </c>
      <c r="C19" s="31">
        <f>+'[2]SchE6'!$U$27</f>
        <v>0</v>
      </c>
      <c r="D19" s="7"/>
      <c r="E19" s="32"/>
      <c r="F19" s="7"/>
      <c r="G19" s="1"/>
      <c r="H19" s="7"/>
      <c r="I19" s="1"/>
      <c r="J19" s="33"/>
      <c r="K19" s="1"/>
      <c r="L19" s="1"/>
      <c r="M19" s="1"/>
      <c r="N19" s="1"/>
      <c r="O19" s="1"/>
      <c r="P19" s="1"/>
    </row>
    <row r="20" spans="1:16" ht="15">
      <c r="A20" s="6">
        <v>8</v>
      </c>
      <c r="B20" s="30" t="s">
        <v>17</v>
      </c>
      <c r="C20" s="31">
        <f>+'[2]SchE6'!$U$28</f>
        <v>6509175.899999998</v>
      </c>
      <c r="D20" s="7"/>
      <c r="E20" s="32">
        <f t="shared" si="0"/>
        <v>6509175.899999998</v>
      </c>
      <c r="F20" s="7"/>
      <c r="G20" s="1"/>
      <c r="H20" s="7"/>
      <c r="I20" s="1"/>
      <c r="J20" s="33" t="s">
        <v>9</v>
      </c>
      <c r="K20" s="1"/>
      <c r="L20" s="1"/>
      <c r="M20" s="1"/>
      <c r="N20" s="1"/>
      <c r="O20" s="1"/>
      <c r="P20" s="1"/>
    </row>
    <row r="21" spans="1:16" ht="15">
      <c r="A21" s="6">
        <v>9</v>
      </c>
      <c r="B21" s="34" t="s">
        <v>18</v>
      </c>
      <c r="C21" s="31">
        <f>+'[2]SchE6'!$U$29</f>
        <v>9306050.519999998</v>
      </c>
      <c r="D21" s="7"/>
      <c r="E21" s="32">
        <f t="shared" si="0"/>
        <v>9306050.519999998</v>
      </c>
      <c r="F21" s="7"/>
      <c r="G21" s="1"/>
      <c r="H21" s="7"/>
      <c r="I21" s="1"/>
      <c r="J21" s="33" t="s">
        <v>9</v>
      </c>
      <c r="K21" s="1"/>
      <c r="L21" s="1"/>
      <c r="M21" s="1"/>
      <c r="N21" s="1"/>
      <c r="O21" s="1"/>
      <c r="P21" s="1"/>
    </row>
    <row r="22" spans="1:16" ht="15">
      <c r="A22" s="6">
        <v>10</v>
      </c>
      <c r="B22" s="30" t="s">
        <v>19</v>
      </c>
      <c r="C22" s="31">
        <f>+'[2]SchE6'!$U$30</f>
        <v>216316950.68999994</v>
      </c>
      <c r="D22" s="32">
        <f>C22</f>
        <v>216316950.68999994</v>
      </c>
      <c r="E22" s="7"/>
      <c r="F22" s="7"/>
      <c r="G22" s="1"/>
      <c r="H22" s="7"/>
      <c r="I22" s="1"/>
      <c r="J22" s="33" t="s">
        <v>20</v>
      </c>
      <c r="K22" s="1"/>
      <c r="L22" s="1"/>
      <c r="M22" s="1"/>
      <c r="N22" s="1"/>
      <c r="O22" s="1"/>
      <c r="P22" s="1"/>
    </row>
    <row r="23" spans="1:16" ht="15">
      <c r="A23" s="6">
        <v>11</v>
      </c>
      <c r="B23" s="30" t="s">
        <v>21</v>
      </c>
      <c r="C23" s="31">
        <f>+'[2]SchE6'!$U$31</f>
        <v>78721614.43</v>
      </c>
      <c r="D23" s="32">
        <f>C23</f>
        <v>78721614.43</v>
      </c>
      <c r="E23" s="7"/>
      <c r="F23" s="7"/>
      <c r="G23" s="1"/>
      <c r="H23" s="7"/>
      <c r="I23" s="1"/>
      <c r="J23" s="33" t="s">
        <v>20</v>
      </c>
      <c r="K23" s="1"/>
      <c r="L23" s="1"/>
      <c r="M23" s="1"/>
      <c r="N23" s="1"/>
      <c r="O23" s="1"/>
      <c r="P23" s="1"/>
    </row>
    <row r="24" spans="1:16" ht="15">
      <c r="A24" s="6">
        <v>12</v>
      </c>
      <c r="B24" s="30" t="s">
        <v>22</v>
      </c>
      <c r="C24" s="31">
        <f>+'[2]SchE6'!$U$32</f>
        <v>25809638.106153846</v>
      </c>
      <c r="D24" s="32">
        <f>C24</f>
        <v>25809638.106153846</v>
      </c>
      <c r="E24" s="7"/>
      <c r="F24" s="7"/>
      <c r="G24" s="1"/>
      <c r="H24" s="7"/>
      <c r="I24" s="1"/>
      <c r="J24" s="33" t="s">
        <v>20</v>
      </c>
      <c r="K24" s="1"/>
      <c r="L24" s="1"/>
      <c r="M24" s="1"/>
      <c r="N24" s="1"/>
      <c r="O24" s="1"/>
      <c r="P24" s="1"/>
    </row>
    <row r="25" spans="1:16" ht="15">
      <c r="A25" s="6">
        <v>13</v>
      </c>
      <c r="B25" s="30" t="s">
        <v>23</v>
      </c>
      <c r="C25" s="31">
        <f>+'[2]SchE6'!$U$33</f>
        <v>9887387.851538466</v>
      </c>
      <c r="D25" s="32">
        <f>C25</f>
        <v>9887387.851538466</v>
      </c>
      <c r="E25" s="7"/>
      <c r="F25" s="7"/>
      <c r="G25" s="1"/>
      <c r="H25" s="7"/>
      <c r="I25" s="1"/>
      <c r="J25" s="33" t="s">
        <v>20</v>
      </c>
      <c r="K25" s="1"/>
      <c r="L25" s="1"/>
      <c r="M25" s="1"/>
      <c r="N25" s="1"/>
      <c r="O25" s="1"/>
      <c r="P25" s="1"/>
    </row>
    <row r="26" spans="1:16" ht="15">
      <c r="A26" s="6">
        <v>14</v>
      </c>
      <c r="B26" s="30" t="s">
        <v>24</v>
      </c>
      <c r="C26" s="31">
        <f>+'[2]SchE6'!$U$34</f>
        <v>0</v>
      </c>
      <c r="D26" s="32">
        <f>C26</f>
        <v>0</v>
      </c>
      <c r="E26" s="32"/>
      <c r="F26" s="32"/>
      <c r="G26" s="1"/>
      <c r="H26" s="32"/>
      <c r="I26" s="1"/>
      <c r="J26" s="33"/>
      <c r="K26" s="1"/>
      <c r="L26" s="1"/>
      <c r="M26" s="1"/>
      <c r="N26" s="1"/>
      <c r="O26" s="1"/>
      <c r="P26" s="1"/>
    </row>
    <row r="27" spans="1:16" ht="15">
      <c r="A27" s="6">
        <v>15</v>
      </c>
      <c r="B27" s="30" t="s">
        <v>25</v>
      </c>
      <c r="C27" s="31">
        <f>++'[2]SchE6'!$U$36+'[2]SchE6'!$U$35</f>
        <v>4035628.1500000013</v>
      </c>
      <c r="D27" s="32">
        <f>C27*SUM(D16:D26)/(SUM(D16:D26)+SUM(E16:E26)+SUM(F16:F26))</f>
        <v>1452519.1892884455</v>
      </c>
      <c r="E27" s="32">
        <f>C27*SUM(E16:E26)/(SUM(D16:D26)+SUM(E16:E26)+SUM(F16:F26))</f>
        <v>2583108.9607115556</v>
      </c>
      <c r="F27" s="32"/>
      <c r="G27" s="1"/>
      <c r="H27" s="32"/>
      <c r="I27" s="1"/>
      <c r="J27" s="33" t="s">
        <v>151</v>
      </c>
      <c r="K27" s="1"/>
      <c r="L27" s="1"/>
      <c r="M27" s="1"/>
      <c r="N27" s="1"/>
      <c r="O27" s="1"/>
      <c r="P27" s="1"/>
    </row>
    <row r="28" spans="1:16" ht="15">
      <c r="A28" s="6">
        <v>16</v>
      </c>
      <c r="B28" s="30" t="s">
        <v>26</v>
      </c>
      <c r="C28" s="15">
        <f>SUM(C16:C27)</f>
        <v>922939744.1182542</v>
      </c>
      <c r="D28" s="35">
        <f>SUM(D16:D27)</f>
        <v>332188110.2669807</v>
      </c>
      <c r="E28" s="35">
        <f>SUM(E16:E27)</f>
        <v>590751633.8512735</v>
      </c>
      <c r="F28" s="35">
        <f>SUM(F16:F27)</f>
        <v>0</v>
      </c>
      <c r="G28" s="1"/>
      <c r="H28" s="35"/>
      <c r="I28" s="1"/>
      <c r="J28" s="1"/>
      <c r="M28" s="1"/>
      <c r="N28" s="1"/>
      <c r="O28" s="1"/>
      <c r="P28" s="1"/>
    </row>
    <row r="29" spans="1:16" ht="15">
      <c r="A29" s="6"/>
      <c r="B29" s="8"/>
      <c r="C29" s="9"/>
      <c r="D29" s="9"/>
      <c r="E29" s="9"/>
      <c r="F29" s="7"/>
      <c r="G29" s="1"/>
      <c r="H29" s="7"/>
      <c r="I29" s="1"/>
      <c r="J29" s="1"/>
      <c r="K29" s="1"/>
      <c r="L29" s="1"/>
      <c r="M29" s="1"/>
      <c r="N29" s="1"/>
      <c r="O29" s="1"/>
      <c r="P29" s="1"/>
    </row>
    <row r="30" spans="1:16" ht="15">
      <c r="A30" s="6">
        <v>17</v>
      </c>
      <c r="B30" s="30" t="s">
        <v>27</v>
      </c>
      <c r="C30" s="31">
        <f>+'[2]SchE6'!$U$40</f>
        <v>48873805.93853149</v>
      </c>
      <c r="D30" s="32">
        <f>C30*0.5</f>
        <v>24436902.969265744</v>
      </c>
      <c r="E30" s="32">
        <f>C30*0.5</f>
        <v>24436902.969265744</v>
      </c>
      <c r="F30" s="7"/>
      <c r="G30" s="1"/>
      <c r="H30" s="7"/>
      <c r="I30" s="1"/>
      <c r="J30" s="33" t="s">
        <v>144</v>
      </c>
      <c r="K30" s="1"/>
      <c r="L30" s="1"/>
      <c r="M30" s="1"/>
      <c r="N30" s="1"/>
      <c r="O30" s="1"/>
      <c r="P30" s="1"/>
    </row>
    <row r="31" spans="1:16" ht="15">
      <c r="A31" s="6"/>
      <c r="B31" s="8"/>
      <c r="C31" s="9"/>
      <c r="D31" s="9"/>
      <c r="E31" s="9"/>
      <c r="F31" s="7"/>
      <c r="G31" s="1"/>
      <c r="H31" s="7"/>
      <c r="I31" s="1"/>
      <c r="J31" s="1"/>
      <c r="K31" s="1"/>
      <c r="L31" s="1"/>
      <c r="M31" s="1"/>
      <c r="N31" s="1"/>
      <c r="O31" s="1"/>
      <c r="P31" s="1"/>
    </row>
    <row r="32" spans="1:16" ht="15">
      <c r="A32" s="6">
        <v>18</v>
      </c>
      <c r="B32" s="30" t="s">
        <v>28</v>
      </c>
      <c r="C32" s="31">
        <f>+'[2]SchE6'!$U$44</f>
        <v>2301670.869999999</v>
      </c>
      <c r="D32" s="7"/>
      <c r="E32" s="32">
        <v>2301671</v>
      </c>
      <c r="F32" s="7"/>
      <c r="G32" s="1"/>
      <c r="H32" s="7"/>
      <c r="I32" s="1"/>
      <c r="J32" s="33" t="s">
        <v>9</v>
      </c>
      <c r="K32" s="1"/>
      <c r="L32" s="1"/>
      <c r="M32" s="1"/>
      <c r="N32" s="1"/>
      <c r="O32" s="1"/>
      <c r="P32" s="1"/>
    </row>
    <row r="33" spans="1:16" ht="15">
      <c r="A33" s="6"/>
      <c r="B33" s="8"/>
      <c r="C33" s="9"/>
      <c r="D33" s="9"/>
      <c r="E33" s="9"/>
      <c r="F33" s="7"/>
      <c r="G33" s="1"/>
      <c r="H33" s="7"/>
      <c r="I33" s="1"/>
      <c r="J33" s="1"/>
      <c r="K33" s="1"/>
      <c r="L33" s="1"/>
      <c r="M33" s="1"/>
      <c r="N33" s="1"/>
      <c r="O33" s="1"/>
      <c r="P33" s="1"/>
    </row>
    <row r="34" spans="1:16" ht="15">
      <c r="A34" s="6">
        <v>19</v>
      </c>
      <c r="B34" s="30" t="s">
        <v>29</v>
      </c>
      <c r="C34" s="31">
        <f>ROUND(+'[2]SchE6'!$U$42,0)</f>
        <v>0</v>
      </c>
      <c r="D34" s="7"/>
      <c r="E34" s="32">
        <f>C34</f>
        <v>0</v>
      </c>
      <c r="F34" s="7"/>
      <c r="G34" s="1"/>
      <c r="H34" s="7"/>
      <c r="I34" s="1"/>
      <c r="J34" s="33"/>
      <c r="K34" s="1"/>
      <c r="L34" s="1"/>
      <c r="M34" s="1"/>
      <c r="N34" s="1"/>
      <c r="O34" s="1"/>
      <c r="P34" s="1"/>
    </row>
    <row r="35" spans="1:16" ht="15">
      <c r="A35" s="6"/>
      <c r="B35" s="8"/>
      <c r="C35" s="9"/>
      <c r="D35" s="9"/>
      <c r="E35" s="9"/>
      <c r="F35" s="7"/>
      <c r="G35" s="1"/>
      <c r="H35" s="7"/>
      <c r="I35" s="1"/>
      <c r="J35" s="1"/>
      <c r="K35" s="1"/>
      <c r="L35" s="1"/>
      <c r="M35" s="1"/>
      <c r="N35" s="1"/>
      <c r="O35" s="1"/>
      <c r="P35" s="1"/>
    </row>
    <row r="36" spans="1:16" ht="15">
      <c r="A36" s="6">
        <v>20</v>
      </c>
      <c r="B36" s="30" t="s">
        <v>30</v>
      </c>
      <c r="C36" s="31">
        <f>+'[2]SchE6'!$U$46</f>
        <v>18249444.37</v>
      </c>
      <c r="D36" s="32">
        <f>C36*0.5</f>
        <v>9124722.185</v>
      </c>
      <c r="E36" s="32">
        <f>C36*0.5</f>
        <v>9124722.185</v>
      </c>
      <c r="F36" s="32"/>
      <c r="G36" s="1"/>
      <c r="H36" s="32"/>
      <c r="I36" s="1"/>
      <c r="J36" s="33" t="s">
        <v>144</v>
      </c>
      <c r="K36" s="1"/>
      <c r="L36" s="1"/>
      <c r="M36" s="1"/>
      <c r="N36" s="1"/>
      <c r="O36" s="1"/>
      <c r="P36" s="1"/>
    </row>
    <row r="37" spans="1:16" ht="15">
      <c r="A37" s="6"/>
      <c r="B37" s="8"/>
      <c r="C37" s="37"/>
      <c r="D37" s="37"/>
      <c r="E37" s="37"/>
      <c r="F37" s="38"/>
      <c r="G37" s="1"/>
      <c r="H37" s="38"/>
      <c r="I37" s="1"/>
      <c r="J37" s="1"/>
      <c r="K37" s="32"/>
      <c r="L37" s="1"/>
      <c r="M37" s="1"/>
      <c r="N37" s="1"/>
      <c r="O37" s="1"/>
      <c r="P37" s="1"/>
    </row>
    <row r="38" spans="1:16" ht="15" thickBot="1">
      <c r="A38" s="6">
        <v>21</v>
      </c>
      <c r="B38" s="33" t="s">
        <v>31</v>
      </c>
      <c r="C38" s="10">
        <f>C11+C13+C14+C28+C30+C32+C34+C36</f>
        <v>1007414982.5403632</v>
      </c>
      <c r="D38" s="10">
        <f>D11+D13+D14+D28+D30+D32+D34+D36</f>
        <v>365749735.42124647</v>
      </c>
      <c r="E38" s="10">
        <f>E11+E13+E14+E28+E30+E32+E34+E36</f>
        <v>641665247.2491167</v>
      </c>
      <c r="F38" s="10">
        <f>F11+F13+F14+F28+F30+F32+F34+F36</f>
        <v>0</v>
      </c>
      <c r="G38" s="1"/>
      <c r="H38" s="10"/>
      <c r="I38" s="1"/>
      <c r="J38" s="39"/>
      <c r="M38" s="1"/>
      <c r="N38" s="1"/>
      <c r="O38" s="1"/>
      <c r="P38" s="1"/>
    </row>
    <row r="39" spans="1:16" ht="15" thickTop="1">
      <c r="A39" s="1"/>
      <c r="B39" s="1"/>
      <c r="C39" s="38"/>
      <c r="D39" s="38"/>
      <c r="E39" s="38"/>
      <c r="F39" s="38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thickBot="1">
      <c r="A54" s="2"/>
      <c r="B54" s="13"/>
      <c r="C54" s="2"/>
      <c r="D54" s="2"/>
      <c r="E54" s="2"/>
      <c r="F54" s="2"/>
      <c r="G54" s="2"/>
      <c r="H54" s="2"/>
      <c r="I54" s="13"/>
      <c r="J54" s="13"/>
      <c r="K54" s="2"/>
      <c r="L54" s="2"/>
      <c r="M54" s="1"/>
      <c r="N54" s="1"/>
      <c r="O54" s="1"/>
      <c r="P54" s="1"/>
    </row>
    <row r="55" spans="1:16" ht="25.5" customHeight="1">
      <c r="A55" s="18"/>
      <c r="B55" s="19" t="s">
        <v>32</v>
      </c>
      <c r="C55" s="18"/>
      <c r="D55" s="18"/>
      <c r="E55" s="18"/>
      <c r="F55" s="18"/>
      <c r="G55" s="18"/>
      <c r="H55" s="18"/>
      <c r="I55" s="18"/>
      <c r="J55" s="18"/>
      <c r="K55" s="19" t="s">
        <v>181</v>
      </c>
      <c r="L55" s="18"/>
      <c r="M55" s="1"/>
      <c r="N55" s="1"/>
      <c r="O55" s="1"/>
      <c r="P55" s="1"/>
    </row>
    <row r="56" spans="1:16" ht="1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thickBot="1">
      <c r="A60" s="5"/>
      <c r="B60" s="3" t="s">
        <v>184</v>
      </c>
      <c r="C60" s="1"/>
      <c r="D60" s="1"/>
      <c r="E60" s="14" t="s">
        <v>132</v>
      </c>
      <c r="G60" s="1"/>
      <c r="H60" s="1"/>
      <c r="I60" s="1"/>
      <c r="J60" s="1"/>
      <c r="K60" s="3" t="s">
        <v>45</v>
      </c>
      <c r="L60" s="1"/>
      <c r="M60" s="1"/>
      <c r="N60" s="1"/>
      <c r="O60" s="1"/>
      <c r="P60" s="1"/>
    </row>
    <row r="61" spans="1:16" ht="25.5" customHeight="1">
      <c r="A61" s="18"/>
      <c r="B61" s="19" t="s">
        <v>1</v>
      </c>
      <c r="C61" s="18"/>
      <c r="D61" s="18"/>
      <c r="E61" s="20"/>
      <c r="F61" s="40"/>
      <c r="G61" s="18"/>
      <c r="H61" s="18"/>
      <c r="I61" s="18"/>
      <c r="J61" s="19"/>
      <c r="K61" s="19" t="s">
        <v>2</v>
      </c>
      <c r="L61" s="18"/>
      <c r="M61" s="1"/>
      <c r="N61" s="1"/>
      <c r="O61" s="1"/>
      <c r="P61" s="1"/>
    </row>
    <row r="62" spans="1:16" ht="15">
      <c r="A62" s="1"/>
      <c r="B62" s="4" t="s">
        <v>125</v>
      </c>
      <c r="C62" s="1"/>
      <c r="D62" s="3"/>
      <c r="E62" s="14" t="s">
        <v>133</v>
      </c>
      <c r="G62" s="1"/>
      <c r="H62" s="1"/>
      <c r="I62" s="1"/>
      <c r="J62" s="1"/>
      <c r="K62" s="3" t="s">
        <v>146</v>
      </c>
      <c r="L62" s="1"/>
      <c r="M62" s="1"/>
      <c r="N62" s="1"/>
      <c r="O62" s="1"/>
      <c r="P62" s="1"/>
    </row>
    <row r="63" spans="1:16" ht="15">
      <c r="A63" s="1"/>
      <c r="B63" s="4" t="str">
        <f>+B4</f>
        <v>DOCKET NO.:   080318-GU</v>
      </c>
      <c r="C63" s="1"/>
      <c r="D63" s="1"/>
      <c r="E63" s="14" t="s">
        <v>82</v>
      </c>
      <c r="G63" s="1"/>
      <c r="H63" s="1"/>
      <c r="I63" s="1"/>
      <c r="J63" s="1"/>
      <c r="K63" s="4" t="s">
        <v>147</v>
      </c>
      <c r="L63" s="1"/>
      <c r="M63" s="1"/>
      <c r="N63" s="1"/>
      <c r="O63" s="1"/>
      <c r="P63" s="1"/>
    </row>
    <row r="64" spans="1:16" ht="15" thickBot="1">
      <c r="A64" s="2"/>
      <c r="B64" s="2"/>
      <c r="C64" s="2"/>
      <c r="D64" s="2"/>
      <c r="E64" s="21"/>
      <c r="F64" s="41"/>
      <c r="G64" s="2"/>
      <c r="H64" s="2"/>
      <c r="I64" s="2"/>
      <c r="J64" s="2"/>
      <c r="K64" s="24"/>
      <c r="L64" s="2"/>
      <c r="M64" s="1"/>
      <c r="N64" s="1"/>
      <c r="O64" s="1"/>
      <c r="P64" s="1"/>
    </row>
    <row r="65" spans="1:16" ht="25.5" customHeight="1">
      <c r="A65" s="18"/>
      <c r="B65" s="18"/>
      <c r="C65" s="18"/>
      <c r="D65" s="18"/>
      <c r="E65" s="22" t="s">
        <v>154</v>
      </c>
      <c r="F65" s="40"/>
      <c r="G65" s="18"/>
      <c r="H65" s="18"/>
      <c r="I65" s="18"/>
      <c r="J65" s="18"/>
      <c r="K65" s="18"/>
      <c r="L65" s="18"/>
      <c r="M65" s="1"/>
      <c r="N65" s="1"/>
      <c r="O65" s="1"/>
      <c r="P65" s="1"/>
    </row>
    <row r="66" spans="1:16" ht="15">
      <c r="A66" s="1"/>
      <c r="B66" s="1"/>
      <c r="C66" s="1"/>
      <c r="D66" s="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60" customHeight="1">
      <c r="A67" s="1"/>
      <c r="B67" s="3"/>
      <c r="C67" s="1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1:16" ht="15">
      <c r="A68" s="5" t="s">
        <v>124</v>
      </c>
      <c r="B68" s="1"/>
      <c r="C68" s="5" t="s">
        <v>3</v>
      </c>
      <c r="D68" s="5" t="s">
        <v>4</v>
      </c>
      <c r="E68" s="5" t="s">
        <v>5</v>
      </c>
      <c r="F68" s="5" t="s">
        <v>6</v>
      </c>
      <c r="G68" s="5"/>
      <c r="H68" s="5" t="s">
        <v>84</v>
      </c>
      <c r="I68" s="5"/>
      <c r="J68" s="5" t="s">
        <v>7</v>
      </c>
      <c r="K68" s="1"/>
      <c r="L68" s="1"/>
      <c r="M68" s="1"/>
      <c r="N68" s="1"/>
      <c r="O68" s="1"/>
      <c r="P68" s="1"/>
    </row>
    <row r="69" spans="1:16" ht="15">
      <c r="A69" s="5"/>
      <c r="B69" s="1"/>
      <c r="C69" s="5"/>
      <c r="D69" s="5"/>
      <c r="E69" s="5"/>
      <c r="F69" s="5"/>
      <c r="G69" s="5"/>
      <c r="H69" s="5"/>
      <c r="I69" s="5"/>
      <c r="J69" s="5"/>
      <c r="K69" s="1"/>
      <c r="L69" s="1"/>
      <c r="M69" s="1"/>
      <c r="N69" s="1"/>
      <c r="O69" s="1"/>
      <c r="P69" s="1"/>
    </row>
    <row r="70" spans="1:16" ht="15">
      <c r="A70" s="6">
        <v>1</v>
      </c>
      <c r="B70" s="30" t="s">
        <v>34</v>
      </c>
      <c r="C70" s="31">
        <f>+'[2]SchE6'!$U$82</f>
        <v>0</v>
      </c>
      <c r="D70" s="42">
        <f>C70</f>
        <v>0</v>
      </c>
      <c r="E70" s="42"/>
      <c r="F70" s="42"/>
      <c r="G70" s="1"/>
      <c r="H70" s="1"/>
      <c r="I70" s="1"/>
      <c r="J70" s="33"/>
      <c r="K70" s="1"/>
      <c r="L70" s="1"/>
      <c r="M70" s="1"/>
      <c r="N70" s="1"/>
      <c r="O70" s="1"/>
      <c r="P70" s="1"/>
    </row>
    <row r="71" spans="1:16" ht="15">
      <c r="A71" s="6"/>
      <c r="B71" s="8"/>
      <c r="C71" s="9"/>
      <c r="D71" s="7"/>
      <c r="E71" s="7"/>
      <c r="F71" s="7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6">
        <v>2</v>
      </c>
      <c r="B72" s="30" t="s">
        <v>10</v>
      </c>
      <c r="C72" s="31">
        <f>+'[2]SchE6'!$U$84</f>
        <v>-12876171.16230769</v>
      </c>
      <c r="D72" s="32"/>
      <c r="E72" s="32">
        <f>IF(C72=0,0,C72*(E13/C13))</f>
        <v>-12876171.16230769</v>
      </c>
      <c r="F72" s="32"/>
      <c r="G72" s="1"/>
      <c r="H72" s="1"/>
      <c r="I72" s="1"/>
      <c r="J72" s="33" t="s">
        <v>152</v>
      </c>
      <c r="K72" s="1"/>
      <c r="L72" s="1"/>
      <c r="M72" s="1"/>
      <c r="N72" s="1"/>
      <c r="O72" s="1"/>
      <c r="P72" s="1"/>
    </row>
    <row r="73" spans="1:16" ht="15">
      <c r="A73" s="6">
        <v>3</v>
      </c>
      <c r="B73" s="30"/>
      <c r="C73" s="31"/>
      <c r="D73" s="7"/>
      <c r="E73" s="32"/>
      <c r="F73" s="7"/>
      <c r="G73" s="1"/>
      <c r="H73" s="1"/>
      <c r="I73" s="1"/>
      <c r="J73" s="33"/>
      <c r="K73" s="1"/>
      <c r="L73" s="1"/>
      <c r="M73" s="1"/>
      <c r="N73" s="1"/>
      <c r="O73" s="1"/>
      <c r="P73" s="1"/>
    </row>
    <row r="74" spans="1:16" ht="15">
      <c r="A74" s="6">
        <v>4</v>
      </c>
      <c r="B74" s="30" t="s">
        <v>12</v>
      </c>
      <c r="C74" s="9"/>
      <c r="D74" s="7"/>
      <c r="E74" s="7"/>
      <c r="F74" s="7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6">
        <v>5</v>
      </c>
      <c r="B75" s="34" t="s">
        <v>13</v>
      </c>
      <c r="C75" s="9">
        <f>+'[2]SchE6'!$U$88</f>
        <v>-3245506.0407692306</v>
      </c>
      <c r="D75" s="7"/>
      <c r="E75" s="32">
        <f>IF(C75=0,0,C75*(E16/C16))</f>
        <v>-3245506.0407692306</v>
      </c>
      <c r="F75" s="7"/>
      <c r="G75" s="1"/>
      <c r="H75" s="1"/>
      <c r="I75" s="1"/>
      <c r="J75" s="33" t="s">
        <v>152</v>
      </c>
      <c r="K75" s="1"/>
      <c r="L75" s="1"/>
      <c r="M75" s="1"/>
      <c r="N75" s="1"/>
      <c r="O75" s="1"/>
      <c r="P75" s="1"/>
    </row>
    <row r="76" spans="1:16" ht="15">
      <c r="A76" s="6">
        <v>6</v>
      </c>
      <c r="B76" s="30" t="s">
        <v>14</v>
      </c>
      <c r="C76" s="31">
        <f>+'[2]SchE6'!$U$89</f>
        <v>-3878799.320769231</v>
      </c>
      <c r="D76" s="32"/>
      <c r="E76" s="32">
        <f>IF(C76=0,0,C76*(E17/C17))</f>
        <v>-3878799.320769231</v>
      </c>
      <c r="F76" s="32"/>
      <c r="G76" s="1"/>
      <c r="H76" s="1"/>
      <c r="I76" s="1"/>
      <c r="J76" s="33" t="s">
        <v>152</v>
      </c>
      <c r="K76" s="1"/>
      <c r="L76" s="1"/>
      <c r="M76" s="1"/>
      <c r="N76" s="1"/>
      <c r="O76" s="1"/>
      <c r="P76" s="1"/>
    </row>
    <row r="77" spans="1:16" ht="15">
      <c r="A77" s="6">
        <v>7</v>
      </c>
      <c r="B77" s="30" t="s">
        <v>15</v>
      </c>
      <c r="C77" s="51">
        <f>+'[2]SchE6'!$U$90+'[6]Sheet1'!$P$51</f>
        <v>-230552360.73846155</v>
      </c>
      <c r="D77" s="32"/>
      <c r="E77" s="32">
        <f>IF(C77=0,0,C77*(E18/C18))</f>
        <v>-230552360.73846155</v>
      </c>
      <c r="F77" s="32"/>
      <c r="G77" s="1"/>
      <c r="H77" s="1"/>
      <c r="I77" s="1"/>
      <c r="J77" s="33" t="s">
        <v>152</v>
      </c>
      <c r="K77" s="1"/>
      <c r="L77" s="1"/>
      <c r="M77" s="1"/>
      <c r="N77" s="1"/>
      <c r="O77" s="1"/>
      <c r="P77" s="1"/>
    </row>
    <row r="78" spans="1:16" ht="15">
      <c r="A78" s="6">
        <v>8</v>
      </c>
      <c r="B78" s="30" t="s">
        <v>35</v>
      </c>
      <c r="C78" s="31">
        <f>+'[2]SchE6'!$U$91</f>
        <v>0</v>
      </c>
      <c r="D78" s="32"/>
      <c r="E78" s="32"/>
      <c r="F78" s="32"/>
      <c r="G78" s="1"/>
      <c r="H78" s="1"/>
      <c r="I78" s="1"/>
      <c r="J78" s="33"/>
      <c r="K78" s="1"/>
      <c r="L78" s="1"/>
      <c r="M78" s="1"/>
      <c r="N78" s="1"/>
      <c r="O78" s="1"/>
      <c r="P78" s="1"/>
    </row>
    <row r="79" spans="1:16" ht="15">
      <c r="A79" s="6">
        <v>9</v>
      </c>
      <c r="B79" s="30" t="s">
        <v>36</v>
      </c>
      <c r="C79" s="31">
        <f>+'[2]SchE6'!$U$92</f>
        <v>-1790495.6953846156</v>
      </c>
      <c r="D79" s="32"/>
      <c r="E79" s="32">
        <f>IF(C79=0,0,C79*E20/C20)</f>
        <v>-1790495.6953846158</v>
      </c>
      <c r="F79" s="32"/>
      <c r="G79" s="1"/>
      <c r="H79" s="1"/>
      <c r="I79" s="1"/>
      <c r="J79" s="33" t="s">
        <v>152</v>
      </c>
      <c r="K79" s="1"/>
      <c r="L79" s="1"/>
      <c r="M79" s="1"/>
      <c r="N79" s="1"/>
      <c r="O79" s="1"/>
      <c r="P79" s="1"/>
    </row>
    <row r="80" spans="1:16" ht="15">
      <c r="A80" s="6">
        <v>10</v>
      </c>
      <c r="B80" s="30" t="s">
        <v>37</v>
      </c>
      <c r="C80" s="31">
        <f>+'[2]SchE6'!$U$93</f>
        <v>-2997387.61</v>
      </c>
      <c r="D80" s="32"/>
      <c r="E80" s="32">
        <f>IF(C80=0,0,C80*(E21/C21))</f>
        <v>-2997387.61</v>
      </c>
      <c r="F80" s="32"/>
      <c r="G80" s="1"/>
      <c r="H80" s="1"/>
      <c r="I80" s="1"/>
      <c r="J80" s="33" t="s">
        <v>152</v>
      </c>
      <c r="K80" s="1"/>
      <c r="L80" s="1"/>
      <c r="M80" s="1"/>
      <c r="N80" s="1"/>
      <c r="O80" s="1"/>
      <c r="P80" s="1"/>
    </row>
    <row r="81" spans="1:16" ht="15">
      <c r="A81" s="6">
        <v>11</v>
      </c>
      <c r="B81" s="30" t="s">
        <v>19</v>
      </c>
      <c r="C81" s="31">
        <f>+'[2]SchE6'!$U$94</f>
        <v>-105933799.68769231</v>
      </c>
      <c r="D81" s="32">
        <f>IF(C81=0,0,C81*(D22/C22))</f>
        <v>-105933799.68769231</v>
      </c>
      <c r="E81" s="32"/>
      <c r="F81" s="32"/>
      <c r="G81" s="1"/>
      <c r="H81" s="1"/>
      <c r="I81" s="1"/>
      <c r="J81" s="33" t="s">
        <v>152</v>
      </c>
      <c r="K81" s="1"/>
      <c r="L81" s="1"/>
      <c r="M81" s="1"/>
      <c r="N81" s="1"/>
      <c r="O81" s="1"/>
      <c r="P81" s="1"/>
    </row>
    <row r="82" spans="1:16" ht="15">
      <c r="A82" s="6">
        <v>12</v>
      </c>
      <c r="B82" s="30" t="s">
        <v>21</v>
      </c>
      <c r="C82" s="31">
        <f>+'[2]SchE6'!$U$95</f>
        <v>-26328858.693076923</v>
      </c>
      <c r="D82" s="32">
        <f>IF(C82=0,0,C82*(D23/C23))</f>
        <v>-26328858.693076923</v>
      </c>
      <c r="E82" s="32"/>
      <c r="F82" s="32"/>
      <c r="G82" s="1"/>
      <c r="H82" s="1"/>
      <c r="I82" s="1"/>
      <c r="J82" s="33" t="s">
        <v>152</v>
      </c>
      <c r="K82" s="1"/>
      <c r="L82" s="1"/>
      <c r="M82" s="1"/>
      <c r="N82" s="1"/>
      <c r="O82" s="1"/>
      <c r="P82" s="1"/>
    </row>
    <row r="83" spans="1:16" ht="15">
      <c r="A83" s="6">
        <v>13</v>
      </c>
      <c r="B83" s="30" t="s">
        <v>22</v>
      </c>
      <c r="C83" s="31">
        <f>+'[2]SchE6'!$U$96</f>
        <v>-9736417.90846154</v>
      </c>
      <c r="D83" s="32">
        <f>IF(C83=0,0,C83*(D24/C24))</f>
        <v>-9736417.90846154</v>
      </c>
      <c r="E83" s="32"/>
      <c r="F83" s="32"/>
      <c r="G83" s="1"/>
      <c r="H83" s="32"/>
      <c r="I83" s="1"/>
      <c r="J83" s="33" t="s">
        <v>152</v>
      </c>
      <c r="K83" s="1"/>
      <c r="L83" s="1"/>
      <c r="M83" s="1"/>
      <c r="N83" s="1"/>
      <c r="O83" s="1"/>
      <c r="P83" s="1"/>
    </row>
    <row r="84" spans="1:16" ht="15">
      <c r="A84" s="6">
        <v>14</v>
      </c>
      <c r="B84" s="30" t="s">
        <v>38</v>
      </c>
      <c r="C84" s="31">
        <f>+'[2]SchE6'!$U$97</f>
        <v>-4221482.910769231</v>
      </c>
      <c r="D84" s="32">
        <f>IF(C84=0,0,C84*(D25/C25))</f>
        <v>-4221482.910769231</v>
      </c>
      <c r="E84" s="32">
        <f>IF(C84=0,0,C84*(E25/C25))</f>
        <v>0</v>
      </c>
      <c r="F84" s="32"/>
      <c r="G84" s="1"/>
      <c r="H84" s="32"/>
      <c r="I84" s="1"/>
      <c r="J84" s="33" t="s">
        <v>152</v>
      </c>
      <c r="K84" s="1"/>
      <c r="L84" s="1"/>
      <c r="M84" s="1"/>
      <c r="N84" s="1"/>
      <c r="O84" s="1"/>
      <c r="P84" s="1"/>
    </row>
    <row r="85" spans="1:16" ht="15">
      <c r="A85" s="6">
        <v>15</v>
      </c>
      <c r="B85" s="30" t="s">
        <v>24</v>
      </c>
      <c r="C85" s="31">
        <f>+'[2]SchE6'!$U$98</f>
        <v>0</v>
      </c>
      <c r="D85" s="32"/>
      <c r="E85" s="32">
        <f>C85</f>
        <v>0</v>
      </c>
      <c r="F85" s="32"/>
      <c r="G85" s="1"/>
      <c r="H85" s="32"/>
      <c r="I85" s="1"/>
      <c r="J85" s="33"/>
      <c r="K85" s="1"/>
      <c r="L85" s="1"/>
      <c r="M85" s="1"/>
      <c r="N85" s="1"/>
      <c r="O85" s="1"/>
      <c r="P85" s="1"/>
    </row>
    <row r="86" spans="1:16" ht="15">
      <c r="A86" s="6">
        <v>16</v>
      </c>
      <c r="B86" s="30" t="s">
        <v>25</v>
      </c>
      <c r="C86" s="31">
        <f>+'[2]SchE6'!$U$99</f>
        <v>-1203884.8523076924</v>
      </c>
      <c r="D86" s="32">
        <f>IF(C86=0,0,C86*(D27/C27))</f>
        <v>-433306.9808898545</v>
      </c>
      <c r="E86" s="32">
        <f>IF(C86=0,0,C86*(E27/C27))</f>
        <v>-770577.8714178378</v>
      </c>
      <c r="F86" s="32"/>
      <c r="G86" s="1"/>
      <c r="H86" s="32"/>
      <c r="I86" s="1"/>
      <c r="J86" s="33" t="s">
        <v>152</v>
      </c>
      <c r="K86" s="1"/>
      <c r="L86" s="1"/>
      <c r="M86" s="1"/>
      <c r="N86" s="1"/>
      <c r="O86" s="1"/>
      <c r="P86" s="1"/>
    </row>
    <row r="87" spans="1:16" ht="15">
      <c r="A87" s="6">
        <v>17</v>
      </c>
      <c r="B87" s="30" t="s">
        <v>39</v>
      </c>
      <c r="C87" s="15">
        <f>SUM(C75:C86)</f>
        <v>-389888993.45769227</v>
      </c>
      <c r="D87" s="15">
        <f>SUM(D75:D86)</f>
        <v>-146653866.18088984</v>
      </c>
      <c r="E87" s="15">
        <f>SUM(E75:E86)</f>
        <v>-243235127.2768025</v>
      </c>
      <c r="F87" s="15">
        <f>SUM(F75:F86)</f>
        <v>0</v>
      </c>
      <c r="G87" s="1"/>
      <c r="H87" s="15"/>
      <c r="I87" s="1"/>
      <c r="J87" s="39"/>
      <c r="K87" s="1"/>
      <c r="L87" s="33"/>
      <c r="M87" s="1"/>
      <c r="N87" s="1"/>
      <c r="O87" s="1"/>
      <c r="P87" s="1"/>
    </row>
    <row r="88" spans="1:16" ht="15">
      <c r="A88" s="6"/>
      <c r="B88" s="8"/>
      <c r="C88" s="9"/>
      <c r="D88" s="9"/>
      <c r="E88" s="9"/>
      <c r="F88" s="7"/>
      <c r="G88" s="1"/>
      <c r="H88" s="7"/>
      <c r="I88" s="1"/>
      <c r="J88" s="1"/>
      <c r="K88" s="1"/>
      <c r="L88" s="1"/>
      <c r="M88" s="1"/>
      <c r="N88" s="1"/>
      <c r="O88" s="1"/>
      <c r="P88" s="1"/>
    </row>
    <row r="89" spans="1:16" ht="15">
      <c r="A89" s="6">
        <v>18</v>
      </c>
      <c r="B89" s="30" t="s">
        <v>27</v>
      </c>
      <c r="C89" s="31">
        <f>+'[2]SchE6'!$U$103</f>
        <v>-22753303.86263674</v>
      </c>
      <c r="D89" s="32">
        <f>IF(C89=0,0,C89*(D30/C30))</f>
        <v>-11376651.93131837</v>
      </c>
      <c r="E89" s="32">
        <f>IF(C89=0,0,C89*(E30/C30))</f>
        <v>-11376651.93131837</v>
      </c>
      <c r="F89" s="32"/>
      <c r="G89" s="1"/>
      <c r="H89" s="32"/>
      <c r="I89" s="1"/>
      <c r="J89" s="33" t="str">
        <f>+J30</f>
        <v>50% customer, 50% capacity</v>
      </c>
      <c r="K89" s="1"/>
      <c r="L89" s="1"/>
      <c r="M89" s="1"/>
      <c r="N89" s="1"/>
      <c r="O89" s="1"/>
      <c r="P89" s="1"/>
    </row>
    <row r="90" spans="1:16" ht="15">
      <c r="A90" s="6">
        <v>19</v>
      </c>
      <c r="B90" s="8" t="s">
        <v>126</v>
      </c>
      <c r="C90" s="9">
        <f>+'[2]SchE6'!$U$104</f>
        <v>1862906.6099999996</v>
      </c>
      <c r="D90" s="9">
        <f>IF(C90=0,0,C90*(D28/C28))</f>
        <v>670504.6893077313</v>
      </c>
      <c r="E90" s="9">
        <f>IF(C90=0,0,C90*(E28/C28))</f>
        <v>1192401.9206922685</v>
      </c>
      <c r="F90" s="7"/>
      <c r="G90" s="1"/>
      <c r="H90" s="7"/>
      <c r="I90" s="1"/>
      <c r="J90" s="1" t="s">
        <v>160</v>
      </c>
      <c r="K90" s="1"/>
      <c r="L90" s="1"/>
      <c r="M90" s="1"/>
      <c r="N90" s="1"/>
      <c r="O90" s="1"/>
      <c r="P90" s="1"/>
    </row>
    <row r="91" spans="1:16" ht="15">
      <c r="A91" s="6">
        <v>20</v>
      </c>
      <c r="B91" s="34" t="s">
        <v>127</v>
      </c>
      <c r="C91" s="31">
        <f>+'[2]SchE6'!$U$105</f>
        <v>-3504168</v>
      </c>
      <c r="D91" s="32"/>
      <c r="E91" s="32">
        <f>C91</f>
        <v>-3504168</v>
      </c>
      <c r="F91" s="32"/>
      <c r="G91" s="1"/>
      <c r="H91" s="32"/>
      <c r="I91" s="1"/>
      <c r="J91" s="33" t="s">
        <v>9</v>
      </c>
      <c r="K91" s="1"/>
      <c r="L91" s="1"/>
      <c r="M91" s="1"/>
      <c r="N91" s="1"/>
      <c r="O91" s="1"/>
      <c r="P91" s="1"/>
    </row>
    <row r="92" spans="1:16" ht="15">
      <c r="A92" s="6">
        <v>21</v>
      </c>
      <c r="B92" s="8" t="s">
        <v>128</v>
      </c>
      <c r="C92" s="9">
        <f>+'[2]SchE6'!$U$106</f>
        <v>0</v>
      </c>
      <c r="D92" s="7"/>
      <c r="E92" s="7"/>
      <c r="F92" s="7"/>
      <c r="G92" s="1"/>
      <c r="H92" s="7"/>
      <c r="I92" s="1"/>
      <c r="J92" s="1"/>
      <c r="K92" s="1"/>
      <c r="L92" s="1"/>
      <c r="M92" s="1"/>
      <c r="N92" s="1"/>
      <c r="O92" s="1"/>
      <c r="P92" s="1"/>
    </row>
    <row r="93" spans="1:16" ht="15">
      <c r="A93" s="6">
        <v>22</v>
      </c>
      <c r="B93" s="30" t="s">
        <v>11</v>
      </c>
      <c r="C93" s="31">
        <f>+'[2]SchE6'!$U$107</f>
        <v>0</v>
      </c>
      <c r="D93" s="32"/>
      <c r="E93" s="32"/>
      <c r="F93" s="32"/>
      <c r="G93" s="1"/>
      <c r="H93" s="32"/>
      <c r="I93" s="1"/>
      <c r="J93" s="1"/>
      <c r="K93" s="1"/>
      <c r="L93" s="1"/>
      <c r="M93" s="1"/>
      <c r="N93" s="1"/>
      <c r="O93" s="1"/>
      <c r="P93" s="1"/>
    </row>
    <row r="94" spans="1:16" ht="15">
      <c r="A94" s="6">
        <v>23</v>
      </c>
      <c r="B94" s="8" t="s">
        <v>129</v>
      </c>
      <c r="C94" s="37">
        <f>+'[2]SchE6'!$U$108</f>
        <v>-7916126.78</v>
      </c>
      <c r="D94" s="38">
        <f>C94/2</f>
        <v>-3958063.39</v>
      </c>
      <c r="E94" s="38">
        <f>C94/2</f>
        <v>-3958063.39</v>
      </c>
      <c r="F94" s="38"/>
      <c r="G94" s="1"/>
      <c r="H94" s="38"/>
      <c r="I94" s="1"/>
      <c r="J94" s="43" t="s">
        <v>131</v>
      </c>
      <c r="K94" s="1"/>
      <c r="L94" s="1"/>
      <c r="M94" s="1"/>
      <c r="N94" s="1"/>
      <c r="O94" s="1"/>
      <c r="P94" s="1"/>
    </row>
    <row r="95" spans="1:16" ht="15" thickBot="1">
      <c r="A95" s="6">
        <v>24</v>
      </c>
      <c r="B95" s="33" t="s">
        <v>40</v>
      </c>
      <c r="C95" s="10">
        <f>C70+C72+C87+C89+C90+C91+C92+C93+C94</f>
        <v>-435075856.65263665</v>
      </c>
      <c r="D95" s="10">
        <f>D70+D72+D87+D89+D90+D91+D92+D93+D94</f>
        <v>-161318076.81290048</v>
      </c>
      <c r="E95" s="10">
        <f>E70+E72+E87+E89+E90+E91+E92+E93+E94</f>
        <v>-273757779.8397363</v>
      </c>
      <c r="F95" s="10">
        <f>F70+F72+F87+F89+F90+F91+F92+F93+F94</f>
        <v>0</v>
      </c>
      <c r="G95" s="1"/>
      <c r="H95" s="10"/>
      <c r="I95" s="1"/>
      <c r="L95" s="33"/>
      <c r="M95" s="1"/>
      <c r="N95" s="1"/>
      <c r="O95" s="1"/>
      <c r="P95" s="1"/>
    </row>
    <row r="96" spans="1:16" ht="15" thickTop="1">
      <c r="A96" s="6"/>
      <c r="B96" s="1"/>
      <c r="C96" s="38"/>
      <c r="D96" s="38"/>
      <c r="E96" s="38"/>
      <c r="F96" s="38"/>
      <c r="G96" s="1"/>
      <c r="H96" s="38"/>
      <c r="I96" s="1"/>
      <c r="L96" s="1"/>
      <c r="M96" s="1"/>
      <c r="N96" s="1"/>
      <c r="O96" s="1"/>
      <c r="P96" s="1"/>
    </row>
    <row r="97" spans="1:16" ht="15">
      <c r="A97" s="6"/>
      <c r="B97" s="1"/>
      <c r="C97" s="7"/>
      <c r="D97" s="7"/>
      <c r="E97" s="7"/>
      <c r="F97" s="7"/>
      <c r="G97" s="1"/>
      <c r="H97" s="7"/>
      <c r="I97" s="1"/>
      <c r="L97" s="1"/>
      <c r="M97" s="1"/>
      <c r="N97" s="1"/>
      <c r="O97" s="1"/>
      <c r="P97" s="1"/>
    </row>
    <row r="98" spans="1:16" ht="15">
      <c r="A98" s="6">
        <v>25</v>
      </c>
      <c r="B98" s="33" t="s">
        <v>41</v>
      </c>
      <c r="C98" s="11">
        <f>C38+C95</f>
        <v>572339125.8877265</v>
      </c>
      <c r="D98" s="11">
        <f>D38+D95</f>
        <v>204431658.608346</v>
      </c>
      <c r="E98" s="11">
        <f>E38+E95</f>
        <v>367907467.4093804</v>
      </c>
      <c r="F98" s="11"/>
      <c r="G98" s="1"/>
      <c r="H98" s="11"/>
      <c r="I98" s="1"/>
      <c r="L98" s="33"/>
      <c r="M98" s="1"/>
      <c r="N98" s="1"/>
      <c r="O98" s="1"/>
      <c r="P98" s="1"/>
    </row>
    <row r="99" spans="1:16" ht="15">
      <c r="A99" s="6"/>
      <c r="B99" s="1"/>
      <c r="C99" s="7"/>
      <c r="D99" s="7"/>
      <c r="E99" s="7"/>
      <c r="F99" s="7"/>
      <c r="G99" s="1"/>
      <c r="H99" s="7"/>
      <c r="I99" s="1"/>
      <c r="J99" s="1"/>
      <c r="K99" s="1"/>
      <c r="L99" s="1"/>
      <c r="M99" s="1"/>
      <c r="N99" s="1"/>
      <c r="O99" s="1"/>
      <c r="P99" s="1"/>
    </row>
    <row r="100" spans="1:16" ht="15">
      <c r="A100" s="6">
        <v>27</v>
      </c>
      <c r="B100" s="30" t="s">
        <v>42</v>
      </c>
      <c r="C100" s="31">
        <f>+'[2]SchE6'!$U$113</f>
        <v>-11494370.870289877</v>
      </c>
      <c r="D100" s="32">
        <f>IF(C100=0,0,C100*(D173/C173))</f>
        <v>-8302092.288157063</v>
      </c>
      <c r="E100" s="32">
        <f>IF(C100=0,0,C100*(E173/C173))</f>
        <v>-3192278.5821328154</v>
      </c>
      <c r="F100" s="32">
        <f>IF(C100=0,0,C100*(F173/C173))</f>
        <v>0</v>
      </c>
      <c r="G100" s="1"/>
      <c r="H100" s="32"/>
      <c r="I100" s="1"/>
      <c r="J100" s="33" t="s">
        <v>158</v>
      </c>
      <c r="K100" s="39"/>
      <c r="L100" s="33"/>
      <c r="M100" s="1"/>
      <c r="N100" s="1"/>
      <c r="O100" s="1"/>
      <c r="P100" s="1"/>
    </row>
    <row r="101" spans="1:16" ht="15">
      <c r="A101" s="6"/>
      <c r="B101" s="1"/>
      <c r="C101" s="7"/>
      <c r="D101" s="7"/>
      <c r="E101" s="7"/>
      <c r="F101" s="7"/>
      <c r="G101" s="1"/>
      <c r="H101" s="7"/>
      <c r="I101" s="1"/>
      <c r="J101" s="1"/>
      <c r="K101" s="1"/>
      <c r="L101" s="1"/>
      <c r="M101" s="1"/>
      <c r="N101" s="1"/>
      <c r="O101" s="1"/>
      <c r="P101" s="1"/>
    </row>
    <row r="102" spans="1:16" ht="15" thickBot="1">
      <c r="A102" s="6">
        <v>28</v>
      </c>
      <c r="B102" s="33" t="s">
        <v>43</v>
      </c>
      <c r="C102" s="10">
        <f>C98+C100</f>
        <v>560844755.0174366</v>
      </c>
      <c r="D102" s="10">
        <f>D98+D100</f>
        <v>196129566.3201889</v>
      </c>
      <c r="E102" s="10">
        <f>E98+E100</f>
        <v>364715188.82724756</v>
      </c>
      <c r="F102" s="10">
        <f>F98+F100</f>
        <v>0</v>
      </c>
      <c r="G102" s="1"/>
      <c r="H102" s="10"/>
      <c r="I102" s="1"/>
      <c r="L102" s="33"/>
      <c r="M102" s="1"/>
      <c r="N102" s="1"/>
      <c r="O102" s="1"/>
      <c r="P102" s="1"/>
    </row>
    <row r="103" spans="1:16" ht="15" thickTop="1">
      <c r="A103" s="6"/>
      <c r="B103" s="1"/>
      <c r="C103" s="44"/>
      <c r="D103" s="44"/>
      <c r="E103" s="44"/>
      <c r="F103" s="44"/>
      <c r="G103" s="1"/>
      <c r="H103" s="44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E104" s="2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 thickBot="1">
      <c r="A114" s="2"/>
      <c r="B114" s="13"/>
      <c r="C114" s="2"/>
      <c r="D114" s="2"/>
      <c r="E114" s="2"/>
      <c r="F114" s="2"/>
      <c r="G114" s="2"/>
      <c r="H114" s="2"/>
      <c r="I114" s="2"/>
      <c r="J114" s="13"/>
      <c r="K114" s="2"/>
      <c r="L114" s="2"/>
      <c r="M114" s="1"/>
      <c r="N114" s="1"/>
      <c r="O114" s="1"/>
      <c r="P114" s="1"/>
    </row>
    <row r="115" spans="1:16" ht="25.5" customHeight="1">
      <c r="A115" s="18"/>
      <c r="B115" s="19" t="s">
        <v>44</v>
      </c>
      <c r="C115" s="18"/>
      <c r="D115" s="18"/>
      <c r="E115" s="18"/>
      <c r="F115" s="18"/>
      <c r="G115" s="18"/>
      <c r="H115" s="18"/>
      <c r="I115" s="18"/>
      <c r="J115" s="18"/>
      <c r="K115" s="19" t="s">
        <v>181</v>
      </c>
      <c r="L115" s="18"/>
      <c r="M115" s="1"/>
      <c r="N115" s="1"/>
      <c r="O115" s="1"/>
      <c r="P115" s="1"/>
    </row>
    <row r="116" spans="1:16" ht="1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 thickBot="1">
      <c r="A121" s="1"/>
      <c r="B121" s="3" t="s">
        <v>184</v>
      </c>
      <c r="C121" s="1"/>
      <c r="D121" s="1"/>
      <c r="E121" s="1" t="s">
        <v>132</v>
      </c>
      <c r="F121" s="1"/>
      <c r="G121" s="1"/>
      <c r="H121" s="1"/>
      <c r="I121" s="1"/>
      <c r="J121" s="1"/>
      <c r="K121" s="1" t="s">
        <v>81</v>
      </c>
      <c r="L121" s="1"/>
      <c r="M121" s="1"/>
      <c r="N121" s="1"/>
      <c r="O121" s="1"/>
      <c r="P121" s="1"/>
    </row>
    <row r="122" spans="1:16" ht="25.5" customHeight="1">
      <c r="A122" s="18"/>
      <c r="B122" s="19" t="s">
        <v>1</v>
      </c>
      <c r="C122" s="18"/>
      <c r="D122" s="18"/>
      <c r="E122" s="22"/>
      <c r="F122" s="40"/>
      <c r="G122" s="18"/>
      <c r="H122" s="18"/>
      <c r="I122" s="18"/>
      <c r="J122" s="18"/>
      <c r="K122" s="19" t="s">
        <v>2</v>
      </c>
      <c r="L122" s="18"/>
      <c r="M122" s="1"/>
      <c r="N122" s="1"/>
      <c r="O122" s="1"/>
      <c r="P122" s="1"/>
    </row>
    <row r="123" spans="1:16" ht="15">
      <c r="A123" s="1"/>
      <c r="B123" s="4" t="s">
        <v>125</v>
      </c>
      <c r="C123" s="1"/>
      <c r="D123" s="1"/>
      <c r="E123" s="14" t="s">
        <v>133</v>
      </c>
      <c r="G123" s="1"/>
      <c r="H123" s="1"/>
      <c r="I123" s="1"/>
      <c r="J123" s="1"/>
      <c r="K123" s="3" t="s">
        <v>146</v>
      </c>
      <c r="L123" s="1"/>
      <c r="M123" s="1"/>
      <c r="N123" s="1"/>
      <c r="O123" s="1"/>
      <c r="P123" s="1"/>
    </row>
    <row r="124" spans="1:16" ht="15">
      <c r="A124" s="1"/>
      <c r="B124" s="4" t="str">
        <f>+B4</f>
        <v>DOCKET NO.:   080318-GU</v>
      </c>
      <c r="C124" s="1"/>
      <c r="D124" s="1"/>
      <c r="E124" s="14" t="s">
        <v>82</v>
      </c>
      <c r="G124" s="1"/>
      <c r="H124" s="1"/>
      <c r="I124" s="1"/>
      <c r="J124" s="1"/>
      <c r="K124" s="4" t="s">
        <v>147</v>
      </c>
      <c r="L124" s="1"/>
      <c r="M124" s="1"/>
      <c r="N124" s="1"/>
      <c r="O124" s="1"/>
      <c r="P124" s="1"/>
    </row>
    <row r="125" spans="1:16" ht="15" thickBot="1">
      <c r="A125" s="2"/>
      <c r="B125" s="2"/>
      <c r="C125" s="2"/>
      <c r="D125" s="2"/>
      <c r="E125" s="21"/>
      <c r="F125" s="41"/>
      <c r="G125" s="2"/>
      <c r="H125" s="2"/>
      <c r="I125" s="2"/>
      <c r="J125" s="2"/>
      <c r="K125" s="24"/>
      <c r="L125" s="2"/>
      <c r="M125" s="1"/>
      <c r="N125" s="1"/>
      <c r="O125" s="1"/>
      <c r="P125" s="1"/>
    </row>
    <row r="126" spans="1:16" ht="25.5" customHeight="1">
      <c r="A126" s="18"/>
      <c r="B126" s="18"/>
      <c r="C126" s="18"/>
      <c r="D126" s="18"/>
      <c r="E126" s="22" t="s">
        <v>155</v>
      </c>
      <c r="F126" s="40"/>
      <c r="G126" s="18"/>
      <c r="H126" s="18"/>
      <c r="I126" s="18"/>
      <c r="J126" s="18"/>
      <c r="K126" s="18"/>
      <c r="L126" s="18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4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60" customHeight="1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5" t="s">
        <v>124</v>
      </c>
      <c r="B129" s="1"/>
      <c r="C129" s="5" t="s">
        <v>3</v>
      </c>
      <c r="D129" s="5" t="s">
        <v>4</v>
      </c>
      <c r="E129" s="5" t="s">
        <v>5</v>
      </c>
      <c r="F129" s="5" t="s">
        <v>6</v>
      </c>
      <c r="G129" s="5"/>
      <c r="H129" s="5" t="s">
        <v>84</v>
      </c>
      <c r="I129" s="5"/>
      <c r="J129" s="5" t="s">
        <v>7</v>
      </c>
      <c r="K129" s="1"/>
      <c r="L129" s="12"/>
      <c r="M129" s="1"/>
      <c r="N129" s="1"/>
      <c r="O129" s="1"/>
      <c r="P129" s="1"/>
    </row>
    <row r="130" spans="1:16" ht="15">
      <c r="A130" s="5"/>
      <c r="B130" s="1"/>
      <c r="C130" s="5"/>
      <c r="D130" s="5"/>
      <c r="E130" s="5"/>
      <c r="F130" s="5"/>
      <c r="G130" s="5"/>
      <c r="H130" s="5"/>
      <c r="I130" s="5"/>
      <c r="J130" s="5"/>
      <c r="K130" s="1"/>
      <c r="L130" s="12"/>
      <c r="M130" s="1"/>
      <c r="N130" s="1"/>
      <c r="O130" s="1"/>
      <c r="P130" s="1"/>
    </row>
    <row r="131" spans="1:16" ht="15">
      <c r="A131" s="6">
        <v>1</v>
      </c>
      <c r="B131" s="33" t="s">
        <v>46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6">
        <v>2</v>
      </c>
      <c r="B133" s="33" t="s">
        <v>34</v>
      </c>
      <c r="C133" s="32"/>
      <c r="D133" s="32"/>
      <c r="E133" s="32"/>
      <c r="F133" s="32"/>
      <c r="G133" s="1"/>
      <c r="H133" s="1"/>
      <c r="I133" s="1"/>
      <c r="J133" s="33"/>
      <c r="K133" s="1"/>
      <c r="L133" s="1"/>
      <c r="M133" s="1"/>
      <c r="N133" s="1"/>
      <c r="O133" s="1"/>
      <c r="P133" s="1"/>
    </row>
    <row r="134" spans="1:16" ht="24.75" customHeight="1">
      <c r="A134" s="6">
        <v>3</v>
      </c>
      <c r="B134" s="33" t="s">
        <v>11</v>
      </c>
      <c r="C134" s="32"/>
      <c r="D134" s="7"/>
      <c r="E134" s="32"/>
      <c r="F134" s="7"/>
      <c r="G134" s="1"/>
      <c r="H134" s="1"/>
      <c r="I134" s="1"/>
      <c r="J134" s="33"/>
      <c r="K134" s="1"/>
      <c r="L134" s="1"/>
      <c r="M134" s="1"/>
      <c r="N134" s="1"/>
      <c r="O134" s="1"/>
      <c r="P134" s="1"/>
    </row>
    <row r="135" spans="1:16" ht="24.75" customHeight="1">
      <c r="A135" s="6">
        <v>4</v>
      </c>
      <c r="B135" s="33" t="s">
        <v>47</v>
      </c>
      <c r="C135" s="7"/>
      <c r="D135" s="7"/>
      <c r="E135" s="7"/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6">
        <v>5</v>
      </c>
      <c r="B136" s="30" t="s">
        <v>48</v>
      </c>
      <c r="C136" s="31">
        <f>+'[2]SchE6'!$U$147</f>
        <v>361375.8680016</v>
      </c>
      <c r="D136" s="32">
        <f>IF(C136=0,0,C136*SUM(D137:D145)/SUM(C137:C145))</f>
        <v>210047.94072536478</v>
      </c>
      <c r="E136" s="32">
        <f>IF(C136=0,0,C136*SUM(E137:E145)/SUM(C137:C145))</f>
        <v>151327.9272762352</v>
      </c>
      <c r="F136" s="32"/>
      <c r="G136" s="1"/>
      <c r="H136" s="1"/>
      <c r="I136" s="1"/>
      <c r="J136" s="33" t="s">
        <v>159</v>
      </c>
      <c r="K136" s="1"/>
      <c r="L136" s="1"/>
      <c r="M136" s="1"/>
      <c r="N136" s="1"/>
      <c r="O136" s="1"/>
      <c r="P136" s="1"/>
    </row>
    <row r="137" spans="1:16" ht="15">
      <c r="A137" s="6">
        <v>6</v>
      </c>
      <c r="B137" s="30" t="s">
        <v>49</v>
      </c>
      <c r="C137" s="31">
        <f>+'[2]SchE6'!$U$148</f>
        <v>369911.04150649</v>
      </c>
      <c r="D137" s="7"/>
      <c r="E137" s="32">
        <f>C137</f>
        <v>369911.04150649</v>
      </c>
      <c r="F137" s="7"/>
      <c r="G137" s="1"/>
      <c r="H137" s="1"/>
      <c r="I137" s="1"/>
      <c r="J137" s="33" t="s">
        <v>9</v>
      </c>
      <c r="K137" s="1"/>
      <c r="L137" s="1"/>
      <c r="M137" s="1"/>
      <c r="N137" s="1"/>
      <c r="O137" s="1"/>
      <c r="P137" s="1"/>
    </row>
    <row r="138" spans="1:16" ht="15">
      <c r="A138" s="6">
        <v>7</v>
      </c>
      <c r="B138" s="30" t="s">
        <v>50</v>
      </c>
      <c r="C138" s="31">
        <f>+'[2]SchE6'!$U$149</f>
        <v>1884.4870941300014</v>
      </c>
      <c r="D138" s="32"/>
      <c r="E138" s="32">
        <f>C138</f>
        <v>1884.4870941300014</v>
      </c>
      <c r="F138" s="32"/>
      <c r="G138" s="1"/>
      <c r="H138" s="1"/>
      <c r="I138" s="1"/>
      <c r="J138" s="33" t="s">
        <v>9</v>
      </c>
      <c r="K138" s="1"/>
      <c r="L138" s="1"/>
      <c r="M138" s="1"/>
      <c r="N138" s="1"/>
      <c r="O138" s="1"/>
      <c r="P138" s="1"/>
    </row>
    <row r="139" spans="1:16" ht="15">
      <c r="A139" s="6">
        <v>8</v>
      </c>
      <c r="B139" s="30" t="s">
        <v>51</v>
      </c>
      <c r="C139" s="31">
        <f>+'[2]SchE6'!$U$150</f>
        <v>0</v>
      </c>
      <c r="D139" s="7"/>
      <c r="E139" s="7"/>
      <c r="F139" s="32"/>
      <c r="G139" s="1"/>
      <c r="H139" s="1"/>
      <c r="I139" s="1"/>
      <c r="J139" s="33"/>
      <c r="K139" s="1"/>
      <c r="L139" s="1"/>
      <c r="M139" s="1"/>
      <c r="N139" s="1"/>
      <c r="O139" s="1"/>
      <c r="P139" s="1"/>
    </row>
    <row r="140" spans="1:16" ht="15">
      <c r="A140" s="6">
        <v>9</v>
      </c>
      <c r="B140" s="30" t="s">
        <v>52</v>
      </c>
      <c r="C140" s="31">
        <f>+'[2]SchE6'!$U$151</f>
        <v>6596577.85089246</v>
      </c>
      <c r="D140" s="32">
        <f>IF(C140=0,0,C140*(D18+D22)/(C18+C22))</f>
        <v>1865591.7567252892</v>
      </c>
      <c r="E140" s="32">
        <f>IF(C140=0,0,C140*(E18+E22)/(C18+C22))</f>
        <v>4730986.094167171</v>
      </c>
      <c r="F140" s="32"/>
      <c r="G140" s="1"/>
      <c r="H140" s="1"/>
      <c r="I140" s="1"/>
      <c r="J140" s="33" t="s">
        <v>161</v>
      </c>
      <c r="K140" s="1"/>
      <c r="L140" s="1"/>
      <c r="M140" s="1"/>
      <c r="N140" s="1"/>
      <c r="O140" s="1"/>
      <c r="P140" s="1"/>
    </row>
    <row r="141" spans="1:16" ht="15">
      <c r="A141" s="6">
        <v>10</v>
      </c>
      <c r="B141" s="30" t="s">
        <v>53</v>
      </c>
      <c r="C141" s="31">
        <f>+'[2]SchE6'!$U$152</f>
        <v>176062.705311</v>
      </c>
      <c r="D141" s="32"/>
      <c r="E141" s="32">
        <f>C141</f>
        <v>176062.705311</v>
      </c>
      <c r="F141" s="32"/>
      <c r="G141" s="1"/>
      <c r="H141" s="1"/>
      <c r="I141" s="1"/>
      <c r="J141" s="33" t="s">
        <v>162</v>
      </c>
      <c r="K141" s="1"/>
      <c r="L141" s="1"/>
      <c r="M141" s="1"/>
      <c r="N141" s="1"/>
      <c r="O141" s="1"/>
      <c r="P141" s="1"/>
    </row>
    <row r="142" spans="1:16" ht="15">
      <c r="A142" s="6">
        <v>11</v>
      </c>
      <c r="B142" s="30" t="s">
        <v>54</v>
      </c>
      <c r="C142" s="31">
        <f>+'[2]SchE6'!$U$153</f>
        <v>-4062.2332799999986</v>
      </c>
      <c r="D142" s="32">
        <f>IF(C142=0,0,C142*(D25/C25))</f>
        <v>-4062.2332799999986</v>
      </c>
      <c r="E142" s="32">
        <f>IF(C142=0,0,C142*(E25/C25))</f>
        <v>0</v>
      </c>
      <c r="F142" s="32"/>
      <c r="G142" s="1"/>
      <c r="H142" s="1"/>
      <c r="I142" s="1"/>
      <c r="J142" s="33" t="s">
        <v>163</v>
      </c>
      <c r="K142" s="1"/>
      <c r="L142" s="1"/>
      <c r="M142" s="1"/>
      <c r="N142" s="1"/>
      <c r="O142" s="1"/>
      <c r="P142" s="1"/>
    </row>
    <row r="143" spans="1:16" ht="15">
      <c r="A143" s="6">
        <v>12</v>
      </c>
      <c r="B143" s="30" t="s">
        <v>55</v>
      </c>
      <c r="C143" s="31">
        <f>+'[2]SchE6'!$U$154</f>
        <v>78729.3961056</v>
      </c>
      <c r="D143" s="32"/>
      <c r="E143" s="32">
        <f>IF(C143=0,0,C143*(E21/C21))</f>
        <v>78729.3961056</v>
      </c>
      <c r="F143" s="32"/>
      <c r="G143" s="1"/>
      <c r="H143" s="1"/>
      <c r="I143" s="1"/>
      <c r="J143" s="33" t="s">
        <v>164</v>
      </c>
      <c r="K143" s="1"/>
      <c r="L143" s="1"/>
      <c r="M143" s="1"/>
      <c r="N143" s="1"/>
      <c r="O143" s="1"/>
      <c r="P143" s="1"/>
    </row>
    <row r="144" spans="1:16" ht="15">
      <c r="A144" s="6">
        <v>13</v>
      </c>
      <c r="B144" s="30" t="s">
        <v>56</v>
      </c>
      <c r="C144" s="31">
        <f>+'[2]SchE6'!$U$155</f>
        <v>3093303.72349818</v>
      </c>
      <c r="D144" s="32">
        <f>IF($C144=0,0,$C144*(D23+D24)/($C23+$C24))</f>
        <v>3093303.72349818</v>
      </c>
      <c r="E144" s="32">
        <f>IF($C144=0,0,$C144*(E23+E24)/($C23+$C24))</f>
        <v>0</v>
      </c>
      <c r="F144" s="32"/>
      <c r="G144" s="1"/>
      <c r="H144" s="1"/>
      <c r="I144" s="1"/>
      <c r="J144" s="33" t="s">
        <v>170</v>
      </c>
      <c r="K144" s="1"/>
      <c r="L144" s="1"/>
      <c r="M144" s="1"/>
      <c r="N144" s="1"/>
      <c r="O144" s="1"/>
      <c r="P144" s="1"/>
    </row>
    <row r="145" spans="1:16" ht="15">
      <c r="A145" s="6">
        <v>14</v>
      </c>
      <c r="B145" s="30" t="s">
        <v>57</v>
      </c>
      <c r="C145" s="31">
        <f>+'[2]SchE6'!$U$156</f>
        <v>2481648.22944018</v>
      </c>
      <c r="D145" s="32">
        <f>IF(C145=0,0,C145*(D23+D24)/(C23+C24))</f>
        <v>2481648.22944018</v>
      </c>
      <c r="E145" s="32"/>
      <c r="F145" s="32"/>
      <c r="G145" s="1"/>
      <c r="H145" s="1"/>
      <c r="I145" s="1"/>
      <c r="J145" s="33" t="s">
        <v>171</v>
      </c>
      <c r="K145" s="1"/>
      <c r="L145" s="1"/>
      <c r="M145" s="1"/>
      <c r="N145" s="1"/>
      <c r="O145" s="1"/>
      <c r="P145" s="1"/>
    </row>
    <row r="146" spans="1:16" ht="15">
      <c r="A146" s="6">
        <v>15</v>
      </c>
      <c r="B146" s="30" t="s">
        <v>58</v>
      </c>
      <c r="C146" s="51">
        <f>+'[2]SchE6'!$U$157+'[5]Sheet1'!$P$28</f>
        <v>1527025.311542</v>
      </c>
      <c r="D146" s="32">
        <f>IF(C146=0,0,C146*(SUM(D136:D145)+SUM(D147:D157))/(SUM(C136:C145)+SUM(C147:C157)))</f>
        <v>771646.8869731484</v>
      </c>
      <c r="E146" s="32">
        <f>IF(C146=0,0,C146*(SUM(E136:E145)+SUM(E147:E157))/(SUM(C136:C145)+SUM(C147:C157)))</f>
        <v>755378.4245688516</v>
      </c>
      <c r="F146" s="32"/>
      <c r="G146" s="1"/>
      <c r="H146" s="1"/>
      <c r="I146" s="1"/>
      <c r="J146" s="33" t="s">
        <v>172</v>
      </c>
      <c r="K146" s="1"/>
      <c r="L146" s="1"/>
      <c r="M146" s="1"/>
      <c r="N146" s="1"/>
      <c r="O146" s="1"/>
      <c r="P146" s="1"/>
    </row>
    <row r="147" spans="1:16" ht="15">
      <c r="A147" s="6">
        <v>16</v>
      </c>
      <c r="B147" s="30" t="s">
        <v>59</v>
      </c>
      <c r="C147" s="31">
        <f>+'[2]SchE6'!$U$158</f>
        <v>154115.935428</v>
      </c>
      <c r="D147" s="7"/>
      <c r="E147" s="32">
        <f>C147</f>
        <v>154115.935428</v>
      </c>
      <c r="F147" s="7"/>
      <c r="G147" s="1"/>
      <c r="H147" s="1"/>
      <c r="I147" s="1"/>
      <c r="J147" s="33" t="s">
        <v>9</v>
      </c>
      <c r="K147" s="1"/>
      <c r="L147" s="1"/>
      <c r="M147" s="1"/>
      <c r="N147" s="1"/>
      <c r="O147" s="1"/>
      <c r="P147" s="1"/>
    </row>
    <row r="148" spans="1:16" ht="15">
      <c r="A148" s="6">
        <v>17</v>
      </c>
      <c r="B148" s="30" t="s">
        <v>60</v>
      </c>
      <c r="C148" s="31">
        <f>+'[2]SchE6'!$U$159</f>
        <v>0</v>
      </c>
      <c r="D148" s="32"/>
      <c r="E148" s="32"/>
      <c r="F148" s="32"/>
      <c r="G148" s="1"/>
      <c r="H148" s="1"/>
      <c r="I148" s="1"/>
      <c r="J148" s="33"/>
      <c r="K148" s="1"/>
      <c r="L148" s="1"/>
      <c r="M148" s="1"/>
      <c r="N148" s="1"/>
      <c r="O148" s="1"/>
      <c r="P148" s="1"/>
    </row>
    <row r="149" spans="1:16" ht="15">
      <c r="A149" s="6">
        <v>18</v>
      </c>
      <c r="B149" s="30" t="s">
        <v>61</v>
      </c>
      <c r="C149" s="31">
        <f>+'[2]SchE6'!$U$160</f>
        <v>222230.33893665002</v>
      </c>
      <c r="D149" s="32"/>
      <c r="E149" s="32">
        <f>C149</f>
        <v>222230.33893665002</v>
      </c>
      <c r="F149" s="32"/>
      <c r="G149" s="1"/>
      <c r="H149" s="1"/>
      <c r="I149" s="1"/>
      <c r="J149" s="33" t="s">
        <v>165</v>
      </c>
      <c r="K149" s="1"/>
      <c r="L149" s="1"/>
      <c r="M149" s="1"/>
      <c r="N149" s="1"/>
      <c r="O149" s="1"/>
      <c r="P149" s="1"/>
    </row>
    <row r="150" spans="1:16" ht="15">
      <c r="A150" s="6">
        <v>19</v>
      </c>
      <c r="B150" s="30" t="s">
        <v>62</v>
      </c>
      <c r="C150" s="51">
        <f>+'[2]SchE6'!$U$161+'[5]Sheet1'!$P$27</f>
        <v>2272843.61551217</v>
      </c>
      <c r="D150" s="32"/>
      <c r="E150" s="32">
        <f>IF(C150=0,0,C150*(E18/C18))</f>
        <v>2272843.61551217</v>
      </c>
      <c r="F150" s="32"/>
      <c r="G150" s="1"/>
      <c r="H150" s="1"/>
      <c r="I150" s="1"/>
      <c r="J150" s="33" t="s">
        <v>166</v>
      </c>
      <c r="K150" s="1"/>
      <c r="L150" s="1"/>
      <c r="M150" s="1"/>
      <c r="N150" s="1"/>
      <c r="O150" s="1"/>
      <c r="P150" s="1"/>
    </row>
    <row r="151" spans="1:16" ht="15">
      <c r="A151" s="6">
        <v>20</v>
      </c>
      <c r="B151" s="30" t="s">
        <v>63</v>
      </c>
      <c r="C151" s="31">
        <f>+'[2]SchE6'!$U$162</f>
        <v>0</v>
      </c>
      <c r="D151" s="32"/>
      <c r="E151" s="32"/>
      <c r="F151" s="32"/>
      <c r="G151" s="1"/>
      <c r="H151" s="1"/>
      <c r="I151" s="1"/>
      <c r="J151" s="33"/>
      <c r="K151" s="1"/>
      <c r="L151" s="1"/>
      <c r="M151" s="1"/>
      <c r="N151" s="1"/>
      <c r="O151" s="1"/>
      <c r="P151" s="1"/>
    </row>
    <row r="152" spans="1:16" ht="15">
      <c r="A152" s="6">
        <v>21</v>
      </c>
      <c r="B152" s="30" t="s">
        <v>64</v>
      </c>
      <c r="C152" s="31">
        <f>+'[2]SchE6'!$U$163</f>
        <v>269225.94805869</v>
      </c>
      <c r="D152" s="32"/>
      <c r="E152" s="32">
        <f>IF(C152=0,0,C152*E20/C20)</f>
        <v>269225.94805869</v>
      </c>
      <c r="F152" s="32"/>
      <c r="G152" s="1"/>
      <c r="H152" s="1"/>
      <c r="I152" s="1"/>
      <c r="J152" s="33" t="s">
        <v>162</v>
      </c>
      <c r="K152" s="1"/>
      <c r="L152" s="1"/>
      <c r="M152" s="1"/>
      <c r="N152" s="1"/>
      <c r="O152" s="1"/>
      <c r="P152" s="1"/>
    </row>
    <row r="153" spans="1:16" ht="15">
      <c r="A153" s="6">
        <v>22</v>
      </c>
      <c r="B153" s="30" t="s">
        <v>65</v>
      </c>
      <c r="C153" s="31">
        <f>+'[2]SchE6'!$U$164</f>
        <v>459123.2023674</v>
      </c>
      <c r="D153" s="32">
        <f>IF(C153=0,0,C153*(D25/C25))</f>
        <v>459123.2023674</v>
      </c>
      <c r="E153" s="32">
        <f>IF(C153=0,0,C153*(E25/C25))</f>
        <v>0</v>
      </c>
      <c r="F153" s="32"/>
      <c r="G153" s="1"/>
      <c r="H153" s="1"/>
      <c r="I153" s="1"/>
      <c r="J153" s="33" t="s">
        <v>163</v>
      </c>
      <c r="K153" s="1"/>
      <c r="L153" s="1"/>
      <c r="M153" s="1"/>
      <c r="N153" s="1"/>
      <c r="O153" s="1"/>
      <c r="P153" s="1"/>
    </row>
    <row r="154" spans="1:16" ht="15">
      <c r="A154" s="6">
        <v>23</v>
      </c>
      <c r="B154" s="30" t="s">
        <v>66</v>
      </c>
      <c r="C154" s="31">
        <f>+'[2]SchE6'!$U$165</f>
        <v>538436.7394941901</v>
      </c>
      <c r="D154" s="32"/>
      <c r="E154" s="32">
        <f>IF(C154=0,0,C154*(E21/C21))</f>
        <v>538436.7394941901</v>
      </c>
      <c r="F154" s="32"/>
      <c r="G154" s="1"/>
      <c r="H154" s="1"/>
      <c r="I154" s="1"/>
      <c r="J154" s="33" t="s">
        <v>164</v>
      </c>
      <c r="K154" s="1"/>
      <c r="L154" s="1"/>
      <c r="M154" s="1"/>
      <c r="N154" s="1"/>
      <c r="O154" s="1"/>
      <c r="P154" s="1"/>
    </row>
    <row r="155" spans="1:16" ht="15">
      <c r="A155" s="6">
        <v>24</v>
      </c>
      <c r="B155" s="30" t="s">
        <v>67</v>
      </c>
      <c r="C155" s="31">
        <f>+'[2]SchE6'!$U$166</f>
        <v>630097.2658663499</v>
      </c>
      <c r="D155" s="32">
        <f>IF(C155=0,0,C155*(D22/C22))</f>
        <v>630097.2658663499</v>
      </c>
      <c r="E155" s="32"/>
      <c r="F155" s="32"/>
      <c r="G155" s="1"/>
      <c r="H155" s="32"/>
      <c r="I155" s="1"/>
      <c r="J155" s="33" t="s">
        <v>167</v>
      </c>
      <c r="K155" s="1"/>
      <c r="L155" s="1"/>
      <c r="M155" s="1"/>
      <c r="N155" s="1"/>
      <c r="O155" s="1"/>
      <c r="P155" s="1"/>
    </row>
    <row r="156" spans="1:16" ht="15">
      <c r="A156" s="6">
        <v>25</v>
      </c>
      <c r="B156" s="30" t="s">
        <v>68</v>
      </c>
      <c r="C156" s="31">
        <f>+'[2]SchE6'!$U$167</f>
        <v>457928.32182849</v>
      </c>
      <c r="D156" s="32">
        <f>IF(C156=0,0,C156*(D23+D24)/(C23+C24))</f>
        <v>457928.32182849</v>
      </c>
      <c r="E156" s="32"/>
      <c r="F156" s="32"/>
      <c r="G156" s="1"/>
      <c r="H156" s="32"/>
      <c r="I156" s="1"/>
      <c r="J156" s="33" t="s">
        <v>168</v>
      </c>
      <c r="K156" s="1"/>
      <c r="L156" s="1"/>
      <c r="M156" s="1"/>
      <c r="N156" s="1"/>
      <c r="O156" s="1"/>
      <c r="P156" s="1"/>
    </row>
    <row r="157" spans="1:16" ht="15">
      <c r="A157" s="6">
        <v>26</v>
      </c>
      <c r="B157" s="30" t="s">
        <v>69</v>
      </c>
      <c r="C157" s="31">
        <f>+'[2]SchE6'!$U$168</f>
        <v>92472.62547747002</v>
      </c>
      <c r="D157" s="32">
        <f>IF(C157=0,0,C157*SUM(D148:D156)/SUM(C148:C156))</f>
        <v>29499.44130133015</v>
      </c>
      <c r="E157" s="32">
        <f>IF(C157=0,0,C157*SUM(E148:E156)/SUM(C148:C156))</f>
        <v>62973.184176139875</v>
      </c>
      <c r="F157" s="32"/>
      <c r="G157" s="1"/>
      <c r="H157" s="32"/>
      <c r="I157" s="1"/>
      <c r="J157" s="33" t="s">
        <v>173</v>
      </c>
      <c r="K157" s="1"/>
      <c r="L157" s="1"/>
      <c r="M157" s="1"/>
      <c r="N157" s="1"/>
      <c r="O157" s="1"/>
      <c r="P157" s="1"/>
    </row>
    <row r="158" spans="1:16" ht="15">
      <c r="A158" s="6">
        <v>27</v>
      </c>
      <c r="B158" s="33" t="s">
        <v>70</v>
      </c>
      <c r="C158" s="15">
        <f>SUM(C136:C157)</f>
        <v>19778930.373081047</v>
      </c>
      <c r="D158" s="16">
        <f>SUM(D136:D157)</f>
        <v>9994824.535445735</v>
      </c>
      <c r="E158" s="16">
        <f>SUM(E136:E157)</f>
        <v>9784105.837635318</v>
      </c>
      <c r="F158" s="16">
        <f>SUM(F136:F157)</f>
        <v>0</v>
      </c>
      <c r="G158" s="1"/>
      <c r="H158" s="16"/>
      <c r="I158" s="1"/>
      <c r="L158" s="1"/>
      <c r="M158" s="1"/>
      <c r="N158" s="1"/>
      <c r="O158" s="1"/>
      <c r="P158" s="1"/>
    </row>
    <row r="159" spans="1:16" ht="15">
      <c r="A159" s="6"/>
      <c r="B159" s="1"/>
      <c r="C159" s="8"/>
      <c r="D159" s="1"/>
      <c r="E159" s="1"/>
      <c r="F159" s="1"/>
      <c r="G159" s="1"/>
      <c r="H159" s="1"/>
      <c r="I159" s="1"/>
      <c r="J159" s="7"/>
      <c r="K159" s="1"/>
      <c r="L159" s="1"/>
      <c r="M159" s="1"/>
      <c r="N159" s="1"/>
      <c r="O159" s="1"/>
      <c r="P159" s="1"/>
    </row>
    <row r="160" spans="1:16" ht="15">
      <c r="A160" s="6">
        <v>28</v>
      </c>
      <c r="B160" s="33" t="s">
        <v>71</v>
      </c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6">
        <v>29</v>
      </c>
      <c r="B161" s="30" t="s">
        <v>72</v>
      </c>
      <c r="C161" s="31">
        <f>+'[2]SchE6'!$U$206</f>
        <v>0</v>
      </c>
      <c r="D161" s="32">
        <f>C161</f>
        <v>0</v>
      </c>
      <c r="E161" s="7"/>
      <c r="F161" s="7"/>
      <c r="G161" s="1"/>
      <c r="H161" s="7"/>
      <c r="I161" s="1"/>
      <c r="J161" s="33"/>
      <c r="K161" s="1"/>
      <c r="L161" s="1"/>
      <c r="M161" s="1"/>
      <c r="N161" s="1"/>
      <c r="O161" s="1"/>
      <c r="P161" s="1"/>
    </row>
    <row r="162" spans="1:16" ht="15">
      <c r="A162" s="6">
        <v>30</v>
      </c>
      <c r="B162" s="30" t="s">
        <v>73</v>
      </c>
      <c r="C162" s="31">
        <f>+'[2]SchE6'!$U$207</f>
        <v>2583748.5406023604</v>
      </c>
      <c r="D162" s="32">
        <f>C162</f>
        <v>2583748.5406023604</v>
      </c>
      <c r="E162" s="7"/>
      <c r="F162" s="7"/>
      <c r="G162" s="1"/>
      <c r="H162" s="7"/>
      <c r="I162" s="1"/>
      <c r="J162" s="33" t="s">
        <v>20</v>
      </c>
      <c r="K162" s="1"/>
      <c r="L162" s="1"/>
      <c r="M162" s="1"/>
      <c r="N162" s="1"/>
      <c r="O162" s="1"/>
      <c r="P162" s="1"/>
    </row>
    <row r="163" spans="1:16" ht="15">
      <c r="A163" s="6">
        <v>31</v>
      </c>
      <c r="B163" s="30" t="s">
        <v>74</v>
      </c>
      <c r="C163" s="31">
        <f>+'[2]SchE6'!$U$208</f>
        <v>5613877.20866607</v>
      </c>
      <c r="D163" s="32">
        <f>C163</f>
        <v>5613877.20866607</v>
      </c>
      <c r="E163" s="7"/>
      <c r="F163" s="7"/>
      <c r="G163" s="1"/>
      <c r="H163" s="7"/>
      <c r="I163" s="1"/>
      <c r="J163" s="33" t="s">
        <v>20</v>
      </c>
      <c r="K163" s="1"/>
      <c r="L163" s="1"/>
      <c r="M163" s="1"/>
      <c r="N163" s="1"/>
      <c r="O163" s="1"/>
      <c r="P163" s="1"/>
    </row>
    <row r="164" spans="1:16" ht="15">
      <c r="A164" s="6">
        <v>32</v>
      </c>
      <c r="B164" s="30" t="s">
        <v>75</v>
      </c>
      <c r="C164" s="51">
        <f>+'[2]SchE6'!$U$209+'[5]Sheet1'!$P$26</f>
        <v>1573000</v>
      </c>
      <c r="D164" s="32">
        <f>+C164</f>
        <v>1573000</v>
      </c>
      <c r="E164" s="7"/>
      <c r="F164" s="32"/>
      <c r="G164" s="1"/>
      <c r="H164" s="32"/>
      <c r="I164" s="1"/>
      <c r="J164" s="33" t="s">
        <v>20</v>
      </c>
      <c r="K164" s="1"/>
      <c r="L164" s="1"/>
      <c r="M164" s="1"/>
      <c r="N164" s="1"/>
      <c r="O164" s="1"/>
      <c r="P164" s="1"/>
    </row>
    <row r="165" spans="1:16" ht="15">
      <c r="A165" s="6">
        <v>33</v>
      </c>
      <c r="B165" s="30" t="s">
        <v>76</v>
      </c>
      <c r="C165" s="31">
        <f>+'[2]SchE6'!$U$210</f>
        <v>0</v>
      </c>
      <c r="D165" s="32"/>
      <c r="E165" s="7"/>
      <c r="F165" s="7"/>
      <c r="G165" s="1"/>
      <c r="H165" s="7"/>
      <c r="I165" s="1"/>
      <c r="J165" s="33" t="s">
        <v>20</v>
      </c>
      <c r="K165" s="1"/>
      <c r="L165" s="1"/>
      <c r="M165" s="1"/>
      <c r="N165" s="1"/>
      <c r="O165" s="1"/>
      <c r="P165" s="1"/>
    </row>
    <row r="166" spans="1:16" ht="15">
      <c r="A166" s="6">
        <v>34</v>
      </c>
      <c r="B166" s="33" t="s">
        <v>77</v>
      </c>
      <c r="C166" s="15">
        <f>SUM(C161:C165)</f>
        <v>9770625.749268431</v>
      </c>
      <c r="D166" s="45">
        <f>SUM(D161:D165)</f>
        <v>9770625.749268431</v>
      </c>
      <c r="E166" s="45">
        <f>SUM(E161:E165)</f>
        <v>0</v>
      </c>
      <c r="F166" s="45">
        <f>SUM(F161:F165)</f>
        <v>0</v>
      </c>
      <c r="G166" s="1"/>
      <c r="H166" s="45"/>
      <c r="I166" s="1"/>
      <c r="L166" s="1"/>
      <c r="M166" s="1"/>
      <c r="N166" s="1"/>
      <c r="O166" s="1"/>
      <c r="P166" s="1"/>
    </row>
    <row r="167" spans="1:16" ht="15">
      <c r="A167" s="6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6">
        <v>35</v>
      </c>
      <c r="B168" s="30" t="s">
        <v>137</v>
      </c>
      <c r="C168" s="31">
        <f>+'[2]SchE6'!$U$215</f>
        <v>0</v>
      </c>
      <c r="D168" s="32">
        <f>C168</f>
        <v>0</v>
      </c>
      <c r="E168" s="7"/>
      <c r="F168" s="7"/>
      <c r="G168" s="1"/>
      <c r="H168" s="7"/>
      <c r="I168" s="1"/>
      <c r="J168" s="33"/>
      <c r="K168" s="1"/>
      <c r="L168" s="1"/>
      <c r="M168" s="1"/>
      <c r="N168" s="1"/>
      <c r="O168" s="1"/>
      <c r="P168" s="1"/>
    </row>
    <row r="169" spans="1:16" ht="15">
      <c r="A169" s="6">
        <v>36</v>
      </c>
      <c r="B169" s="30" t="s">
        <v>138</v>
      </c>
      <c r="C169" s="51">
        <f>+'[2]SchE6'!$U$216+'[5]Sheet1'!$P$29</f>
        <v>5815707.0115013495</v>
      </c>
      <c r="D169" s="32">
        <f>C169</f>
        <v>5815707.0115013495</v>
      </c>
      <c r="E169" s="7"/>
      <c r="F169" s="7"/>
      <c r="G169" s="1"/>
      <c r="H169" s="7"/>
      <c r="I169" s="1"/>
      <c r="J169" s="33" t="s">
        <v>20</v>
      </c>
      <c r="K169" s="1"/>
      <c r="L169" s="1"/>
      <c r="M169" s="1"/>
      <c r="N169" s="1"/>
      <c r="O169" s="1"/>
      <c r="P169" s="1"/>
    </row>
    <row r="170" spans="1:16" ht="15">
      <c r="A170" s="6">
        <v>37</v>
      </c>
      <c r="B170" s="30" t="s">
        <v>157</v>
      </c>
      <c r="C170" s="31">
        <f>+'[2]SchE6'!$U$217</f>
        <v>169724.74797799997</v>
      </c>
      <c r="D170" s="32">
        <f>IF(C170=0,0,C170*D30/C30)</f>
        <v>84862.37398899999</v>
      </c>
      <c r="E170" s="32">
        <f>IF(C170=0,0,C170*E30/C30)</f>
        <v>84862.37398899999</v>
      </c>
      <c r="F170" s="32"/>
      <c r="G170" s="1"/>
      <c r="H170" s="32"/>
      <c r="I170" s="1"/>
      <c r="J170" s="33" t="s">
        <v>169</v>
      </c>
      <c r="K170" s="1"/>
      <c r="L170" s="1"/>
      <c r="M170" s="1"/>
      <c r="N170" s="1"/>
      <c r="O170" s="1"/>
      <c r="P170" s="1"/>
    </row>
    <row r="171" spans="1:16" ht="15">
      <c r="A171" s="6">
        <v>38</v>
      </c>
      <c r="B171" s="30" t="s">
        <v>139</v>
      </c>
      <c r="C171" s="51">
        <f>+'[2]SchE6'!$U$218+'[5]Sheet1'!$P$18+'[5]Sheet1'!$P$19+'[5]Sheet1'!$P$20+'[5]Sheet1'!$P$21+'[5]Sheet1'!$P$22</f>
        <v>36589735.605314195</v>
      </c>
      <c r="D171" s="32">
        <f>IF(C171=0,0,C171*(D133+D158+D166+D168+D169+D170)/(C133+C158+C166+C168+C169+C170))</f>
        <v>26427837.175478578</v>
      </c>
      <c r="E171" s="32">
        <f>IF(D171=0,0,D171*(E133+E158+E166+E168+E169+E170)/(D133+D158+D166+D168+D169+D170))</f>
        <v>10161898.429835621</v>
      </c>
      <c r="F171" s="32">
        <f>IF(E171=0,0,E171*(F133+F158+F166+F168+F169+F170)/(E133+E158+E166+E168+E169+E170))</f>
        <v>0</v>
      </c>
      <c r="G171" s="1"/>
      <c r="H171" s="32"/>
      <c r="I171" s="1"/>
      <c r="J171" s="33" t="s">
        <v>78</v>
      </c>
      <c r="K171" s="1"/>
      <c r="L171" s="1"/>
      <c r="M171" s="1"/>
      <c r="N171" s="1"/>
      <c r="O171" s="1"/>
      <c r="P171" s="1"/>
    </row>
    <row r="172" spans="1:16" ht="15">
      <c r="A172" s="6"/>
      <c r="B172" s="1"/>
      <c r="C172" s="37"/>
      <c r="D172" s="38"/>
      <c r="E172" s="38"/>
      <c r="F172" s="38"/>
      <c r="G172" s="1"/>
      <c r="H172" s="38"/>
      <c r="I172" s="1"/>
      <c r="J172" s="1"/>
      <c r="K172" s="1"/>
      <c r="L172" s="1"/>
      <c r="M172" s="1"/>
      <c r="N172" s="1"/>
      <c r="O172" s="1"/>
      <c r="P172" s="1"/>
    </row>
    <row r="173" spans="1:16" ht="15" thickBot="1">
      <c r="A173" s="6">
        <v>39</v>
      </c>
      <c r="B173" s="33" t="s">
        <v>79</v>
      </c>
      <c r="C173" s="10">
        <f>C133+C134+C158+C166+C168+C169+C170+C171</f>
        <v>72124723.48714302</v>
      </c>
      <c r="D173" s="10">
        <f>D133+D134+D158+D166+D168+D169+D170+D171</f>
        <v>52093856.8456831</v>
      </c>
      <c r="E173" s="10">
        <f>E133+E134+E158+E166+E168+E169+E170+E171</f>
        <v>20030866.64145994</v>
      </c>
      <c r="F173" s="10">
        <f>F133+F134+F158+F166+F168+F169+F170+F171</f>
        <v>0</v>
      </c>
      <c r="G173" s="1"/>
      <c r="H173" s="10"/>
      <c r="I173" s="1"/>
      <c r="L173" s="1"/>
      <c r="M173" s="1"/>
      <c r="N173" s="1"/>
      <c r="O173" s="1"/>
      <c r="P173" s="1"/>
    </row>
    <row r="174" spans="1:16" ht="15" thickTop="1">
      <c r="A174" s="1"/>
      <c r="B174" s="1"/>
      <c r="E174" s="44"/>
      <c r="F174" s="44"/>
      <c r="G174" s="1"/>
      <c r="H174" s="44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E175" s="2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2"/>
      <c r="B176" s="13"/>
      <c r="C176" s="2"/>
      <c r="D176" s="2"/>
      <c r="E176" s="2"/>
      <c r="F176" s="2"/>
      <c r="G176" s="2"/>
      <c r="H176" s="2"/>
      <c r="I176" s="2"/>
      <c r="J176" s="13"/>
      <c r="K176" s="2"/>
      <c r="L176" s="25"/>
      <c r="M176" s="1"/>
      <c r="N176" s="1"/>
      <c r="O176" s="1"/>
      <c r="P176" s="1"/>
    </row>
    <row r="177" spans="1:16" ht="25.5" customHeight="1">
      <c r="A177" s="1"/>
      <c r="B177" s="1" t="s">
        <v>80</v>
      </c>
      <c r="C177" s="1"/>
      <c r="D177" s="1"/>
      <c r="E177" s="1"/>
      <c r="F177" s="1"/>
      <c r="G177" s="1"/>
      <c r="H177" s="1"/>
      <c r="I177" s="1"/>
      <c r="J177" s="1"/>
      <c r="K177" s="1" t="s">
        <v>181</v>
      </c>
      <c r="L177" s="1"/>
      <c r="M177" s="1"/>
      <c r="N177" s="1"/>
      <c r="O177" s="1"/>
      <c r="P177" s="1"/>
    </row>
    <row r="178" spans="1:16" ht="15" hidden="1" thickBot="1">
      <c r="A178" s="18"/>
      <c r="B178" s="19"/>
      <c r="C178" s="18"/>
      <c r="D178" s="18"/>
      <c r="E178" s="22"/>
      <c r="F178" s="40"/>
      <c r="G178" s="18"/>
      <c r="H178" s="18"/>
      <c r="I178" s="18"/>
      <c r="J178" s="18"/>
      <c r="K178" s="19"/>
      <c r="L178" s="18"/>
      <c r="M178" s="1"/>
      <c r="N178" s="1"/>
      <c r="O178" s="1"/>
      <c r="P178" s="1"/>
    </row>
    <row r="179" spans="1:16" ht="1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hidden="1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 thickBot="1">
      <c r="A182" s="27"/>
      <c r="B182" s="3" t="s">
        <v>184</v>
      </c>
      <c r="C182" s="27"/>
      <c r="D182" s="27"/>
      <c r="E182" s="29" t="s">
        <v>132</v>
      </c>
      <c r="F182" s="28"/>
      <c r="G182" s="27"/>
      <c r="H182" s="27"/>
      <c r="I182" s="27"/>
      <c r="J182" s="27"/>
      <c r="K182" s="28" t="s">
        <v>33</v>
      </c>
      <c r="L182" s="27"/>
      <c r="M182" s="1"/>
      <c r="N182" s="1"/>
      <c r="O182" s="1"/>
      <c r="P182" s="1"/>
    </row>
    <row r="183" spans="1:16" ht="25.5" customHeight="1">
      <c r="A183" s="18"/>
      <c r="B183" s="19" t="s">
        <v>1</v>
      </c>
      <c r="C183" s="18"/>
      <c r="D183" s="18"/>
      <c r="E183" s="22"/>
      <c r="F183" s="19"/>
      <c r="G183" s="18"/>
      <c r="H183" s="18"/>
      <c r="I183" s="18"/>
      <c r="J183" s="18"/>
      <c r="K183" s="19" t="s">
        <v>2</v>
      </c>
      <c r="L183" s="18"/>
      <c r="M183" s="1"/>
      <c r="N183" s="1"/>
      <c r="O183" s="1"/>
      <c r="P183" s="1"/>
    </row>
    <row r="184" spans="1:16" ht="15">
      <c r="A184" s="1"/>
      <c r="B184" s="4" t="s">
        <v>125</v>
      </c>
      <c r="C184" s="1"/>
      <c r="D184" s="1"/>
      <c r="E184" s="14" t="s">
        <v>133</v>
      </c>
      <c r="F184" s="1"/>
      <c r="G184" s="1"/>
      <c r="H184" s="1"/>
      <c r="I184" s="1"/>
      <c r="J184" s="1"/>
      <c r="K184" s="3" t="s">
        <v>146</v>
      </c>
      <c r="L184" s="1"/>
      <c r="M184" s="1"/>
      <c r="N184" s="1"/>
      <c r="O184" s="1"/>
      <c r="P184" s="1"/>
    </row>
    <row r="185" spans="1:16" ht="15">
      <c r="A185" s="1"/>
      <c r="B185" s="4" t="str">
        <f>+B4</f>
        <v>DOCKET NO.:   080318-GU</v>
      </c>
      <c r="C185" s="1"/>
      <c r="D185" s="1"/>
      <c r="E185" s="14" t="s">
        <v>82</v>
      </c>
      <c r="F185" s="3"/>
      <c r="G185" s="1"/>
      <c r="H185" s="1"/>
      <c r="I185" s="1"/>
      <c r="J185" s="1"/>
      <c r="K185" s="4" t="s">
        <v>147</v>
      </c>
      <c r="L185" s="1"/>
      <c r="M185" s="1"/>
      <c r="N185" s="1"/>
      <c r="O185" s="1"/>
      <c r="P185" s="1"/>
    </row>
    <row r="186" spans="1:16" ht="15" thickBot="1">
      <c r="A186" s="2"/>
      <c r="B186" s="2"/>
      <c r="C186" s="2"/>
      <c r="D186" s="2"/>
      <c r="E186" s="21"/>
      <c r="F186" s="2"/>
      <c r="G186" s="2"/>
      <c r="H186" s="2"/>
      <c r="I186" s="2"/>
      <c r="J186" s="2"/>
      <c r="K186" s="24"/>
      <c r="L186" s="2"/>
      <c r="M186" s="1"/>
      <c r="N186" s="1"/>
      <c r="O186" s="1"/>
      <c r="P186" s="1"/>
    </row>
    <row r="187" spans="1:16" ht="25.5" customHeight="1">
      <c r="A187" s="18"/>
      <c r="B187" s="18"/>
      <c r="C187" s="18"/>
      <c r="D187" s="18"/>
      <c r="E187" s="22" t="s">
        <v>156</v>
      </c>
      <c r="F187" s="18"/>
      <c r="G187" s="18"/>
      <c r="H187" s="18"/>
      <c r="I187" s="18"/>
      <c r="J187" s="18"/>
      <c r="K187" s="18"/>
      <c r="L187" s="18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4" t="s">
        <v>134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60" customHeight="1">
      <c r="A189" s="1"/>
      <c r="B189" s="3"/>
      <c r="C189" s="1"/>
      <c r="D189" s="1"/>
      <c r="E189" s="1"/>
      <c r="F189" s="1"/>
      <c r="G189" s="1"/>
      <c r="H189" s="1"/>
      <c r="I189" s="1"/>
      <c r="J189" s="3"/>
      <c r="K189" s="1"/>
      <c r="L189" s="1"/>
      <c r="M189" s="1"/>
      <c r="N189" s="1"/>
      <c r="O189" s="1"/>
      <c r="P189" s="1"/>
    </row>
    <row r="190" spans="1:16" ht="15">
      <c r="A190" s="5" t="s">
        <v>124</v>
      </c>
      <c r="B190" s="1"/>
      <c r="C190" s="5" t="s">
        <v>3</v>
      </c>
      <c r="D190" s="5" t="s">
        <v>4</v>
      </c>
      <c r="E190" s="5" t="s">
        <v>5</v>
      </c>
      <c r="F190" s="5" t="s">
        <v>6</v>
      </c>
      <c r="G190" s="5"/>
      <c r="H190" s="5" t="s">
        <v>84</v>
      </c>
      <c r="I190" s="5"/>
      <c r="J190" s="5" t="s">
        <v>7</v>
      </c>
      <c r="K190" s="1"/>
      <c r="L190" s="1"/>
      <c r="M190" s="1"/>
      <c r="N190" s="1"/>
      <c r="O190" s="1"/>
      <c r="P190" s="1"/>
    </row>
    <row r="191" spans="1:16" ht="15">
      <c r="A191" s="5"/>
      <c r="B191" s="1"/>
      <c r="C191" s="5"/>
      <c r="D191" s="5"/>
      <c r="E191" s="5"/>
      <c r="F191" s="5"/>
      <c r="G191" s="5"/>
      <c r="H191" s="5"/>
      <c r="I191" s="5"/>
      <c r="J191" s="5"/>
      <c r="K191" s="1"/>
      <c r="L191" s="1"/>
      <c r="M191" s="1"/>
      <c r="N191" s="1"/>
      <c r="O191" s="1"/>
      <c r="P191" s="1"/>
    </row>
    <row r="192" spans="1:16" ht="15">
      <c r="A192" s="6">
        <v>1</v>
      </c>
      <c r="B192" s="33" t="s">
        <v>83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6">
        <v>2</v>
      </c>
      <c r="B193" s="30" t="s">
        <v>85</v>
      </c>
      <c r="C193" s="51">
        <f>+'[2]SchE6'!$U$264+'[5]Sheet1'!$P$9</f>
        <v>41853490.39821072</v>
      </c>
      <c r="D193" s="32">
        <f>C193*(D98/C98)</f>
        <v>14949490.736604176</v>
      </c>
      <c r="E193" s="32">
        <f>C193*(E98/C98)</f>
        <v>26903999.671113048</v>
      </c>
      <c r="F193" s="32"/>
      <c r="G193" s="7"/>
      <c r="H193" s="7"/>
      <c r="I193" s="7"/>
      <c r="J193" s="33" t="s">
        <v>174</v>
      </c>
      <c r="L193" s="1"/>
      <c r="M193" s="1"/>
      <c r="N193" s="1"/>
      <c r="O193" s="1"/>
      <c r="P193" s="1"/>
    </row>
    <row r="194" spans="1:16" ht="15">
      <c r="A194" s="6">
        <v>3</v>
      </c>
      <c r="B194" s="34" t="s">
        <v>140</v>
      </c>
      <c r="C194" s="31">
        <f>+'[2]SchE6'!$U$265</f>
        <v>640000</v>
      </c>
      <c r="D194" s="7"/>
      <c r="E194" s="32">
        <f>C194</f>
        <v>640000</v>
      </c>
      <c r="F194" s="7"/>
      <c r="G194" s="7"/>
      <c r="H194" s="7"/>
      <c r="I194" s="7"/>
      <c r="J194" s="33" t="s">
        <v>9</v>
      </c>
      <c r="L194" s="1"/>
      <c r="M194" s="1"/>
      <c r="N194" s="1"/>
      <c r="O194" s="1"/>
      <c r="P194" s="1"/>
    </row>
    <row r="195" spans="1:16" ht="15">
      <c r="A195" s="6">
        <v>4</v>
      </c>
      <c r="B195" s="30" t="s">
        <v>141</v>
      </c>
      <c r="C195" s="31">
        <f>+'[2]SchE6'!$U$266</f>
        <v>0</v>
      </c>
      <c r="D195" s="7"/>
      <c r="E195" s="32">
        <f>C195</f>
        <v>0</v>
      </c>
      <c r="F195" s="7"/>
      <c r="G195" s="7"/>
      <c r="H195" s="7"/>
      <c r="I195" s="7"/>
      <c r="J195" s="33" t="s">
        <v>9</v>
      </c>
      <c r="L195" s="1"/>
      <c r="M195" s="1"/>
      <c r="N195" s="1"/>
      <c r="O195" s="1"/>
      <c r="P195" s="1"/>
    </row>
    <row r="196" spans="1:16" ht="15">
      <c r="A196" s="6">
        <v>5</v>
      </c>
      <c r="B196" s="33" t="s">
        <v>142</v>
      </c>
      <c r="C196" s="32">
        <f>+'[2]SchE6'!$U$267</f>
        <v>156624</v>
      </c>
      <c r="D196" s="32"/>
      <c r="E196" s="32">
        <f>C196</f>
        <v>156624</v>
      </c>
      <c r="F196" s="32"/>
      <c r="G196" s="7"/>
      <c r="H196" s="7"/>
      <c r="I196" s="7"/>
      <c r="J196" s="33" t="s">
        <v>179</v>
      </c>
      <c r="L196" s="1"/>
      <c r="M196" s="1"/>
      <c r="N196" s="1"/>
      <c r="O196" s="1"/>
      <c r="P196" s="1"/>
    </row>
    <row r="197" spans="1:16" ht="15">
      <c r="A197" s="6">
        <v>6</v>
      </c>
      <c r="B197" s="33" t="s">
        <v>143</v>
      </c>
      <c r="C197" s="32">
        <f>+'[2]SchE6'!$U$268</f>
        <v>1040978.72</v>
      </c>
      <c r="D197" s="32">
        <v>0</v>
      </c>
      <c r="E197" s="32">
        <f>+C197</f>
        <v>1040978.72</v>
      </c>
      <c r="F197" s="32"/>
      <c r="G197" s="7"/>
      <c r="H197" s="7"/>
      <c r="I197" s="7"/>
      <c r="J197" s="33" t="s">
        <v>9</v>
      </c>
      <c r="L197" s="1"/>
      <c r="M197" s="1"/>
      <c r="N197" s="1"/>
      <c r="O197" s="1"/>
      <c r="P197" s="1"/>
    </row>
    <row r="198" spans="1:16" ht="15">
      <c r="A198" s="6">
        <v>7</v>
      </c>
      <c r="B198" s="33"/>
      <c r="C198" s="32"/>
      <c r="D198" s="7"/>
      <c r="E198" s="7"/>
      <c r="F198" s="32"/>
      <c r="G198" s="7"/>
      <c r="H198" s="7"/>
      <c r="I198" s="7"/>
      <c r="J198" s="33"/>
      <c r="L198" s="1"/>
      <c r="M198" s="1"/>
      <c r="N198" s="1"/>
      <c r="O198" s="1"/>
      <c r="P198" s="1"/>
    </row>
    <row r="199" spans="1:16" ht="15">
      <c r="A199" s="6">
        <v>8</v>
      </c>
      <c r="B199" s="33" t="s">
        <v>87</v>
      </c>
      <c r="C199" s="16">
        <f>SUM(C193:C198)</f>
        <v>43691093.11821072</v>
      </c>
      <c r="D199" s="16">
        <f>SUM(D193:D198)</f>
        <v>14949490.736604176</v>
      </c>
      <c r="E199" s="16">
        <f>SUM(E193:E198)</f>
        <v>28741602.391113047</v>
      </c>
      <c r="F199" s="16"/>
      <c r="G199" s="7"/>
      <c r="H199" s="45"/>
      <c r="I199" s="7"/>
      <c r="M199" s="1"/>
      <c r="N199" s="1"/>
      <c r="O199" s="1"/>
      <c r="P199" s="1"/>
    </row>
    <row r="200" spans="1:16" ht="15">
      <c r="A200" s="6"/>
      <c r="B200" s="1"/>
      <c r="C200" s="7"/>
      <c r="D200" s="32"/>
      <c r="E200" s="32"/>
      <c r="F200" s="7"/>
      <c r="G200" s="7"/>
      <c r="H200" s="7"/>
      <c r="I200" s="7"/>
      <c r="J200" s="1"/>
      <c r="L200" s="1"/>
      <c r="M200" s="1"/>
      <c r="N200" s="1"/>
      <c r="O200" s="1"/>
      <c r="P200" s="1"/>
    </row>
    <row r="201" spans="1:16" ht="15">
      <c r="A201" s="6">
        <v>9</v>
      </c>
      <c r="B201" s="33" t="s">
        <v>88</v>
      </c>
      <c r="C201" s="7"/>
      <c r="D201" s="7"/>
      <c r="E201" s="7"/>
      <c r="F201" s="7"/>
      <c r="G201" s="7"/>
      <c r="H201" s="7"/>
      <c r="I201" s="7"/>
      <c r="J201" s="1"/>
      <c r="L201" s="1"/>
      <c r="M201" s="1"/>
      <c r="N201" s="1"/>
      <c r="O201" s="1"/>
      <c r="P201" s="1"/>
    </row>
    <row r="202" spans="1:16" ht="15">
      <c r="A202" s="6">
        <v>10</v>
      </c>
      <c r="B202" s="30" t="s">
        <v>89</v>
      </c>
      <c r="C202" s="51">
        <f>+'[2]SchE6'!$U$273+'[5]Sheet1'!$P$14</f>
        <v>1052682.921344249</v>
      </c>
      <c r="D202" s="9"/>
      <c r="E202" s="7"/>
      <c r="F202" s="7"/>
      <c r="G202" s="7"/>
      <c r="H202" s="32">
        <f>C202</f>
        <v>1052682.921344249</v>
      </c>
      <c r="I202" s="7"/>
      <c r="J202" s="33" t="s">
        <v>90</v>
      </c>
      <c r="L202" s="1"/>
      <c r="M202" s="1"/>
      <c r="N202" s="1"/>
      <c r="O202" s="1"/>
      <c r="P202" s="1"/>
    </row>
    <row r="203" spans="1:16" ht="15">
      <c r="A203" s="6">
        <v>11</v>
      </c>
      <c r="B203" s="30" t="s">
        <v>91</v>
      </c>
      <c r="C203" s="31">
        <f>+'[2]SchE6'!$U$274</f>
        <v>9778750.24955483</v>
      </c>
      <c r="D203" s="31">
        <f>C203*(D98/C98)</f>
        <v>3492835.003255436</v>
      </c>
      <c r="E203" s="32">
        <f>C203*(E98/C98)</f>
        <v>6285915.248520516</v>
      </c>
      <c r="F203" s="32"/>
      <c r="G203" s="7"/>
      <c r="H203" s="7"/>
      <c r="I203" s="7"/>
      <c r="J203" s="33" t="s">
        <v>86</v>
      </c>
      <c r="L203" s="1"/>
      <c r="M203" s="1"/>
      <c r="N203" s="1"/>
      <c r="O203" s="1"/>
      <c r="P203" s="1"/>
    </row>
    <row r="204" spans="1:16" ht="15">
      <c r="A204" s="6">
        <v>12</v>
      </c>
      <c r="B204" s="30" t="s">
        <v>92</v>
      </c>
      <c r="C204" s="35">
        <f>C202+C203</f>
        <v>10831433.170899078</v>
      </c>
      <c r="D204" s="16">
        <f>SUM(D202:D203)</f>
        <v>3492835.003255436</v>
      </c>
      <c r="E204" s="16">
        <f>SUM(E202:E203)</f>
        <v>6285915.248520516</v>
      </c>
      <c r="F204" s="16"/>
      <c r="G204" s="7"/>
      <c r="H204" s="45">
        <f>SUM(H202:H203)</f>
        <v>1052682.921344249</v>
      </c>
      <c r="I204" s="7"/>
      <c r="M204" s="1"/>
      <c r="N204" s="1"/>
      <c r="O204" s="1"/>
      <c r="P204" s="1"/>
    </row>
    <row r="205" spans="1:16" ht="15">
      <c r="A205" s="6"/>
      <c r="B205" s="8"/>
      <c r="C205" s="9"/>
      <c r="D205" s="7"/>
      <c r="E205" s="7"/>
      <c r="F205" s="7"/>
      <c r="G205" s="7"/>
      <c r="H205" s="7"/>
      <c r="I205" s="7"/>
      <c r="J205" s="1"/>
      <c r="L205" s="1"/>
      <c r="M205" s="1"/>
      <c r="N205" s="1"/>
      <c r="O205" s="1"/>
      <c r="P205" s="1"/>
    </row>
    <row r="206" spans="1:16" ht="15">
      <c r="A206" s="6"/>
      <c r="B206" s="30"/>
      <c r="C206" s="9"/>
      <c r="D206" s="7"/>
      <c r="E206" s="7"/>
      <c r="F206" s="7"/>
      <c r="G206" s="17"/>
      <c r="H206" s="7"/>
      <c r="I206" s="7"/>
      <c r="J206" s="1"/>
      <c r="L206" s="1"/>
      <c r="M206" s="1"/>
      <c r="N206" s="1"/>
      <c r="O206" s="1"/>
      <c r="P206" s="1"/>
    </row>
    <row r="207" spans="1:16" ht="15">
      <c r="A207" s="6">
        <f>+A204+1</f>
        <v>13</v>
      </c>
      <c r="B207" s="30" t="s">
        <v>175</v>
      </c>
      <c r="C207" s="31">
        <f>+'[3]SCHG2-1'!$R$36</f>
        <v>-480321.33785999997</v>
      </c>
      <c r="D207" s="32">
        <f>+C207</f>
        <v>-480321.33785999997</v>
      </c>
      <c r="E207" s="32"/>
      <c r="F207" s="32"/>
      <c r="G207" s="7"/>
      <c r="H207" s="7"/>
      <c r="I207" s="9"/>
      <c r="J207" s="30" t="s">
        <v>20</v>
      </c>
      <c r="L207" s="8"/>
      <c r="M207" s="1"/>
      <c r="N207" s="1"/>
      <c r="O207" s="1"/>
      <c r="P207" s="1"/>
    </row>
    <row r="208" spans="1:16" ht="15">
      <c r="A208" s="6"/>
      <c r="B208" s="8"/>
      <c r="C208" s="9"/>
      <c r="D208" s="7"/>
      <c r="E208" s="7"/>
      <c r="F208" s="7"/>
      <c r="G208" s="17"/>
      <c r="H208" s="7"/>
      <c r="I208" s="7"/>
      <c r="J208" s="1"/>
      <c r="L208" s="1"/>
      <c r="M208" s="1"/>
      <c r="N208" s="1"/>
      <c r="O208" s="1"/>
      <c r="P208" s="1"/>
    </row>
    <row r="209" spans="1:16" ht="15">
      <c r="A209" s="6">
        <f>+A207+1</f>
        <v>14</v>
      </c>
      <c r="B209" s="30" t="s">
        <v>145</v>
      </c>
      <c r="C209" s="51">
        <f>+'[2]SchE6'!$U$278+'[6]Sheet1'!$P$54</f>
        <v>47671804</v>
      </c>
      <c r="D209" s="32">
        <f>C209*D102/C102</f>
        <v>16671013.075499583</v>
      </c>
      <c r="E209" s="32">
        <f>C209*E102/C102</f>
        <v>31000790.935550403</v>
      </c>
      <c r="F209" s="32">
        <f>C209*F102/C102</f>
        <v>0</v>
      </c>
      <c r="G209" s="7"/>
      <c r="H209" s="7"/>
      <c r="I209" s="7"/>
      <c r="J209" s="33" t="s">
        <v>177</v>
      </c>
      <c r="L209" s="1"/>
      <c r="M209" s="1"/>
      <c r="N209" s="1"/>
      <c r="O209" s="1"/>
      <c r="P209" s="1"/>
    </row>
    <row r="210" spans="1:16" ht="15">
      <c r="A210" s="6"/>
      <c r="B210" s="8"/>
      <c r="C210" s="9"/>
      <c r="D210" s="7"/>
      <c r="E210" s="7"/>
      <c r="F210" s="7"/>
      <c r="G210" s="7"/>
      <c r="H210" s="7"/>
      <c r="I210" s="7"/>
      <c r="J210" s="1"/>
      <c r="L210" s="1"/>
      <c r="M210" s="1"/>
      <c r="N210" s="1"/>
      <c r="O210" s="1"/>
      <c r="P210" s="1"/>
    </row>
    <row r="211" spans="1:16" ht="15">
      <c r="A211" s="6">
        <f>+A209+1</f>
        <v>15</v>
      </c>
      <c r="B211" s="30" t="s">
        <v>93</v>
      </c>
      <c r="C211" s="51">
        <f>+'[2]SchE6'!$U$280+'[6]Sheet1'!$P$47</f>
        <v>16720164.233336622</v>
      </c>
      <c r="D211" s="32">
        <f>C211*D209/C209</f>
        <v>5847105.692884105</v>
      </c>
      <c r="E211" s="32">
        <f>C211*E209/C209</f>
        <v>10873058.54432813</v>
      </c>
      <c r="F211" s="32">
        <f>C211*F209/C209</f>
        <v>0</v>
      </c>
      <c r="G211" s="7"/>
      <c r="H211" s="32"/>
      <c r="I211" s="7"/>
      <c r="J211" s="33" t="s">
        <v>178</v>
      </c>
      <c r="L211" s="1"/>
      <c r="M211" s="1"/>
      <c r="N211" s="1"/>
      <c r="O211" s="1"/>
      <c r="P211" s="1"/>
    </row>
    <row r="212" spans="1:16" ht="15">
      <c r="A212" s="6"/>
      <c r="B212" s="46"/>
      <c r="C212" s="7"/>
      <c r="D212" s="7"/>
      <c r="E212" s="7"/>
      <c r="F212" s="7"/>
      <c r="G212" s="7"/>
      <c r="H212" s="7"/>
      <c r="I212" s="7"/>
      <c r="J212" s="7"/>
      <c r="K212" s="1"/>
      <c r="L212" s="1"/>
      <c r="M212" s="1"/>
      <c r="N212" s="1"/>
      <c r="O212" s="1"/>
      <c r="P212" s="1"/>
    </row>
    <row r="213" spans="1:16" ht="15">
      <c r="A213" s="6"/>
      <c r="B213" s="1"/>
      <c r="C213" s="7"/>
      <c r="D213" s="7"/>
      <c r="E213" s="7"/>
      <c r="F213" s="7"/>
      <c r="G213" s="7"/>
      <c r="H213" s="7"/>
      <c r="I213" s="7"/>
      <c r="J213" s="7"/>
      <c r="K213" s="1"/>
      <c r="L213" s="1"/>
      <c r="M213" s="1"/>
      <c r="N213" s="1"/>
      <c r="O213" s="1"/>
      <c r="P213" s="1"/>
    </row>
    <row r="214" spans="1:16" ht="15">
      <c r="A214" s="6"/>
      <c r="B214" s="1"/>
      <c r="C214" s="7"/>
      <c r="D214" s="7"/>
      <c r="E214" s="7"/>
      <c r="F214" s="7"/>
      <c r="G214" s="7"/>
      <c r="H214" s="7"/>
      <c r="I214" s="7"/>
      <c r="J214" s="7"/>
      <c r="K214" s="1"/>
      <c r="L214" s="1"/>
      <c r="M214" s="1"/>
      <c r="N214" s="1"/>
      <c r="O214" s="1"/>
      <c r="P214" s="1"/>
    </row>
    <row r="215" spans="1:16" ht="15">
      <c r="A215" s="6"/>
      <c r="B215" s="1"/>
      <c r="C215" s="7"/>
      <c r="D215" s="7"/>
      <c r="E215" s="7"/>
      <c r="F215" s="7"/>
      <c r="G215" s="7"/>
      <c r="H215" s="7"/>
      <c r="I215" s="7"/>
      <c r="J215" s="7"/>
      <c r="K215" s="1"/>
      <c r="L215" s="1"/>
      <c r="M215" s="1"/>
      <c r="N215" s="1"/>
      <c r="O215" s="1"/>
      <c r="P215" s="1"/>
    </row>
    <row r="216" spans="1:16" ht="15" thickBot="1">
      <c r="A216" s="6">
        <f>+A211+1</f>
        <v>16</v>
      </c>
      <c r="B216" s="33" t="s">
        <v>94</v>
      </c>
      <c r="C216" s="10">
        <f>C173+C199+C204+C207+C209+C211</f>
        <v>190558896.67172945</v>
      </c>
      <c r="D216" s="10">
        <f>D173+D199+D204+D207+D209+D211</f>
        <v>92573980.01606639</v>
      </c>
      <c r="E216" s="10">
        <f>E173+E199+E204+E207+E209+E211</f>
        <v>96932233.76097202</v>
      </c>
      <c r="F216" s="10">
        <f>F173+F199+F204+F207+F209+F211</f>
        <v>0</v>
      </c>
      <c r="G216" s="10"/>
      <c r="H216" s="10">
        <f>H173+H199+H204+H207+H209+H211</f>
        <v>1052682.921344249</v>
      </c>
      <c r="I216" s="7"/>
      <c r="J216" s="7"/>
      <c r="M216" s="1"/>
      <c r="N216" s="1"/>
      <c r="O216" s="1"/>
      <c r="P216" s="1"/>
    </row>
    <row r="217" spans="1:16" ht="15" thickTop="1">
      <c r="A217" s="1"/>
      <c r="B217" s="1"/>
      <c r="C217" s="38"/>
      <c r="D217" s="38"/>
      <c r="E217" s="38"/>
      <c r="F217" s="38"/>
      <c r="G217" s="47"/>
      <c r="H217" s="47"/>
      <c r="I217" s="7"/>
      <c r="J217" s="7"/>
      <c r="K217" s="1"/>
      <c r="L217" s="1"/>
      <c r="M217" s="1"/>
      <c r="N217" s="1"/>
      <c r="O217" s="1"/>
      <c r="P217" s="1"/>
    </row>
    <row r="218" spans="1:16" ht="15">
      <c r="A218" s="1"/>
      <c r="I218" s="7"/>
      <c r="J218" s="1"/>
      <c r="K218" s="1"/>
      <c r="L218" s="1"/>
      <c r="M218" s="1"/>
      <c r="N218" s="1"/>
      <c r="O218" s="1"/>
      <c r="P218" s="1"/>
    </row>
    <row r="219" spans="1:16" ht="15">
      <c r="A219" s="6">
        <f>+A216+1</f>
        <v>17</v>
      </c>
      <c r="B219" s="30" t="s">
        <v>176</v>
      </c>
      <c r="C219" s="51">
        <f>-'[4]SCHE-1'!$V$150-'[4]SCHE-1'!$U$146-'[5]Sheet1'!$P$13</f>
        <v>-9746215.372888427</v>
      </c>
      <c r="D219" s="31">
        <f>C219</f>
        <v>-9746215.372888427</v>
      </c>
      <c r="E219" s="7">
        <v>0</v>
      </c>
      <c r="F219" s="7">
        <v>0</v>
      </c>
      <c r="G219" s="7"/>
      <c r="H219" s="7">
        <v>0</v>
      </c>
      <c r="J219" s="30" t="s">
        <v>20</v>
      </c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7"/>
      <c r="D220" s="7"/>
      <c r="E220" s="7"/>
      <c r="F220" s="7"/>
      <c r="G220" s="7"/>
      <c r="H220" s="7"/>
      <c r="I220" s="7"/>
      <c r="J220" s="30"/>
      <c r="K220" s="1"/>
      <c r="L220" s="1"/>
      <c r="M220" s="1"/>
      <c r="N220" s="1"/>
      <c r="O220" s="1"/>
      <c r="P220" s="1"/>
    </row>
    <row r="221" spans="1:16" ht="15" hidden="1">
      <c r="A221" s="1"/>
      <c r="B221" s="1"/>
      <c r="C221" s="7"/>
      <c r="D221" s="7"/>
      <c r="E221" s="7"/>
      <c r="F221" s="7"/>
      <c r="G221" s="7"/>
      <c r="H221" s="7"/>
      <c r="I221" s="7"/>
      <c r="J221" s="7"/>
      <c r="K221" s="1"/>
      <c r="L221" s="1"/>
      <c r="M221" s="1"/>
      <c r="N221" s="1"/>
      <c r="O221" s="1"/>
      <c r="P221" s="1"/>
    </row>
    <row r="222" spans="1:16" ht="1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" thickBot="1">
      <c r="A238" s="2"/>
      <c r="B238" s="13"/>
      <c r="C238" s="2"/>
      <c r="D238" s="2"/>
      <c r="E238" s="2"/>
      <c r="F238" s="2"/>
      <c r="G238" s="2"/>
      <c r="H238" s="2"/>
      <c r="I238" s="2"/>
      <c r="J238" s="13"/>
      <c r="K238" s="2"/>
      <c r="L238" s="2"/>
      <c r="M238" s="1"/>
      <c r="N238" s="1"/>
      <c r="O238" s="1"/>
      <c r="P238" s="1"/>
    </row>
    <row r="239" spans="1:16" ht="25.5" customHeight="1">
      <c r="A239" s="18"/>
      <c r="B239" s="19" t="s">
        <v>95</v>
      </c>
      <c r="C239" s="18"/>
      <c r="D239" s="18"/>
      <c r="E239" s="18"/>
      <c r="F239" s="18"/>
      <c r="G239" s="18"/>
      <c r="H239" s="18"/>
      <c r="I239" s="18"/>
      <c r="J239" s="18"/>
      <c r="K239" s="19" t="s">
        <v>181</v>
      </c>
      <c r="L239" s="18"/>
      <c r="M239" s="1"/>
      <c r="N239" s="1"/>
      <c r="O239" s="1"/>
      <c r="P239" s="1"/>
    </row>
    <row r="240" spans="1:1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">
      <c r="A244" s="1"/>
      <c r="B244" s="1"/>
      <c r="C244" s="1"/>
      <c r="D244" s="1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" thickBot="1">
      <c r="A245" s="27"/>
      <c r="B245" s="3" t="s">
        <v>184</v>
      </c>
      <c r="C245" s="27"/>
      <c r="D245" s="27"/>
      <c r="E245" s="29" t="s">
        <v>132</v>
      </c>
      <c r="F245" s="48"/>
      <c r="G245" s="27"/>
      <c r="H245" s="27"/>
      <c r="I245" s="27"/>
      <c r="J245" s="27"/>
      <c r="K245" s="28" t="s">
        <v>0</v>
      </c>
      <c r="L245" s="27"/>
      <c r="M245" s="1"/>
      <c r="N245" s="1"/>
      <c r="O245" s="1"/>
      <c r="P245" s="1"/>
    </row>
    <row r="246" spans="1:16" ht="25.5" customHeight="1">
      <c r="A246" s="18"/>
      <c r="B246" s="19" t="s">
        <v>1</v>
      </c>
      <c r="C246" s="18"/>
      <c r="D246" s="18"/>
      <c r="E246" s="22"/>
      <c r="F246" s="40"/>
      <c r="G246" s="18"/>
      <c r="H246" s="18"/>
      <c r="I246" s="18"/>
      <c r="J246" s="18"/>
      <c r="K246" s="19" t="s">
        <v>2</v>
      </c>
      <c r="L246" s="18"/>
      <c r="M246" s="1"/>
      <c r="N246" s="1"/>
      <c r="O246" s="1"/>
      <c r="P246" s="1"/>
    </row>
    <row r="247" spans="1:16" ht="15">
      <c r="A247" s="1"/>
      <c r="B247" s="4" t="s">
        <v>125</v>
      </c>
      <c r="C247" s="1"/>
      <c r="D247" s="1"/>
      <c r="E247" s="14" t="s">
        <v>133</v>
      </c>
      <c r="F247" s="1"/>
      <c r="G247" s="1"/>
      <c r="H247" s="1"/>
      <c r="I247" s="1"/>
      <c r="J247" s="1"/>
      <c r="K247" s="3" t="s">
        <v>146</v>
      </c>
      <c r="L247" s="1"/>
      <c r="M247" s="1"/>
      <c r="N247" s="1"/>
      <c r="O247" s="1"/>
      <c r="P247" s="1"/>
    </row>
    <row r="248" spans="1:16" ht="15">
      <c r="A248" s="1"/>
      <c r="B248" s="4" t="str">
        <f>+B4</f>
        <v>DOCKET NO.:   080318-GU</v>
      </c>
      <c r="C248" s="1"/>
      <c r="D248" s="1"/>
      <c r="E248" s="14" t="s">
        <v>82</v>
      </c>
      <c r="F248" s="3"/>
      <c r="G248" s="1"/>
      <c r="H248" s="1"/>
      <c r="I248" s="1"/>
      <c r="J248" s="1"/>
      <c r="K248" s="4" t="s">
        <v>147</v>
      </c>
      <c r="L248" s="1"/>
      <c r="M248" s="1"/>
      <c r="N248" s="1"/>
      <c r="O248" s="1"/>
      <c r="P248" s="1"/>
    </row>
    <row r="249" spans="1:16" ht="15" thickBot="1">
      <c r="A249" s="2"/>
      <c r="B249" s="2"/>
      <c r="C249" s="2"/>
      <c r="D249" s="2"/>
      <c r="E249" s="23"/>
      <c r="F249" s="13"/>
      <c r="G249" s="2"/>
      <c r="H249" s="2"/>
      <c r="I249" s="2"/>
      <c r="J249" s="2"/>
      <c r="K249" s="24"/>
      <c r="L249" s="2"/>
      <c r="M249" s="1"/>
      <c r="N249" s="1"/>
      <c r="O249" s="1"/>
      <c r="P249" s="1"/>
    </row>
    <row r="250" spans="1:16" ht="25.5" customHeight="1">
      <c r="A250" s="18"/>
      <c r="B250" s="18"/>
      <c r="C250" s="18"/>
      <c r="D250" s="18"/>
      <c r="E250" s="20" t="s">
        <v>135</v>
      </c>
      <c r="F250" s="18"/>
      <c r="G250" s="18"/>
      <c r="H250" s="18"/>
      <c r="I250" s="18"/>
      <c r="J250" s="18"/>
      <c r="K250" s="18"/>
      <c r="L250" s="18"/>
      <c r="M250" s="1"/>
      <c r="N250" s="1"/>
      <c r="O250" s="1"/>
      <c r="P250" s="1"/>
    </row>
    <row r="251" spans="1:1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60" customHeight="1">
      <c r="A252" s="1"/>
      <c r="B252" s="3"/>
      <c r="C252" s="1"/>
      <c r="D252" s="1"/>
      <c r="E252" s="1"/>
      <c r="F252" s="1"/>
      <c r="G252" s="1"/>
      <c r="H252" s="1"/>
      <c r="I252" s="1"/>
      <c r="J252" s="3"/>
      <c r="K252" s="1"/>
      <c r="L252" s="1"/>
      <c r="M252" s="1"/>
      <c r="N252" s="1"/>
      <c r="O252" s="1"/>
      <c r="P252" s="1"/>
    </row>
    <row r="253" spans="1:16" ht="15">
      <c r="A253" s="5" t="s">
        <v>124</v>
      </c>
      <c r="B253" s="1"/>
      <c r="C253" s="5" t="s">
        <v>3</v>
      </c>
      <c r="D253" s="5" t="s">
        <v>4</v>
      </c>
      <c r="E253" s="5" t="s">
        <v>5</v>
      </c>
      <c r="F253" s="5" t="s">
        <v>6</v>
      </c>
      <c r="G253" s="5"/>
      <c r="H253" s="5" t="s">
        <v>84</v>
      </c>
      <c r="I253" s="5"/>
      <c r="J253" s="5"/>
      <c r="K253" s="49"/>
      <c r="L253" s="1"/>
      <c r="M253" s="1"/>
      <c r="N253" s="1"/>
      <c r="O253" s="1"/>
      <c r="P253" s="1"/>
    </row>
    <row r="254" spans="1:16" ht="15">
      <c r="A254" s="5"/>
      <c r="B254" s="1"/>
      <c r="C254" s="5"/>
      <c r="D254" s="5"/>
      <c r="E254" s="5"/>
      <c r="F254" s="5"/>
      <c r="G254" s="5"/>
      <c r="H254" s="5"/>
      <c r="I254" s="5"/>
      <c r="J254" s="5"/>
      <c r="K254" s="49"/>
      <c r="L254" s="1"/>
      <c r="M254" s="1"/>
      <c r="N254" s="1"/>
      <c r="O254" s="1"/>
      <c r="P254" s="1"/>
    </row>
    <row r="255" spans="1:16" ht="15">
      <c r="A255" s="6">
        <v>1</v>
      </c>
      <c r="B255" s="33" t="s">
        <v>97</v>
      </c>
      <c r="C255" s="7"/>
      <c r="D255" s="7"/>
      <c r="E255" s="7"/>
      <c r="F255" s="7"/>
      <c r="G255" s="7"/>
      <c r="H255" s="7"/>
      <c r="I255" s="1"/>
      <c r="J255" s="1"/>
      <c r="K255" s="1"/>
      <c r="L255" s="1"/>
      <c r="M255" s="1"/>
      <c r="N255" s="1"/>
      <c r="O255" s="1"/>
      <c r="P255" s="1"/>
    </row>
    <row r="256" spans="1:16" ht="15">
      <c r="A256" s="6">
        <v>2</v>
      </c>
      <c r="B256" s="33" t="s">
        <v>98</v>
      </c>
      <c r="C256" s="32">
        <v>0</v>
      </c>
      <c r="D256" s="32">
        <v>0</v>
      </c>
      <c r="E256" s="32">
        <v>0</v>
      </c>
      <c r="F256" s="32">
        <v>0</v>
      </c>
      <c r="G256" s="7"/>
      <c r="H256" s="32">
        <v>0</v>
      </c>
      <c r="I256" s="1"/>
      <c r="J256" s="1"/>
      <c r="K256" s="1"/>
      <c r="L256" s="1"/>
      <c r="M256" s="1"/>
      <c r="N256" s="1"/>
      <c r="O256" s="1"/>
      <c r="P256" s="1"/>
    </row>
    <row r="257" spans="1:16" ht="15">
      <c r="A257" s="6">
        <v>3</v>
      </c>
      <c r="B257" s="33" t="s">
        <v>99</v>
      </c>
      <c r="C257" s="32">
        <f>C173</f>
        <v>72124723.48714302</v>
      </c>
      <c r="D257" s="32">
        <f>D173</f>
        <v>52093856.8456831</v>
      </c>
      <c r="E257" s="32">
        <f>E173</f>
        <v>20030866.64145994</v>
      </c>
      <c r="F257" s="32">
        <f>F173</f>
        <v>0</v>
      </c>
      <c r="G257" s="7"/>
      <c r="H257" s="32"/>
      <c r="I257" s="1"/>
      <c r="J257" s="7"/>
      <c r="K257" s="1"/>
      <c r="L257" s="1"/>
      <c r="M257" s="1"/>
      <c r="N257" s="1"/>
      <c r="O257" s="1"/>
      <c r="P257" s="1"/>
    </row>
    <row r="258" spans="1:16" ht="15">
      <c r="A258" s="6">
        <v>4</v>
      </c>
      <c r="B258" s="30" t="s">
        <v>180</v>
      </c>
      <c r="C258" s="32">
        <f>C193</f>
        <v>41853490.39821072</v>
      </c>
      <c r="D258" s="32">
        <f>D193</f>
        <v>14949490.736604176</v>
      </c>
      <c r="E258" s="32">
        <f>E193</f>
        <v>26903999.671113048</v>
      </c>
      <c r="F258" s="32"/>
      <c r="G258" s="7"/>
      <c r="H258" s="32"/>
      <c r="I258" s="1"/>
      <c r="J258" s="7"/>
      <c r="K258" s="1"/>
      <c r="L258" s="1"/>
      <c r="M258" s="1"/>
      <c r="N258" s="1"/>
      <c r="O258" s="1"/>
      <c r="P258" s="1"/>
    </row>
    <row r="259" spans="1:16" ht="15">
      <c r="A259" s="6">
        <v>5</v>
      </c>
      <c r="B259" s="33" t="s">
        <v>100</v>
      </c>
      <c r="C259" s="32">
        <f>+C197-C261</f>
        <v>1040978.72</v>
      </c>
      <c r="D259" s="32">
        <f>D197-D261</f>
        <v>0</v>
      </c>
      <c r="E259" s="32">
        <f>E197-E261</f>
        <v>1040978.72</v>
      </c>
      <c r="F259" s="32"/>
      <c r="G259" s="7"/>
      <c r="H259" s="32"/>
      <c r="I259" s="1"/>
      <c r="J259" s="7"/>
      <c r="K259" s="1"/>
      <c r="L259" s="1"/>
      <c r="M259" s="1"/>
      <c r="N259" s="1"/>
      <c r="O259" s="1"/>
      <c r="P259" s="1"/>
    </row>
    <row r="260" spans="1:16" ht="15">
      <c r="A260" s="6">
        <v>6</v>
      </c>
      <c r="B260" s="33" t="s">
        <v>136</v>
      </c>
      <c r="C260" s="32">
        <f>+C194</f>
        <v>640000</v>
      </c>
      <c r="D260" s="32">
        <f>+D194</f>
        <v>0</v>
      </c>
      <c r="E260" s="32">
        <f>+E194</f>
        <v>640000</v>
      </c>
      <c r="F260" s="32"/>
      <c r="G260" s="7"/>
      <c r="H260" s="32"/>
      <c r="I260" s="1"/>
      <c r="J260" s="7"/>
      <c r="K260" s="1"/>
      <c r="L260" s="1"/>
      <c r="M260" s="1"/>
      <c r="N260" s="1"/>
      <c r="O260" s="1"/>
      <c r="P260" s="1"/>
    </row>
    <row r="261" spans="1:16" ht="15">
      <c r="A261" s="6">
        <v>7</v>
      </c>
      <c r="B261" s="33" t="s">
        <v>101</v>
      </c>
      <c r="C261" s="32">
        <f>'[1]SCLG2-24'!$R$19*0</f>
        <v>0</v>
      </c>
      <c r="D261" s="32">
        <f>+D196</f>
        <v>0</v>
      </c>
      <c r="E261" s="32">
        <v>0</v>
      </c>
      <c r="F261" s="32"/>
      <c r="G261" s="7"/>
      <c r="H261" s="32"/>
      <c r="I261" s="1"/>
      <c r="J261" s="7"/>
      <c r="K261" s="1"/>
      <c r="L261" s="1"/>
      <c r="M261" s="1"/>
      <c r="N261" s="1"/>
      <c r="O261" s="1"/>
      <c r="P261" s="1"/>
    </row>
    <row r="262" spans="1:16" ht="15">
      <c r="A262" s="6">
        <v>8</v>
      </c>
      <c r="B262" s="33" t="s">
        <v>102</v>
      </c>
      <c r="C262" s="32">
        <f>+C196</f>
        <v>156624</v>
      </c>
      <c r="D262" s="32">
        <f>+D196</f>
        <v>0</v>
      </c>
      <c r="E262" s="32">
        <f>+E196</f>
        <v>156624</v>
      </c>
      <c r="F262" s="32"/>
      <c r="G262" s="7"/>
      <c r="H262" s="32"/>
      <c r="I262" s="1"/>
      <c r="J262" s="7"/>
      <c r="K262" s="1"/>
      <c r="L262" s="1"/>
      <c r="M262" s="1"/>
      <c r="N262" s="1"/>
      <c r="O262" s="1"/>
      <c r="P262" s="1"/>
    </row>
    <row r="263" spans="1:16" ht="15">
      <c r="A263" s="6">
        <v>9</v>
      </c>
      <c r="B263" s="33" t="s">
        <v>103</v>
      </c>
      <c r="C263" s="32">
        <f>+C195</f>
        <v>0</v>
      </c>
      <c r="D263" s="32">
        <f>+D195</f>
        <v>0</v>
      </c>
      <c r="E263" s="32">
        <f>+E195</f>
        <v>0</v>
      </c>
      <c r="F263" s="32"/>
      <c r="G263" s="7"/>
      <c r="H263" s="32"/>
      <c r="I263" s="1"/>
      <c r="J263" s="7"/>
      <c r="K263" s="1"/>
      <c r="L263" s="1"/>
      <c r="M263" s="1"/>
      <c r="N263" s="1"/>
      <c r="O263" s="1"/>
      <c r="P263" s="1"/>
    </row>
    <row r="264" spans="1:16" ht="15">
      <c r="A264" s="6">
        <v>10</v>
      </c>
      <c r="B264" s="33" t="s">
        <v>104</v>
      </c>
      <c r="C264" s="32">
        <f>C204</f>
        <v>10831433.170899078</v>
      </c>
      <c r="D264" s="32">
        <f>D204</f>
        <v>3492835.003255436</v>
      </c>
      <c r="E264" s="32">
        <f>E204</f>
        <v>6285915.248520516</v>
      </c>
      <c r="F264" s="32"/>
      <c r="G264" s="7"/>
      <c r="H264" s="32">
        <f>H204</f>
        <v>1052682.921344249</v>
      </c>
      <c r="I264" s="1"/>
      <c r="J264" s="7"/>
      <c r="K264" s="1"/>
      <c r="L264" s="1"/>
      <c r="M264" s="1"/>
      <c r="N264" s="1"/>
      <c r="O264" s="1"/>
      <c r="P264" s="1"/>
    </row>
    <row r="265" spans="1:16" ht="15">
      <c r="A265" s="6">
        <v>11</v>
      </c>
      <c r="B265" s="33" t="s">
        <v>175</v>
      </c>
      <c r="C265" s="32">
        <f>C207</f>
        <v>-480321.33785999997</v>
      </c>
      <c r="D265" s="32">
        <f>D207</f>
        <v>-480321.33785999997</v>
      </c>
      <c r="E265" s="32">
        <f>E207</f>
        <v>0</v>
      </c>
      <c r="F265" s="32">
        <f>F207</f>
        <v>0</v>
      </c>
      <c r="G265" s="7"/>
      <c r="H265" s="32">
        <f>H207</f>
        <v>0</v>
      </c>
      <c r="I265" s="1"/>
      <c r="J265" s="7"/>
      <c r="K265" s="1"/>
      <c r="L265" s="1"/>
      <c r="M265" s="1"/>
      <c r="N265" s="1"/>
      <c r="O265" s="1"/>
      <c r="P265" s="1"/>
    </row>
    <row r="266" spans="1:16" ht="15">
      <c r="A266" s="6">
        <v>12</v>
      </c>
      <c r="B266" s="33" t="s">
        <v>105</v>
      </c>
      <c r="C266" s="32">
        <f>C209</f>
        <v>47671804</v>
      </c>
      <c r="D266" s="32">
        <f>D209</f>
        <v>16671013.075499583</v>
      </c>
      <c r="E266" s="32">
        <f>E209</f>
        <v>31000790.935550403</v>
      </c>
      <c r="F266" s="32">
        <f>F209</f>
        <v>0</v>
      </c>
      <c r="G266" s="7"/>
      <c r="H266" s="32"/>
      <c r="I266" s="1"/>
      <c r="J266" s="7"/>
      <c r="K266" s="1"/>
      <c r="L266" s="1"/>
      <c r="M266" s="1"/>
      <c r="N266" s="1"/>
      <c r="O266" s="1"/>
      <c r="P266" s="1"/>
    </row>
    <row r="267" spans="1:16" ht="15">
      <c r="A267" s="6">
        <v>13</v>
      </c>
      <c r="B267" s="33" t="s">
        <v>93</v>
      </c>
      <c r="C267" s="32">
        <f>C211</f>
        <v>16720164.233336622</v>
      </c>
      <c r="D267" s="32">
        <f>D211</f>
        <v>5847105.692884105</v>
      </c>
      <c r="E267" s="32">
        <f>E211</f>
        <v>10873058.54432813</v>
      </c>
      <c r="F267" s="32">
        <f>F211</f>
        <v>0</v>
      </c>
      <c r="G267" s="7"/>
      <c r="H267" s="32"/>
      <c r="I267" s="1"/>
      <c r="J267" s="7"/>
      <c r="K267" s="1"/>
      <c r="L267" s="1"/>
      <c r="M267" s="1"/>
      <c r="N267" s="1"/>
      <c r="O267" s="1"/>
      <c r="P267" s="1"/>
    </row>
    <row r="268" spans="1:16" ht="15">
      <c r="A268" s="6">
        <v>14</v>
      </c>
      <c r="B268" s="33" t="s">
        <v>106</v>
      </c>
      <c r="C268" s="32">
        <f>C219</f>
        <v>-9746215.372888427</v>
      </c>
      <c r="D268" s="32">
        <f>D219</f>
        <v>-9746215.372888427</v>
      </c>
      <c r="E268" s="32">
        <f>E219</f>
        <v>0</v>
      </c>
      <c r="F268" s="32">
        <f>F219</f>
        <v>0</v>
      </c>
      <c r="G268" s="7"/>
      <c r="H268" s="32">
        <f>H219</f>
        <v>0</v>
      </c>
      <c r="I268" s="1"/>
      <c r="J268" s="7"/>
      <c r="K268" s="1"/>
      <c r="L268" s="1"/>
      <c r="M268" s="1"/>
      <c r="N268" s="1"/>
      <c r="O268" s="1"/>
      <c r="P268" s="1"/>
    </row>
    <row r="269" spans="1:16" ht="15">
      <c r="A269" s="6">
        <v>15</v>
      </c>
      <c r="B269" s="33" t="s">
        <v>107</v>
      </c>
      <c r="C269" s="32">
        <f>C216</f>
        <v>190558896.67172945</v>
      </c>
      <c r="D269" s="32">
        <f>D216</f>
        <v>92573980.01606639</v>
      </c>
      <c r="E269" s="32">
        <f>E216</f>
        <v>96932233.76097202</v>
      </c>
      <c r="F269" s="32">
        <f>F216</f>
        <v>0</v>
      </c>
      <c r="G269" s="7"/>
      <c r="H269" s="32">
        <f>H216</f>
        <v>1052682.921344249</v>
      </c>
      <c r="I269" s="1"/>
      <c r="J269" s="7"/>
      <c r="K269" s="1"/>
      <c r="L269" s="1"/>
      <c r="M269" s="1"/>
      <c r="N269" s="1"/>
      <c r="O269" s="1"/>
      <c r="P269" s="1"/>
    </row>
    <row r="270" spans="1:16" ht="15">
      <c r="A270" s="6">
        <v>16</v>
      </c>
      <c r="B270" s="33" t="s">
        <v>108</v>
      </c>
      <c r="C270" s="32">
        <f>C102</f>
        <v>560844755.0174366</v>
      </c>
      <c r="D270" s="32">
        <f>D102</f>
        <v>196129566.3201889</v>
      </c>
      <c r="E270" s="32">
        <f>E102</f>
        <v>364715188.82724756</v>
      </c>
      <c r="F270" s="32">
        <f>F102</f>
        <v>0</v>
      </c>
      <c r="G270" s="7"/>
      <c r="H270" s="7"/>
      <c r="I270" s="1"/>
      <c r="J270" s="7"/>
      <c r="K270" s="1"/>
      <c r="L270" s="1"/>
      <c r="M270" s="1"/>
      <c r="N270" s="1"/>
      <c r="O270" s="1"/>
      <c r="P270" s="1"/>
    </row>
    <row r="271" spans="1:16" ht="15">
      <c r="A271" s="6"/>
      <c r="B271" s="1"/>
      <c r="C271" s="7"/>
      <c r="D271" s="7"/>
      <c r="E271" s="7"/>
      <c r="F271" s="7"/>
      <c r="G271" s="7"/>
      <c r="H271" s="7"/>
      <c r="I271" s="1"/>
      <c r="J271" s="7"/>
      <c r="K271" s="1"/>
      <c r="L271" s="1"/>
      <c r="M271" s="1"/>
      <c r="N271" s="1"/>
      <c r="O271" s="1"/>
      <c r="P271" s="1"/>
    </row>
    <row r="272" spans="1:16" ht="15">
      <c r="A272" s="6">
        <v>17</v>
      </c>
      <c r="B272" s="43" t="s">
        <v>130</v>
      </c>
      <c r="C272" s="7"/>
      <c r="D272" s="7"/>
      <c r="E272" s="7"/>
      <c r="F272" s="7"/>
      <c r="G272" s="7"/>
      <c r="H272" s="7"/>
      <c r="I272" s="1"/>
      <c r="J272" s="7"/>
      <c r="K272" s="1"/>
      <c r="L272" s="1"/>
      <c r="M272" s="1"/>
      <c r="N272" s="1"/>
      <c r="O272" s="1"/>
      <c r="P272" s="1"/>
    </row>
    <row r="273" spans="1:16" ht="15">
      <c r="A273" s="6"/>
      <c r="B273" s="43"/>
      <c r="C273" s="7"/>
      <c r="D273" s="7"/>
      <c r="E273" s="7"/>
      <c r="F273" s="7"/>
      <c r="G273" s="7"/>
      <c r="H273" s="7"/>
      <c r="I273" s="1"/>
      <c r="J273" s="7"/>
      <c r="K273" s="1"/>
      <c r="L273" s="1"/>
      <c r="M273" s="1"/>
      <c r="N273" s="1"/>
      <c r="O273" s="1"/>
      <c r="P273" s="1"/>
    </row>
    <row r="274" spans="1:16" ht="15">
      <c r="A274" s="6">
        <f>+A272+1</f>
        <v>18</v>
      </c>
      <c r="B274" s="49" t="s">
        <v>109</v>
      </c>
      <c r="C274" s="7"/>
      <c r="D274" s="7"/>
      <c r="E274" s="7"/>
      <c r="F274" s="7"/>
      <c r="G274" s="7"/>
      <c r="H274" s="7"/>
      <c r="I274" s="1"/>
      <c r="J274" s="7"/>
      <c r="K274" s="1"/>
      <c r="L274" s="1"/>
      <c r="M274" s="1"/>
      <c r="N274" s="1"/>
      <c r="O274" s="1"/>
      <c r="P274" s="1"/>
    </row>
    <row r="275" spans="1:16" ht="15">
      <c r="A275" s="6">
        <f aca="true" t="shared" si="1" ref="A275:A291">+A274+1</f>
        <v>19</v>
      </c>
      <c r="B275" s="50" t="s">
        <v>110</v>
      </c>
      <c r="C275" s="32">
        <f aca="true" t="shared" si="2" ref="C275:D277">C23+C82</f>
        <v>52392755.73692308</v>
      </c>
      <c r="D275" s="32">
        <f t="shared" si="2"/>
        <v>52392755.73692308</v>
      </c>
      <c r="E275" s="32"/>
      <c r="F275" s="32"/>
      <c r="G275" s="7"/>
      <c r="H275" s="7"/>
      <c r="I275" s="1"/>
      <c r="J275" s="7"/>
      <c r="K275" s="1"/>
      <c r="L275" s="1"/>
      <c r="M275" s="1"/>
      <c r="N275" s="1"/>
      <c r="O275" s="1"/>
      <c r="P275" s="1"/>
    </row>
    <row r="276" spans="1:16" ht="15">
      <c r="A276" s="6">
        <f t="shared" si="1"/>
        <v>20</v>
      </c>
      <c r="B276" s="33" t="s">
        <v>111</v>
      </c>
      <c r="C276" s="32">
        <f t="shared" si="2"/>
        <v>16073220.197692307</v>
      </c>
      <c r="D276" s="32">
        <f t="shared" si="2"/>
        <v>16073220.197692307</v>
      </c>
      <c r="E276" s="32"/>
      <c r="F276" s="32"/>
      <c r="G276" s="7"/>
      <c r="H276" s="7"/>
      <c r="I276" s="1"/>
      <c r="J276" s="7"/>
      <c r="K276" s="1"/>
      <c r="L276" s="1"/>
      <c r="M276" s="1"/>
      <c r="N276" s="1"/>
      <c r="O276" s="1"/>
      <c r="P276" s="1"/>
    </row>
    <row r="277" spans="1:16" ht="15">
      <c r="A277" s="6">
        <f t="shared" si="1"/>
        <v>21</v>
      </c>
      <c r="B277" s="33" t="s">
        <v>112</v>
      </c>
      <c r="C277" s="32">
        <f t="shared" si="2"/>
        <v>5665904.940769236</v>
      </c>
      <c r="D277" s="32">
        <f t="shared" si="2"/>
        <v>5665904.940769236</v>
      </c>
      <c r="E277" s="32">
        <f>E25+E84</f>
        <v>0</v>
      </c>
      <c r="F277" s="32"/>
      <c r="G277" s="7"/>
      <c r="H277" s="7"/>
      <c r="I277" s="1"/>
      <c r="J277" s="7"/>
      <c r="K277" s="1"/>
      <c r="L277" s="1"/>
      <c r="M277" s="1"/>
      <c r="N277" s="1"/>
      <c r="O277" s="1"/>
      <c r="P277" s="1"/>
    </row>
    <row r="278" spans="1:16" ht="15">
      <c r="A278" s="6">
        <f t="shared" si="1"/>
        <v>22</v>
      </c>
      <c r="B278" s="33" t="s">
        <v>113</v>
      </c>
      <c r="C278" s="32">
        <f>C18+C77</f>
        <v>318009500.1069234</v>
      </c>
      <c r="D278" s="32">
        <f>D18+D77</f>
        <v>0</v>
      </c>
      <c r="E278" s="32">
        <f>E18+E77</f>
        <v>318009500.1069234</v>
      </c>
      <c r="F278" s="32">
        <f>F18+F77</f>
        <v>0</v>
      </c>
      <c r="G278" s="7"/>
      <c r="H278" s="7"/>
      <c r="I278" s="1"/>
      <c r="J278" s="7"/>
      <c r="K278" s="1"/>
      <c r="L278" s="1"/>
      <c r="M278" s="1"/>
      <c r="N278" s="1"/>
      <c r="O278" s="1"/>
      <c r="P278" s="1"/>
    </row>
    <row r="279" spans="1:16" ht="15">
      <c r="A279" s="6">
        <f t="shared" si="1"/>
        <v>23</v>
      </c>
      <c r="B279" s="33" t="s">
        <v>114</v>
      </c>
      <c r="C279" s="32">
        <f>C22+C81</f>
        <v>110383151.00230762</v>
      </c>
      <c r="D279" s="32">
        <f>D22+D81</f>
        <v>110383151.00230762</v>
      </c>
      <c r="E279" s="32"/>
      <c r="F279" s="32"/>
      <c r="G279" s="7"/>
      <c r="H279" s="7"/>
      <c r="I279" s="1"/>
      <c r="J279" s="7"/>
      <c r="K279" s="1"/>
      <c r="L279" s="1"/>
      <c r="M279" s="1"/>
      <c r="N279" s="1"/>
      <c r="O279" s="1"/>
      <c r="P279" s="1"/>
    </row>
    <row r="280" spans="1:16" ht="15">
      <c r="A280" s="6">
        <f t="shared" si="1"/>
        <v>24</v>
      </c>
      <c r="B280" s="33" t="s">
        <v>115</v>
      </c>
      <c r="C280" s="32">
        <f>C20+C79</f>
        <v>4718680.2046153825</v>
      </c>
      <c r="D280" s="32">
        <f>D20+D79</f>
        <v>0</v>
      </c>
      <c r="E280" s="32">
        <f>E20+E79</f>
        <v>4718680.204615382</v>
      </c>
      <c r="F280" s="32">
        <f>F20+F79</f>
        <v>0</v>
      </c>
      <c r="G280" s="7"/>
      <c r="H280" s="7"/>
      <c r="I280" s="1"/>
      <c r="J280" s="7"/>
      <c r="K280" s="1"/>
      <c r="L280" s="1"/>
      <c r="M280" s="1"/>
      <c r="N280" s="1"/>
      <c r="O280" s="1"/>
      <c r="P280" s="1"/>
    </row>
    <row r="281" spans="1:16" ht="15">
      <c r="A281" s="6"/>
      <c r="B281" s="33"/>
      <c r="C281" s="32"/>
      <c r="D281" s="32"/>
      <c r="E281" s="32"/>
      <c r="F281" s="32"/>
      <c r="G281" s="7"/>
      <c r="H281" s="7"/>
      <c r="I281" s="1"/>
      <c r="J281" s="7"/>
      <c r="K281" s="1"/>
      <c r="L281" s="1"/>
      <c r="M281" s="1"/>
      <c r="N281" s="1"/>
      <c r="O281" s="1"/>
      <c r="P281" s="1"/>
    </row>
    <row r="282" spans="1:16" ht="15">
      <c r="A282" s="6">
        <f>+A280+1</f>
        <v>25</v>
      </c>
      <c r="B282" s="49" t="s">
        <v>122</v>
      </c>
      <c r="C282" s="32"/>
      <c r="D282" s="32"/>
      <c r="E282" s="32"/>
      <c r="F282" s="32"/>
      <c r="G282" s="7"/>
      <c r="H282" s="7"/>
      <c r="I282" s="1"/>
      <c r="J282" s="7"/>
      <c r="K282" s="1"/>
      <c r="L282" s="1"/>
      <c r="M282" s="1"/>
      <c r="N282" s="1"/>
      <c r="O282" s="1"/>
      <c r="P282" s="1"/>
    </row>
    <row r="283" spans="1:16" ht="15">
      <c r="A283" s="6">
        <f t="shared" si="1"/>
        <v>26</v>
      </c>
      <c r="B283" s="50" t="s">
        <v>123</v>
      </c>
      <c r="C283" s="32">
        <f>C155</f>
        <v>630097.2658663499</v>
      </c>
      <c r="D283" s="32">
        <f>D155</f>
        <v>630097.2658663499</v>
      </c>
      <c r="E283" s="32">
        <f>E155</f>
        <v>0</v>
      </c>
      <c r="F283" s="32">
        <f>F155</f>
        <v>0</v>
      </c>
      <c r="G283" s="7"/>
      <c r="H283" s="32">
        <f>H155</f>
        <v>0</v>
      </c>
      <c r="I283" s="1"/>
      <c r="J283" s="7"/>
      <c r="K283" s="1"/>
      <c r="L283" s="1"/>
      <c r="M283" s="1"/>
      <c r="N283" s="1"/>
      <c r="O283" s="1"/>
      <c r="P283" s="1"/>
    </row>
    <row r="284" spans="1:16" ht="15">
      <c r="A284" s="6">
        <f t="shared" si="1"/>
        <v>27</v>
      </c>
      <c r="B284" s="33" t="s">
        <v>116</v>
      </c>
      <c r="C284" s="32">
        <f>+C142</f>
        <v>-4062.2332799999986</v>
      </c>
      <c r="D284" s="32">
        <f>+D142</f>
        <v>-4062.2332799999986</v>
      </c>
      <c r="E284" s="32">
        <f>+E142</f>
        <v>0</v>
      </c>
      <c r="F284" s="32">
        <f>+F142</f>
        <v>0</v>
      </c>
      <c r="G284" s="7"/>
      <c r="H284" s="32">
        <f>+H142</f>
        <v>0</v>
      </c>
      <c r="I284" s="1"/>
      <c r="J284" s="7"/>
      <c r="K284" s="1"/>
      <c r="L284" s="1"/>
      <c r="M284" s="1"/>
      <c r="N284" s="1"/>
      <c r="O284" s="1"/>
      <c r="P284" s="1"/>
    </row>
    <row r="285" spans="1:16" ht="15">
      <c r="A285" s="6">
        <f t="shared" si="1"/>
        <v>28</v>
      </c>
      <c r="B285" s="33" t="s">
        <v>117</v>
      </c>
      <c r="C285" s="32">
        <f>C144</f>
        <v>3093303.72349818</v>
      </c>
      <c r="D285" s="32">
        <f>D144</f>
        <v>3093303.72349818</v>
      </c>
      <c r="E285" s="32">
        <f>E144</f>
        <v>0</v>
      </c>
      <c r="F285" s="32">
        <f>F144</f>
        <v>0</v>
      </c>
      <c r="G285" s="7"/>
      <c r="H285" s="7"/>
      <c r="I285" s="1"/>
      <c r="J285" s="7"/>
      <c r="K285" s="1"/>
      <c r="L285" s="1"/>
      <c r="M285" s="1"/>
      <c r="N285" s="1"/>
      <c r="O285" s="1"/>
      <c r="P285" s="1"/>
    </row>
    <row r="286" spans="1:16" ht="15">
      <c r="A286" s="6">
        <f t="shared" si="1"/>
        <v>29</v>
      </c>
      <c r="B286" s="33" t="s">
        <v>118</v>
      </c>
      <c r="C286" s="32">
        <f>C153</f>
        <v>459123.2023674</v>
      </c>
      <c r="D286" s="32">
        <f>D153</f>
        <v>459123.2023674</v>
      </c>
      <c r="E286" s="32">
        <f>E153</f>
        <v>0</v>
      </c>
      <c r="F286" s="32"/>
      <c r="G286" s="7"/>
      <c r="H286" s="7"/>
      <c r="I286" s="1"/>
      <c r="J286" s="7"/>
      <c r="K286" s="1"/>
      <c r="L286" s="1"/>
      <c r="M286" s="1"/>
      <c r="N286" s="1"/>
      <c r="O286" s="1"/>
      <c r="P286" s="1"/>
    </row>
    <row r="287" spans="1:16" ht="15">
      <c r="A287" s="6">
        <f t="shared" si="1"/>
        <v>30</v>
      </c>
      <c r="B287" s="33" t="s">
        <v>119</v>
      </c>
      <c r="C287" s="32">
        <f>C156</f>
        <v>457928.32182849</v>
      </c>
      <c r="D287" s="32">
        <f>D156</f>
        <v>457928.32182849</v>
      </c>
      <c r="E287" s="32">
        <f>E156</f>
        <v>0</v>
      </c>
      <c r="F287" s="32">
        <f>F156</f>
        <v>0</v>
      </c>
      <c r="G287" s="7"/>
      <c r="H287" s="7"/>
      <c r="I287" s="1"/>
      <c r="J287" s="7"/>
      <c r="K287" s="1"/>
      <c r="L287" s="1"/>
      <c r="M287" s="1"/>
      <c r="N287" s="1"/>
      <c r="O287" s="1"/>
      <c r="P287" s="1"/>
    </row>
    <row r="288" spans="1:16" ht="15">
      <c r="A288" s="6">
        <f t="shared" si="1"/>
        <v>31</v>
      </c>
      <c r="B288" s="33" t="s">
        <v>120</v>
      </c>
      <c r="C288" s="32">
        <f>C140</f>
        <v>6596577.85089246</v>
      </c>
      <c r="D288" s="32">
        <f>D140</f>
        <v>1865591.7567252892</v>
      </c>
      <c r="E288" s="32">
        <f>E140</f>
        <v>4730986.094167171</v>
      </c>
      <c r="F288" s="32">
        <f>F140</f>
        <v>0</v>
      </c>
      <c r="G288" s="7"/>
      <c r="H288" s="7"/>
      <c r="I288" s="1"/>
      <c r="J288" s="7"/>
      <c r="K288" s="1"/>
      <c r="L288" s="1"/>
      <c r="M288" s="1"/>
      <c r="N288" s="1"/>
      <c r="O288" s="1"/>
      <c r="P288" s="1"/>
    </row>
    <row r="289" spans="1:16" ht="15">
      <c r="A289" s="6">
        <f t="shared" si="1"/>
        <v>32</v>
      </c>
      <c r="B289" s="33" t="s">
        <v>121</v>
      </c>
      <c r="C289" s="32">
        <f>C150</f>
        <v>2272843.61551217</v>
      </c>
      <c r="D289" s="32">
        <f>D150</f>
        <v>0</v>
      </c>
      <c r="E289" s="32">
        <f>E150</f>
        <v>2272843.61551217</v>
      </c>
      <c r="F289" s="32">
        <f>F150</f>
        <v>0</v>
      </c>
      <c r="G289" s="7"/>
      <c r="H289" s="7"/>
      <c r="I289" s="1"/>
      <c r="J289" s="7"/>
      <c r="K289" s="1"/>
      <c r="L289" s="1"/>
      <c r="M289" s="1"/>
      <c r="N289" s="1"/>
      <c r="O289" s="1"/>
      <c r="P289" s="1"/>
    </row>
    <row r="290" spans="1:16" ht="15">
      <c r="A290" s="6">
        <f t="shared" si="1"/>
        <v>33</v>
      </c>
      <c r="B290" s="30" t="s">
        <v>149</v>
      </c>
      <c r="C290" s="32">
        <f>C164</f>
        <v>1573000</v>
      </c>
      <c r="D290" s="32">
        <f>D164</f>
        <v>1573000</v>
      </c>
      <c r="E290" s="32">
        <f>E164</f>
        <v>0</v>
      </c>
      <c r="F290" s="32">
        <f>F164</f>
        <v>0</v>
      </c>
      <c r="G290" s="7"/>
      <c r="H290" s="32">
        <f>H164</f>
        <v>0</v>
      </c>
      <c r="I290" s="1"/>
      <c r="J290" s="1"/>
      <c r="K290" s="1"/>
      <c r="L290" s="1"/>
      <c r="M290" s="1"/>
      <c r="N290" s="1"/>
      <c r="O290" s="1"/>
      <c r="P290" s="1"/>
    </row>
    <row r="291" spans="1:16" ht="15">
      <c r="A291" s="6">
        <f t="shared" si="1"/>
        <v>34</v>
      </c>
      <c r="B291" s="30" t="s">
        <v>150</v>
      </c>
      <c r="C291" s="32">
        <f>C169</f>
        <v>5815707.0115013495</v>
      </c>
      <c r="D291" s="32">
        <f>D169</f>
        <v>5815707.0115013495</v>
      </c>
      <c r="E291" s="32">
        <f>E169</f>
        <v>0</v>
      </c>
      <c r="F291" s="32">
        <f>F169</f>
        <v>0</v>
      </c>
      <c r="G291" s="7"/>
      <c r="H291" s="32">
        <f>H169</f>
        <v>0</v>
      </c>
      <c r="I291" s="1"/>
      <c r="J291" s="1"/>
      <c r="K291" s="1"/>
      <c r="L291" s="1"/>
      <c r="M291" s="1"/>
      <c r="N291" s="1"/>
      <c r="O291" s="1"/>
      <c r="P291" s="1"/>
    </row>
    <row r="292" spans="1:1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" thickBo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"/>
      <c r="N299" s="1"/>
      <c r="O299" s="1"/>
      <c r="P299" s="1"/>
    </row>
    <row r="300" spans="1:16" ht="25.5" customHeight="1">
      <c r="A300" s="18"/>
      <c r="B300" s="19" t="s">
        <v>182</v>
      </c>
      <c r="C300" s="18"/>
      <c r="D300" s="18"/>
      <c r="E300" s="18"/>
      <c r="F300" s="18"/>
      <c r="G300" s="18"/>
      <c r="H300" s="18"/>
      <c r="I300" s="18"/>
      <c r="J300" s="18"/>
      <c r="K300" s="19" t="s">
        <v>183</v>
      </c>
      <c r="L300" s="18"/>
      <c r="M300" s="1"/>
      <c r="N300" s="1"/>
      <c r="O300" s="1"/>
      <c r="P300" s="1"/>
    </row>
    <row r="301" spans="1:1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">
      <c r="A302" s="1"/>
      <c r="B302" s="13"/>
      <c r="C302" s="2"/>
      <c r="D302" s="2"/>
      <c r="E302" s="2"/>
      <c r="F302" s="2"/>
      <c r="G302" s="2"/>
      <c r="H302" s="2"/>
      <c r="I302" s="13"/>
      <c r="J302" s="13"/>
      <c r="K302" s="2"/>
      <c r="L302" s="1"/>
      <c r="M302" s="1"/>
      <c r="N302" s="1"/>
      <c r="O302" s="1"/>
      <c r="P302" s="1"/>
    </row>
    <row r="303" spans="1:16" ht="1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"/>
      <c r="M303" s="1"/>
      <c r="N303" s="1"/>
      <c r="O303" s="1"/>
      <c r="P303" s="1"/>
    </row>
    <row r="304" spans="1:1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5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</sheetData>
  <sheetProtection/>
  <printOptions horizontalCentered="1"/>
  <pageMargins left="0.75" right="0.75" top="0.9" bottom="0.5" header="0.5" footer="0.48"/>
  <pageSetup fitToHeight="0" fitToWidth="1" horizontalDpi="600" verticalDpi="600" orientation="landscape" scale="54" r:id="rId1"/>
  <rowBreaks count="4" manualBreakCount="4">
    <brk id="59" max="255" man="1"/>
    <brk id="120" max="255" man="1"/>
    <brk id="181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Floyd, Kandi M.</cp:lastModifiedBy>
  <cp:lastPrinted>2009-05-26T20:39:34Z</cp:lastPrinted>
  <dcterms:created xsi:type="dcterms:W3CDTF">1999-12-29T18:32:01Z</dcterms:created>
  <dcterms:modified xsi:type="dcterms:W3CDTF">2018-04-25T16:45:40Z</dcterms:modified>
  <cp:category/>
  <cp:version/>
  <cp:contentType/>
  <cp:contentStatus/>
</cp:coreProperties>
</file>