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2018 GRIP Proj Revised Exp fact" sheetId="2" r:id="rId1"/>
    <sheet name="2018 GRIP Projection FILED" sheetId="1" r:id="rId2"/>
    <sheet name="Return with new tax" sheetId="3" r:id="rId3"/>
    <sheet name="Expansion Factor New tax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K24" i="4"/>
  <c r="K28" i="4" l="1"/>
  <c r="K30" i="4" s="1"/>
  <c r="K34" i="4" l="1"/>
  <c r="K36" i="4" s="1"/>
  <c r="K38" i="4" s="1"/>
  <c r="D34" i="2" l="1"/>
  <c r="D19" i="3"/>
  <c r="D21" i="3" s="1"/>
  <c r="D12" i="3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49" i="2"/>
  <c r="E44" i="2"/>
  <c r="F44" i="2" s="1"/>
  <c r="G44" i="2" s="1"/>
  <c r="H44" i="2" s="1"/>
  <c r="I44" i="2" s="1"/>
  <c r="J44" i="2" s="1"/>
  <c r="K44" i="2" s="1"/>
  <c r="L44" i="2" s="1"/>
  <c r="M44" i="2" s="1"/>
  <c r="N44" i="2" s="1"/>
  <c r="D44" i="2"/>
  <c r="D42" i="2"/>
  <c r="D41" i="2"/>
  <c r="E34" i="2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D23" i="2"/>
  <c r="K14" i="2"/>
  <c r="N12" i="2"/>
  <c r="N14" i="2" s="1"/>
  <c r="M12" i="2"/>
  <c r="M14" i="2" s="1"/>
  <c r="J12" i="2"/>
  <c r="J14" i="2" s="1"/>
  <c r="I12" i="2"/>
  <c r="I14" i="2" s="1"/>
  <c r="F12" i="2"/>
  <c r="F14" i="2" s="1"/>
  <c r="E12" i="2"/>
  <c r="E14" i="2" s="1"/>
  <c r="O11" i="2"/>
  <c r="O12" i="2" s="1"/>
  <c r="O14" i="2" s="1"/>
  <c r="N11" i="2"/>
  <c r="M11" i="2"/>
  <c r="L11" i="2"/>
  <c r="L12" i="2" s="1"/>
  <c r="L14" i="2" s="1"/>
  <c r="K11" i="2"/>
  <c r="K12" i="2" s="1"/>
  <c r="J11" i="2"/>
  <c r="I11" i="2"/>
  <c r="H11" i="2"/>
  <c r="H12" i="2" s="1"/>
  <c r="H14" i="2" s="1"/>
  <c r="G11" i="2"/>
  <c r="G12" i="2" s="1"/>
  <c r="G14" i="2" s="1"/>
  <c r="F11" i="2"/>
  <c r="E11" i="2"/>
  <c r="D11" i="2"/>
  <c r="D12" i="2" s="1"/>
  <c r="P12" i="2" s="1"/>
  <c r="O10" i="2"/>
  <c r="O13" i="2" s="1"/>
  <c r="K10" i="2"/>
  <c r="K13" i="2" s="1"/>
  <c r="G10" i="2"/>
  <c r="G13" i="2" s="1"/>
  <c r="O9" i="2"/>
  <c r="N9" i="2"/>
  <c r="N10" i="2" s="1"/>
  <c r="N13" i="2" s="1"/>
  <c r="M9" i="2"/>
  <c r="M10" i="2" s="1"/>
  <c r="M13" i="2" s="1"/>
  <c r="L9" i="2"/>
  <c r="L10" i="2" s="1"/>
  <c r="L13" i="2" s="1"/>
  <c r="K9" i="2"/>
  <c r="J9" i="2"/>
  <c r="J10" i="2" s="1"/>
  <c r="J13" i="2" s="1"/>
  <c r="I9" i="2"/>
  <c r="I10" i="2" s="1"/>
  <c r="I13" i="2" s="1"/>
  <c r="H9" i="2"/>
  <c r="H10" i="2" s="1"/>
  <c r="H13" i="2" s="1"/>
  <c r="G9" i="2"/>
  <c r="F9" i="2"/>
  <c r="F10" i="2" s="1"/>
  <c r="F13" i="2" s="1"/>
  <c r="E9" i="2"/>
  <c r="E10" i="2" s="1"/>
  <c r="E13" i="2" s="1"/>
  <c r="D9" i="2"/>
  <c r="D10" i="2" s="1"/>
  <c r="P49" i="1"/>
  <c r="D44" i="1"/>
  <c r="D41" i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E33" i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O14" i="1"/>
  <c r="L13" i="1"/>
  <c r="O12" i="1"/>
  <c r="M12" i="1"/>
  <c r="M14" i="1" s="1"/>
  <c r="K12" i="1"/>
  <c r="K14" i="1" s="1"/>
  <c r="G12" i="1"/>
  <c r="G14" i="1" s="1"/>
  <c r="E12" i="1"/>
  <c r="E14" i="1" s="1"/>
  <c r="O11" i="1"/>
  <c r="N11" i="1"/>
  <c r="N12" i="1" s="1"/>
  <c r="N14" i="1" s="1"/>
  <c r="M11" i="1"/>
  <c r="L11" i="1"/>
  <c r="L12" i="1" s="1"/>
  <c r="L14" i="1" s="1"/>
  <c r="K11" i="1"/>
  <c r="J11" i="1"/>
  <c r="J12" i="1" s="1"/>
  <c r="J14" i="1" s="1"/>
  <c r="I11" i="1"/>
  <c r="I12" i="1" s="1"/>
  <c r="I14" i="1" s="1"/>
  <c r="H11" i="1"/>
  <c r="H12" i="1" s="1"/>
  <c r="H14" i="1" s="1"/>
  <c r="G11" i="1"/>
  <c r="F11" i="1"/>
  <c r="F12" i="1" s="1"/>
  <c r="F14" i="1" s="1"/>
  <c r="E11" i="1"/>
  <c r="D11" i="1"/>
  <c r="D12" i="1" s="1"/>
  <c r="M10" i="1"/>
  <c r="M13" i="1" s="1"/>
  <c r="I10" i="1"/>
  <c r="I13" i="1" s="1"/>
  <c r="E10" i="1"/>
  <c r="E13" i="1" s="1"/>
  <c r="O9" i="1"/>
  <c r="O10" i="1" s="1"/>
  <c r="O13" i="1" s="1"/>
  <c r="N9" i="1"/>
  <c r="N10" i="1" s="1"/>
  <c r="N13" i="1" s="1"/>
  <c r="M9" i="1"/>
  <c r="L9" i="1"/>
  <c r="L10" i="1" s="1"/>
  <c r="K9" i="1"/>
  <c r="K10" i="1" s="1"/>
  <c r="K13" i="1" s="1"/>
  <c r="J9" i="1"/>
  <c r="J10" i="1" s="1"/>
  <c r="J13" i="1" s="1"/>
  <c r="I9" i="1"/>
  <c r="H9" i="1"/>
  <c r="H10" i="1" s="1"/>
  <c r="H13" i="1" s="1"/>
  <c r="G9" i="1"/>
  <c r="G10" i="1" s="1"/>
  <c r="G13" i="1" s="1"/>
  <c r="F9" i="1"/>
  <c r="F10" i="1" s="1"/>
  <c r="F13" i="1" s="1"/>
  <c r="E9" i="1"/>
  <c r="D9" i="1"/>
  <c r="D10" i="1" s="1"/>
  <c r="P10" i="2" l="1"/>
  <c r="D13" i="2"/>
  <c r="P13" i="2" s="1"/>
  <c r="P44" i="2"/>
  <c r="D14" i="2"/>
  <c r="P9" i="2"/>
  <c r="D17" i="2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D19" i="2"/>
  <c r="P11" i="2"/>
  <c r="C21" i="2"/>
  <c r="C24" i="2" s="1"/>
  <c r="O44" i="2"/>
  <c r="D14" i="1"/>
  <c r="P14" i="1" s="1"/>
  <c r="P12" i="1"/>
  <c r="P10" i="1"/>
  <c r="D13" i="1"/>
  <c r="P9" i="1"/>
  <c r="P11" i="1"/>
  <c r="D17" i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C21" i="1"/>
  <c r="C24" i="1" s="1"/>
  <c r="D20" i="1"/>
  <c r="D42" i="1"/>
  <c r="E44" i="1"/>
  <c r="F44" i="1" s="1"/>
  <c r="G44" i="1" s="1"/>
  <c r="H44" i="1" s="1"/>
  <c r="I44" i="1" s="1"/>
  <c r="J44" i="1" s="1"/>
  <c r="K44" i="1" s="1"/>
  <c r="L44" i="1" s="1"/>
  <c r="M44" i="1" s="1"/>
  <c r="N44" i="1" s="1"/>
  <c r="D23" i="1"/>
  <c r="D43" i="2" l="1"/>
  <c r="E17" i="2"/>
  <c r="E19" i="2"/>
  <c r="E41" i="2"/>
  <c r="D20" i="2"/>
  <c r="P14" i="2"/>
  <c r="E42" i="1"/>
  <c r="E20" i="1"/>
  <c r="P44" i="1"/>
  <c r="D43" i="1"/>
  <c r="O44" i="1"/>
  <c r="D19" i="1"/>
  <c r="D21" i="1" s="1"/>
  <c r="D24" i="1" s="1"/>
  <c r="P13" i="1"/>
  <c r="E17" i="1"/>
  <c r="F17" i="2" l="1"/>
  <c r="E42" i="2"/>
  <c r="E20" i="2"/>
  <c r="D21" i="2"/>
  <c r="D24" i="2" s="1"/>
  <c r="F41" i="2"/>
  <c r="F19" i="2"/>
  <c r="E43" i="2"/>
  <c r="F43" i="2" s="1"/>
  <c r="G43" i="2" s="1"/>
  <c r="H43" i="2" s="1"/>
  <c r="I43" i="2" s="1"/>
  <c r="J43" i="2" s="1"/>
  <c r="K43" i="2" s="1"/>
  <c r="L43" i="2" s="1"/>
  <c r="M43" i="2" s="1"/>
  <c r="N43" i="2" s="1"/>
  <c r="O43" i="2" s="1"/>
  <c r="D45" i="2"/>
  <c r="F17" i="1"/>
  <c r="E43" i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D45" i="1"/>
  <c r="E41" i="1"/>
  <c r="E19" i="1"/>
  <c r="F42" i="1"/>
  <c r="F20" i="1"/>
  <c r="D26" i="1"/>
  <c r="P43" i="2" l="1"/>
  <c r="F42" i="2"/>
  <c r="F45" i="2" s="1"/>
  <c r="F20" i="2"/>
  <c r="G41" i="2"/>
  <c r="G19" i="2"/>
  <c r="E45" i="2"/>
  <c r="G17" i="2"/>
  <c r="E23" i="2"/>
  <c r="D26" i="2"/>
  <c r="E21" i="2"/>
  <c r="F41" i="1"/>
  <c r="F45" i="1" s="1"/>
  <c r="F19" i="1"/>
  <c r="D37" i="1"/>
  <c r="D36" i="1"/>
  <c r="E45" i="1"/>
  <c r="E23" i="1"/>
  <c r="F23" i="1" s="1"/>
  <c r="P43" i="1"/>
  <c r="G42" i="1"/>
  <c r="G20" i="1"/>
  <c r="E21" i="1"/>
  <c r="G17" i="1"/>
  <c r="E24" i="2" l="1"/>
  <c r="E26" i="2" s="1"/>
  <c r="E37" i="2" s="1"/>
  <c r="F23" i="2"/>
  <c r="E36" i="2"/>
  <c r="H17" i="2"/>
  <c r="G20" i="2"/>
  <c r="G21" i="2" s="1"/>
  <c r="G42" i="2"/>
  <c r="G45" i="2" s="1"/>
  <c r="G23" i="2"/>
  <c r="H19" i="2"/>
  <c r="H41" i="2"/>
  <c r="D37" i="2"/>
  <c r="D36" i="2"/>
  <c r="F21" i="2"/>
  <c r="E24" i="1"/>
  <c r="D38" i="1"/>
  <c r="D47" i="1" s="1"/>
  <c r="D50" i="1" s="1"/>
  <c r="F26" i="1"/>
  <c r="E26" i="1"/>
  <c r="H17" i="1"/>
  <c r="H20" i="1"/>
  <c r="H42" i="1"/>
  <c r="G41" i="1"/>
  <c r="G19" i="1"/>
  <c r="F21" i="1"/>
  <c r="F24" i="1" s="1"/>
  <c r="G24" i="2" l="1"/>
  <c r="F24" i="2"/>
  <c r="F26" i="2" s="1"/>
  <c r="F37" i="2" s="1"/>
  <c r="F36" i="2"/>
  <c r="I17" i="2"/>
  <c r="E38" i="2"/>
  <c r="E47" i="2" s="1"/>
  <c r="E50" i="2" s="1"/>
  <c r="D38" i="2"/>
  <c r="D47" i="2" s="1"/>
  <c r="D50" i="2" s="1"/>
  <c r="G26" i="2"/>
  <c r="I41" i="2"/>
  <c r="I19" i="2"/>
  <c r="H42" i="2"/>
  <c r="H45" i="2" s="1"/>
  <c r="H20" i="2"/>
  <c r="H41" i="1"/>
  <c r="H45" i="1" s="1"/>
  <c r="H19" i="1"/>
  <c r="H21" i="1" s="1"/>
  <c r="I17" i="1"/>
  <c r="E36" i="1"/>
  <c r="E37" i="1"/>
  <c r="G45" i="1"/>
  <c r="G21" i="1"/>
  <c r="F37" i="1"/>
  <c r="F36" i="1"/>
  <c r="F38" i="1" s="1"/>
  <c r="F47" i="1" s="1"/>
  <c r="F50" i="1" s="1"/>
  <c r="I42" i="1"/>
  <c r="I20" i="1"/>
  <c r="G23" i="1"/>
  <c r="H23" i="1" s="1"/>
  <c r="F38" i="2" l="1"/>
  <c r="F47" i="2" s="1"/>
  <c r="F50" i="2" s="1"/>
  <c r="H23" i="2"/>
  <c r="J41" i="2"/>
  <c r="J19" i="2"/>
  <c r="J17" i="2"/>
  <c r="I42" i="2"/>
  <c r="I20" i="2"/>
  <c r="I21" i="2" s="1"/>
  <c r="G36" i="2"/>
  <c r="G37" i="2"/>
  <c r="H21" i="2"/>
  <c r="H24" i="2" s="1"/>
  <c r="H24" i="1"/>
  <c r="J20" i="1"/>
  <c r="J42" i="1"/>
  <c r="J17" i="1"/>
  <c r="I21" i="1"/>
  <c r="I41" i="1"/>
  <c r="I19" i="1"/>
  <c r="G24" i="1"/>
  <c r="E38" i="1"/>
  <c r="E47" i="1" s="1"/>
  <c r="E50" i="1" s="1"/>
  <c r="H26" i="2" l="1"/>
  <c r="I45" i="2"/>
  <c r="K17" i="2"/>
  <c r="K41" i="2"/>
  <c r="K19" i="2"/>
  <c r="G38" i="2"/>
  <c r="G47" i="2" s="1"/>
  <c r="G50" i="2" s="1"/>
  <c r="J42" i="2"/>
  <c r="J45" i="2" s="1"/>
  <c r="J20" i="2"/>
  <c r="J21" i="2" s="1"/>
  <c r="I23" i="2"/>
  <c r="J23" i="2" s="1"/>
  <c r="I45" i="1"/>
  <c r="K42" i="1"/>
  <c r="K20" i="1"/>
  <c r="H26" i="1"/>
  <c r="G26" i="1"/>
  <c r="I24" i="1"/>
  <c r="I26" i="1" s="1"/>
  <c r="J41" i="1"/>
  <c r="J45" i="1" s="1"/>
  <c r="J19" i="1"/>
  <c r="J21" i="1"/>
  <c r="J24" i="1" s="1"/>
  <c r="K17" i="1"/>
  <c r="I23" i="1"/>
  <c r="J23" i="1" s="1"/>
  <c r="L17" i="2" l="1"/>
  <c r="L19" i="2"/>
  <c r="L41" i="2"/>
  <c r="J24" i="2"/>
  <c r="K42" i="2"/>
  <c r="K23" i="2" s="1"/>
  <c r="K20" i="2"/>
  <c r="H36" i="2"/>
  <c r="H37" i="2"/>
  <c r="K45" i="2"/>
  <c r="I24" i="2"/>
  <c r="L17" i="1"/>
  <c r="I36" i="1"/>
  <c r="I37" i="1"/>
  <c r="L20" i="1"/>
  <c r="L42" i="1"/>
  <c r="J26" i="1"/>
  <c r="K41" i="1"/>
  <c r="K19" i="1"/>
  <c r="G37" i="1"/>
  <c r="G36" i="1"/>
  <c r="K23" i="1"/>
  <c r="H37" i="1"/>
  <c r="H36" i="1"/>
  <c r="L42" i="2" l="1"/>
  <c r="L23" i="2" s="1"/>
  <c r="L20" i="2"/>
  <c r="M19" i="2"/>
  <c r="M41" i="2"/>
  <c r="K21" i="2"/>
  <c r="K24" i="2" s="1"/>
  <c r="K26" i="2" s="1"/>
  <c r="L45" i="2"/>
  <c r="J26" i="2"/>
  <c r="I26" i="2"/>
  <c r="H38" i="2"/>
  <c r="H47" i="2" s="1"/>
  <c r="H50" i="2" s="1"/>
  <c r="M17" i="2"/>
  <c r="H38" i="1"/>
  <c r="H47" i="1" s="1"/>
  <c r="H50" i="1" s="1"/>
  <c r="G38" i="1"/>
  <c r="G47" i="1" s="1"/>
  <c r="G50" i="1" s="1"/>
  <c r="J36" i="1"/>
  <c r="J37" i="1"/>
  <c r="I38" i="1"/>
  <c r="I47" i="1" s="1"/>
  <c r="I50" i="1" s="1"/>
  <c r="L41" i="1"/>
  <c r="L45" i="1" s="1"/>
  <c r="L19" i="1"/>
  <c r="M17" i="1"/>
  <c r="K45" i="1"/>
  <c r="M42" i="1"/>
  <c r="M20" i="1"/>
  <c r="K21" i="1"/>
  <c r="K24" i="1" s="1"/>
  <c r="K36" i="2" l="1"/>
  <c r="K37" i="2"/>
  <c r="N41" i="2"/>
  <c r="N19" i="2"/>
  <c r="I37" i="2"/>
  <c r="I36" i="2"/>
  <c r="J37" i="2"/>
  <c r="J36" i="2"/>
  <c r="J38" i="2" s="1"/>
  <c r="J47" i="2" s="1"/>
  <c r="J50" i="2" s="1"/>
  <c r="N17" i="2"/>
  <c r="M42" i="2"/>
  <c r="M23" i="2" s="1"/>
  <c r="M20" i="2"/>
  <c r="M21" i="2" s="1"/>
  <c r="L21" i="2"/>
  <c r="L24" i="2" s="1"/>
  <c r="L23" i="1"/>
  <c r="M23" i="1" s="1"/>
  <c r="K26" i="1"/>
  <c r="M41" i="1"/>
  <c r="M45" i="1" s="1"/>
  <c r="M19" i="1"/>
  <c r="N42" i="1"/>
  <c r="N20" i="1"/>
  <c r="J38" i="1"/>
  <c r="J47" i="1" s="1"/>
  <c r="J50" i="1" s="1"/>
  <c r="N17" i="1"/>
  <c r="L21" i="1"/>
  <c r="L24" i="1" s="1"/>
  <c r="K38" i="2" l="1"/>
  <c r="K47" i="2" s="1"/>
  <c r="K50" i="2" s="1"/>
  <c r="O41" i="2"/>
  <c r="O19" i="2"/>
  <c r="P19" i="2" s="1"/>
  <c r="M45" i="2"/>
  <c r="O17" i="2"/>
  <c r="M24" i="2"/>
  <c r="M26" i="2" s="1"/>
  <c r="I38" i="2"/>
  <c r="I47" i="2" s="1"/>
  <c r="I50" i="2" s="1"/>
  <c r="N42" i="2"/>
  <c r="N23" i="2" s="1"/>
  <c r="N20" i="2"/>
  <c r="N21" i="2" s="1"/>
  <c r="L26" i="2"/>
  <c r="N41" i="1"/>
  <c r="N45" i="1" s="1"/>
  <c r="N19" i="1"/>
  <c r="M21" i="1"/>
  <c r="M24" i="1" s="1"/>
  <c r="O20" i="1"/>
  <c r="P20" i="1" s="1"/>
  <c r="O42" i="1"/>
  <c r="P42" i="1" s="1"/>
  <c r="K37" i="1"/>
  <c r="K36" i="1"/>
  <c r="O17" i="1"/>
  <c r="L26" i="1"/>
  <c r="N24" i="2" l="1"/>
  <c r="L37" i="2"/>
  <c r="L36" i="2"/>
  <c r="O45" i="2"/>
  <c r="P41" i="2"/>
  <c r="M37" i="2"/>
  <c r="M36" i="2"/>
  <c r="N45" i="2"/>
  <c r="O42" i="2"/>
  <c r="P42" i="2" s="1"/>
  <c r="O20" i="2"/>
  <c r="P20" i="2" s="1"/>
  <c r="N26" i="2"/>
  <c r="P17" i="2"/>
  <c r="N23" i="1"/>
  <c r="L37" i="1"/>
  <c r="L36" i="1"/>
  <c r="P17" i="1"/>
  <c r="O19" i="1"/>
  <c r="P19" i="1" s="1"/>
  <c r="O41" i="1"/>
  <c r="N21" i="1"/>
  <c r="K38" i="1"/>
  <c r="K47" i="1" s="1"/>
  <c r="K50" i="1" s="1"/>
  <c r="M26" i="1"/>
  <c r="M38" i="2" l="1"/>
  <c r="M47" i="2" s="1"/>
  <c r="M50" i="2" s="1"/>
  <c r="N37" i="2"/>
  <c r="N36" i="2"/>
  <c r="O21" i="2"/>
  <c r="P45" i="2"/>
  <c r="L38" i="2"/>
  <c r="L47" i="2" s="1"/>
  <c r="L50" i="2" s="1"/>
  <c r="P21" i="2"/>
  <c r="O23" i="2"/>
  <c r="P23" i="2" s="1"/>
  <c r="N24" i="1"/>
  <c r="O21" i="1"/>
  <c r="L38" i="1"/>
  <c r="L47" i="1" s="1"/>
  <c r="L50" i="1" s="1"/>
  <c r="M36" i="1"/>
  <c r="M37" i="1"/>
  <c r="N26" i="1"/>
  <c r="O45" i="1"/>
  <c r="P41" i="1"/>
  <c r="P45" i="1" s="1"/>
  <c r="O23" i="1"/>
  <c r="P23" i="1" s="1"/>
  <c r="P21" i="1"/>
  <c r="O24" i="2" l="1"/>
  <c r="O26" i="2" s="1"/>
  <c r="P24" i="2"/>
  <c r="N38" i="2"/>
  <c r="N47" i="2" s="1"/>
  <c r="N50" i="2" s="1"/>
  <c r="O36" i="2"/>
  <c r="O37" i="2"/>
  <c r="P37" i="2" s="1"/>
  <c r="O24" i="1"/>
  <c r="O26" i="1" s="1"/>
  <c r="P24" i="1"/>
  <c r="N36" i="1"/>
  <c r="N37" i="1"/>
  <c r="M38" i="1"/>
  <c r="M47" i="1" s="1"/>
  <c r="M50" i="1" s="1"/>
  <c r="O38" i="2" l="1"/>
  <c r="O47" i="2" s="1"/>
  <c r="O50" i="2" s="1"/>
  <c r="P36" i="2"/>
  <c r="P38" i="2" s="1"/>
  <c r="N38" i="1"/>
  <c r="N47" i="1" s="1"/>
  <c r="N50" i="1" s="1"/>
  <c r="O36" i="1"/>
  <c r="O37" i="1"/>
  <c r="P37" i="1" s="1"/>
  <c r="S38" i="2" l="1"/>
  <c r="P47" i="2"/>
  <c r="P50" i="2" s="1"/>
  <c r="S50" i="2" s="1"/>
  <c r="O38" i="1"/>
  <c r="O47" i="1" s="1"/>
  <c r="O50" i="1" s="1"/>
  <c r="P36" i="1"/>
  <c r="P38" i="1" s="1"/>
  <c r="P47" i="1" s="1"/>
  <c r="P50" i="1" s="1"/>
</calcChain>
</file>

<file path=xl/sharedStrings.xml><?xml version="1.0" encoding="utf-8"?>
<sst xmlns="http://schemas.openxmlformats.org/spreadsheetml/2006/main" count="159" uniqueCount="102">
  <si>
    <t>Florida Public Utilities Company</t>
  </si>
  <si>
    <t>Schedule C-2</t>
  </si>
  <si>
    <t xml:space="preserve">Gas Reliability Infrastructure Program (GRIP) </t>
  </si>
  <si>
    <t xml:space="preserve">Exhibit_______ </t>
  </si>
  <si>
    <t>Calculation of the Projected Revenue Requirements</t>
  </si>
  <si>
    <t>January 1, 2018 through December 31, 2018</t>
  </si>
  <si>
    <t>Page 4 of 15</t>
  </si>
  <si>
    <t>Beginning</t>
  </si>
  <si>
    <t>Year End</t>
  </si>
  <si>
    <t>Item</t>
  </si>
  <si>
    <t>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</si>
  <si>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</si>
  <si>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</si>
  <si>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</si>
  <si>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</si>
  <si>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</si>
  <si>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</si>
  <si>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</si>
  <si>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</si>
  <si>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</si>
  <si>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</si>
  <si>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</si>
  <si>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</si>
  <si>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Total/Balance</t>
  </si>
  <si>
    <t>Qualified Investment</t>
  </si>
  <si>
    <t>Qualified Investment - Mains - Current Year 1070 Activity</t>
  </si>
  <si>
    <t>Qualified Investment - Mains - Closed 1070 Activity to Plant</t>
  </si>
  <si>
    <t>Qualified Investment - Services - Current Year 1070 Activity</t>
  </si>
  <si>
    <t>Qualified Investment - Services - Closed 1070 Activity to Plant</t>
  </si>
  <si>
    <t>Qualified Investment - Mains - Current  1010 Activity</t>
  </si>
  <si>
    <t>Qualified Investment - Services - Current  1010 Activity</t>
  </si>
  <si>
    <t>Total Qualified Investment - Mains 1070</t>
  </si>
  <si>
    <t>Total Qualified Investment - Service 1070</t>
  </si>
  <si>
    <t>Total Qualified Investment - Mains 1010</t>
  </si>
  <si>
    <t>Total Qualified Investment - Service 1010</t>
  </si>
  <si>
    <t>Total Qualified Investment</t>
  </si>
  <si>
    <t>Less:  Accumulated Depreciation</t>
  </si>
  <si>
    <t>Net Book Value</t>
  </si>
  <si>
    <t>Average Net Qualified Investment</t>
  </si>
  <si>
    <t>Depreciation Rates</t>
  </si>
  <si>
    <t>Approved Depreciation Rate-Mains</t>
  </si>
  <si>
    <t>Approved Depreciation Rate-Services</t>
  </si>
  <si>
    <t>Return on Average Net Qualified Investment</t>
  </si>
  <si>
    <t>Equity - Cost of Capital, inclusive of Income Tax Gross-up</t>
  </si>
  <si>
    <t>Debt - Cost of Capital</t>
  </si>
  <si>
    <t>Equity Component - inclusive of Income Tax Gross-up</t>
  </si>
  <si>
    <t>Debt Component</t>
  </si>
  <si>
    <t>Return Requirement</t>
  </si>
  <si>
    <t>Investment Expenses</t>
  </si>
  <si>
    <t>Depreciation Expense - Mains</t>
  </si>
  <si>
    <t>Depreciation Expense - Services</t>
  </si>
  <si>
    <t>Property Taxes</t>
  </si>
  <si>
    <t>General Public Notice Expense &amp; Customer Notice Expense</t>
  </si>
  <si>
    <t>Total Expense</t>
  </si>
  <si>
    <t>Total Revenue Requirements</t>
  </si>
  <si>
    <t>Annual Revenue Requirement for Bare Steel Replacement Investment</t>
  </si>
  <si>
    <t>Net Annual Revenue Requirements</t>
  </si>
  <si>
    <t xml:space="preserve">Florida Public Utilities Company </t>
  </si>
  <si>
    <t>Schedule A-1</t>
  </si>
  <si>
    <t>Calculation of Equity and Debt Returns</t>
  </si>
  <si>
    <t>Michael Cassel (MC-1)</t>
  </si>
  <si>
    <t>Page 1 of 15</t>
  </si>
  <si>
    <t>Earnings Surveillance Report - December 31, 2016</t>
  </si>
  <si>
    <t>Equity Cost Rate</t>
  </si>
  <si>
    <t>Weighted Equity Cost Rate</t>
  </si>
  <si>
    <t>Revenue Expansion Factor</t>
  </si>
  <si>
    <t>Weighted Equity Cost Rate , times Revenue Expansion Factor</t>
  </si>
  <si>
    <t>Long Term Debt-CU</t>
  </si>
  <si>
    <t>Short Term Debt</t>
  </si>
  <si>
    <t>Long Term Debt-FC</t>
  </si>
  <si>
    <t>Short Term Debt-Refinanced LTD</t>
  </si>
  <si>
    <t>Customer Deposits</t>
  </si>
  <si>
    <t>Weighted Debt Cost Rate</t>
  </si>
  <si>
    <t>Overall Weighted Cost Rate</t>
  </si>
  <si>
    <t>REVENUE EXPANSION FACTOR</t>
  </si>
  <si>
    <t>FLORIDA PUBLIC SERVICE COMMISSION</t>
  </si>
  <si>
    <t xml:space="preserve">        EXPLANATION: </t>
  </si>
  <si>
    <t xml:space="preserve">Provide the calculation of the revenue expansion factor for </t>
  </si>
  <si>
    <t>the test year.</t>
  </si>
  <si>
    <t>COMPANY: FLORIDA PUBLIC UTILITIES</t>
  </si>
  <si>
    <t xml:space="preserve">  Consolidated FN</t>
  </si>
  <si>
    <t>Line</t>
  </si>
  <si>
    <t>No.</t>
  </si>
  <si>
    <t>Description</t>
  </si>
  <si>
    <t>Percent</t>
  </si>
  <si>
    <t>Revenue Requirement</t>
  </si>
  <si>
    <t>Gross Receipts Tax Rate</t>
  </si>
  <si>
    <t>Regulatory Assessment Rate</t>
  </si>
  <si>
    <t>Bad Debt Rate</t>
  </si>
  <si>
    <t>Net Before Income Taxes</t>
  </si>
  <si>
    <t>(1) - (2) - (3) - (4)</t>
  </si>
  <si>
    <t>State Income Tax Rate</t>
  </si>
  <si>
    <t>State Income Tax (5) x (6)</t>
  </si>
  <si>
    <t>Net Before Federal Income Tax (5) - (7)</t>
  </si>
  <si>
    <t>Federal Income Tax Rate</t>
  </si>
  <si>
    <t>Federal Income Tax (8) x (9)</t>
  </si>
  <si>
    <t>Revenue Expansion Factor (8) - (10)</t>
  </si>
  <si>
    <t>Net Operating Income Multiplier</t>
  </si>
  <si>
    <t>(100% / Line 11)</t>
  </si>
  <si>
    <t>GRIP Projection</t>
  </si>
  <si>
    <t>Filed</t>
  </si>
  <si>
    <t>New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</si>
</sst>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0.0000"/>
    <numFmt numFmtId="167" formatCode="0.00000"/>
    <numFmt numFmtId="168" formatCode="_(* #,##0.0000_);_(* \(#,##0.0000\);_(* &quot;-&quot;????_);_(@_)"/>
    <numFmt numFmtId="169" formatCode="0.000%"/>
    <numFmt numFmtId="170" formatCode="#,##0.0000_);\(#,##0.0000\)"/>
    <numFmt numFmtId="171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1" fontId="5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5" fontId="4" fillId="0" borderId="0" xfId="0" applyNumberFormat="1" applyFont="1"/>
    <xf numFmtId="5" fontId="4" fillId="0" borderId="0" xfId="0" applyNumberFormat="1" applyFont="1" applyFill="1"/>
    <xf numFmtId="5" fontId="4" fillId="0" borderId="0" xfId="0" applyNumberFormat="1" applyFont="1" applyFill="1" applyBorder="1"/>
    <xf numFmtId="5" fontId="4" fillId="0" borderId="0" xfId="0" applyNumberFormat="1" applyFont="1" applyBorder="1"/>
    <xf numFmtId="5" fontId="4" fillId="0" borderId="1" xfId="0" applyNumberFormat="1" applyFont="1" applyBorder="1"/>
    <xf numFmtId="5" fontId="4" fillId="0" borderId="2" xfId="0" applyNumberFormat="1" applyFont="1" applyBorder="1"/>
    <xf numFmtId="0" fontId="4" fillId="0" borderId="0" xfId="0" applyFont="1" applyBorder="1"/>
    <xf numFmtId="5" fontId="4" fillId="0" borderId="3" xfId="0" applyNumberFormat="1" applyFont="1" applyBorder="1"/>
    <xf numFmtId="42" fontId="4" fillId="0" borderId="0" xfId="0" applyNumberFormat="1" applyFont="1" applyBorder="1"/>
    <xf numFmtId="10" fontId="4" fillId="0" borderId="0" xfId="0" applyNumberFormat="1" applyFont="1"/>
    <xf numFmtId="164" fontId="4" fillId="0" borderId="0" xfId="2" applyNumberFormat="1" applyFont="1" applyFill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5" fontId="4" fillId="0" borderId="2" xfId="0" applyNumberFormat="1" applyFont="1" applyFill="1" applyBorder="1"/>
    <xf numFmtId="5" fontId="4" fillId="0" borderId="4" xfId="0" applyNumberFormat="1" applyFont="1" applyFill="1" applyBorder="1"/>
    <xf numFmtId="5" fontId="4" fillId="0" borderId="4" xfId="0" applyNumberFormat="1" applyFont="1" applyBorder="1"/>
    <xf numFmtId="10" fontId="4" fillId="0" borderId="0" xfId="0" applyNumberFormat="1" applyFont="1" applyFill="1"/>
    <xf numFmtId="5" fontId="4" fillId="0" borderId="2" xfId="2" applyNumberFormat="1" applyFont="1" applyFill="1" applyBorder="1"/>
    <xf numFmtId="5" fontId="4" fillId="0" borderId="2" xfId="2" applyNumberFormat="1" applyFont="1" applyBorder="1"/>
    <xf numFmtId="5" fontId="9" fillId="0" borderId="2" xfId="2" applyNumberFormat="1" applyFont="1" applyBorder="1"/>
    <xf numFmtId="5" fontId="4" fillId="0" borderId="1" xfId="0" applyNumberFormat="1" applyFont="1" applyFill="1" applyBorder="1"/>
    <xf numFmtId="41" fontId="4" fillId="0" borderId="0" xfId="0" applyNumberFormat="1" applyFont="1"/>
    <xf numFmtId="5" fontId="0" fillId="0" borderId="0" xfId="0" applyNumberFormat="1"/>
    <xf numFmtId="0" fontId="4" fillId="0" borderId="0" xfId="0" applyFont="1" applyBorder="1" applyAlignment="1">
      <alignment horizontal="center"/>
    </xf>
    <xf numFmtId="42" fontId="4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9" fontId="4" fillId="0" borderId="0" xfId="2" applyFont="1" applyBorder="1"/>
    <xf numFmtId="0" fontId="2" fillId="0" borderId="0" xfId="0" applyFont="1" applyAlignment="1">
      <alignment horizontal="center"/>
    </xf>
    <xf numFmtId="10" fontId="4" fillId="0" borderId="0" xfId="0" applyNumberFormat="1" applyFont="1" applyBorder="1"/>
    <xf numFmtId="166" fontId="4" fillId="0" borderId="0" xfId="0" applyNumberFormat="1" applyFont="1" applyFill="1"/>
    <xf numFmtId="167" fontId="4" fillId="0" borderId="0" xfId="0" applyNumberFormat="1" applyFont="1"/>
    <xf numFmtId="168" fontId="4" fillId="0" borderId="0" xfId="0" applyNumberFormat="1" applyFont="1"/>
    <xf numFmtId="169" fontId="4" fillId="0" borderId="5" xfId="0" applyNumberFormat="1" applyFont="1" applyFill="1" applyBorder="1"/>
    <xf numFmtId="169" fontId="4" fillId="0" borderId="0" xfId="0" applyNumberFormat="1" applyFont="1" applyFill="1" applyBorder="1"/>
    <xf numFmtId="169" fontId="4" fillId="0" borderId="0" xfId="0" applyNumberFormat="1" applyFont="1" applyFill="1"/>
    <xf numFmtId="0" fontId="4" fillId="0" borderId="0" xfId="0" applyFont="1" applyFill="1"/>
    <xf numFmtId="10" fontId="4" fillId="0" borderId="1" xfId="0" applyNumberFormat="1" applyFont="1" applyFill="1" applyBorder="1"/>
    <xf numFmtId="0" fontId="11" fillId="0" borderId="0" xfId="3" applyNumberFormat="1" applyFont="1" applyAlignment="1"/>
    <xf numFmtId="0" fontId="11" fillId="0" borderId="0" xfId="3" applyNumberFormat="1" applyFont="1" applyAlignment="1" applyProtection="1">
      <protection locked="0"/>
    </xf>
    <xf numFmtId="0" fontId="11" fillId="0" borderId="6" xfId="3" applyNumberFormat="1" applyFont="1" applyBorder="1" applyAlignment="1"/>
    <xf numFmtId="0" fontId="11" fillId="0" borderId="0" xfId="4" applyNumberFormat="1" applyFont="1" applyAlignment="1"/>
    <xf numFmtId="0" fontId="11" fillId="0" borderId="0" xfId="5" applyNumberFormat="1" applyFont="1" applyAlignment="1"/>
    <xf numFmtId="0" fontId="11" fillId="0" borderId="0" xfId="3" applyNumberFormat="1" applyFont="1" applyAlignment="1" applyProtection="1">
      <alignment horizontal="centerContinuous"/>
      <protection locked="0"/>
    </xf>
    <xf numFmtId="0" fontId="11" fillId="0" borderId="6" xfId="3" applyNumberFormat="1" applyFont="1" applyBorder="1" applyAlignment="1" applyProtection="1">
      <protection locked="0"/>
    </xf>
    <xf numFmtId="0" fontId="11" fillId="0" borderId="6" xfId="3" applyNumberFormat="1" applyFont="1" applyFill="1" applyBorder="1" applyAlignment="1" applyProtection="1">
      <protection locked="0"/>
    </xf>
    <xf numFmtId="0" fontId="11" fillId="0" borderId="0" xfId="3" applyNumberFormat="1" applyFont="1" applyAlignment="1" applyProtection="1">
      <alignment horizontal="center"/>
      <protection locked="0"/>
    </xf>
    <xf numFmtId="0" fontId="11" fillId="0" borderId="0" xfId="3" applyNumberFormat="1" applyFont="1" applyFill="1" applyAlignment="1" applyProtection="1">
      <protection locked="0"/>
    </xf>
    <xf numFmtId="164" fontId="10" fillId="0" borderId="0" xfId="6" applyNumberFormat="1" applyFont="1" applyFill="1" applyProtection="1">
      <protection locked="0"/>
    </xf>
    <xf numFmtId="0" fontId="10" fillId="0" borderId="0" xfId="7" applyFont="1" applyFill="1" applyProtection="1">
      <protection locked="0"/>
    </xf>
    <xf numFmtId="170" fontId="10" fillId="0" borderId="0" xfId="7" applyNumberFormat="1" applyFont="1" applyFill="1" applyProtection="1">
      <protection locked="0"/>
    </xf>
    <xf numFmtId="170" fontId="10" fillId="0" borderId="7" xfId="7" applyNumberFormat="1" applyFont="1" applyFill="1" applyBorder="1" applyProtection="1">
      <protection locked="0"/>
    </xf>
    <xf numFmtId="164" fontId="10" fillId="0" borderId="7" xfId="6" applyNumberFormat="1" applyFont="1" applyFill="1" applyBorder="1" applyProtection="1">
      <protection locked="0"/>
    </xf>
    <xf numFmtId="9" fontId="10" fillId="0" borderId="7" xfId="2" applyFont="1" applyFill="1" applyBorder="1" applyProtection="1">
      <protection locked="0"/>
    </xf>
    <xf numFmtId="171" fontId="10" fillId="0" borderId="8" xfId="8" applyNumberFormat="1" applyFont="1" applyFill="1" applyBorder="1" applyProtection="1">
      <protection locked="0"/>
    </xf>
  </cellXfs>
  <cellStyles count="9">
    <cellStyle name="Comma 2" xfId="8"/>
    <cellStyle name="Currency" xfId="1" builtinId="4"/>
    <cellStyle name="Normal" xfId="0" builtinId="0"/>
    <cellStyle name="Normal 2" xfId="4"/>
    <cellStyle name="Normal 3 2" xfId="3"/>
    <cellStyle name="Normal_d-1a" xfId="5"/>
    <cellStyle name="Normal_SCHC58" xfId="7"/>
    <cellStyle name="Percent" xfId="2" builtinId="5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workbookViewId="0">
      <selection activeCell="O1" sqref="O1:O4"/>
    </sheetView>
  </sheetViews>
  <sheetFormatPr defaultRowHeight="15" x14ac:dyDescent="0.25"/>
  <cols>
    <col min="1" max="1" width="6.85546875" customWidth="1"/>
    <col min="2" max="2" width="55.28515625" bestFit="1" customWidth="1"/>
    <col min="3" max="14" width="11.5703125" bestFit="1" customWidth="1"/>
    <col min="15" max="15" width="14.42578125" customWidth="1"/>
    <col min="16" max="16" width="12.7109375" bestFit="1" customWidth="1"/>
    <col min="18" max="18" width="20" bestFit="1" customWidth="1"/>
    <col min="19" max="19" width="11.5703125" bestFit="1" customWidth="1"/>
  </cols>
  <sheetData>
    <row r="1" spans="1:18" ht="18.75" x14ac:dyDescent="0.3">
      <c r="B1" s="1" t="s">
        <v>0</v>
      </c>
      <c r="O1" s="2"/>
      <c r="R1" s="35"/>
    </row>
    <row r="2" spans="1:18" x14ac:dyDescent="0.25">
      <c r="B2" s="3" t="s">
        <v>2</v>
      </c>
      <c r="O2" s="2"/>
      <c r="R2" s="35"/>
    </row>
    <row r="3" spans="1:18" x14ac:dyDescent="0.25">
      <c r="B3" s="3" t="s">
        <v>4</v>
      </c>
      <c r="O3" s="2"/>
      <c r="R3" s="35"/>
    </row>
    <row r="4" spans="1:18" x14ac:dyDescent="0.25">
      <c r="B4" s="3" t="s">
        <v>5</v>
      </c>
      <c r="O4" s="2"/>
      <c r="R4" s="35"/>
    </row>
    <row r="5" spans="1:18" x14ac:dyDescent="0.25">
      <c r="P5" s="3" t="s">
        <v>101</v>
      </c>
      <c r="R5" s="35"/>
    </row>
    <row r="6" spans="1:18" x14ac:dyDescent="0.25">
      <c r="A6" s="4"/>
      <c r="B6" s="5"/>
      <c r="C6" s="3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8</v>
      </c>
      <c r="R6" s="3" t="s">
        <v>99</v>
      </c>
    </row>
    <row r="7" spans="1:18" x14ac:dyDescent="0.25">
      <c r="A7" s="6" t="s">
        <v>9</v>
      </c>
      <c r="B7" s="2"/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  <c r="N7" s="7" t="s">
        <v>21</v>
      </c>
      <c r="O7" s="7" t="s">
        <v>22</v>
      </c>
      <c r="P7" s="7" t="s">
        <v>23</v>
      </c>
      <c r="Q7" s="8"/>
      <c r="R7" s="7" t="s">
        <v>100</v>
      </c>
    </row>
    <row r="8" spans="1:18" x14ac:dyDescent="0.25">
      <c r="A8" s="2" t="s">
        <v>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35"/>
    </row>
    <row r="9" spans="1:18" x14ac:dyDescent="0.25">
      <c r="A9" s="2"/>
      <c r="B9" s="2" t="s">
        <v>25</v>
      </c>
      <c r="C9" s="9"/>
      <c r="D9" s="10">
        <f>((10000000*0.66)*0.82)/12</f>
        <v>451000</v>
      </c>
      <c r="E9" s="10">
        <f t="shared" ref="E9:O9" si="0">((10000000*0.66)*0.82)/12</f>
        <v>451000</v>
      </c>
      <c r="F9" s="10">
        <f t="shared" si="0"/>
        <v>451000</v>
      </c>
      <c r="G9" s="10">
        <f t="shared" si="0"/>
        <v>451000</v>
      </c>
      <c r="H9" s="10">
        <f t="shared" si="0"/>
        <v>451000</v>
      </c>
      <c r="I9" s="10">
        <f t="shared" si="0"/>
        <v>451000</v>
      </c>
      <c r="J9" s="10">
        <f t="shared" si="0"/>
        <v>451000</v>
      </c>
      <c r="K9" s="10">
        <f t="shared" si="0"/>
        <v>451000</v>
      </c>
      <c r="L9" s="10">
        <f t="shared" si="0"/>
        <v>451000</v>
      </c>
      <c r="M9" s="10">
        <f t="shared" si="0"/>
        <v>451000</v>
      </c>
      <c r="N9" s="10">
        <f t="shared" si="0"/>
        <v>451000</v>
      </c>
      <c r="O9" s="10">
        <f t="shared" si="0"/>
        <v>451000</v>
      </c>
      <c r="P9" s="9">
        <f t="shared" ref="P9:P14" si="1">SUM(D9:O9)</f>
        <v>5412000</v>
      </c>
      <c r="R9" s="35">
        <v>5412000</v>
      </c>
    </row>
    <row r="10" spans="1:18" x14ac:dyDescent="0.25">
      <c r="A10" s="2"/>
      <c r="B10" s="2" t="s">
        <v>26</v>
      </c>
      <c r="C10" s="9"/>
      <c r="D10" s="10">
        <f>-ROUND(D9*0.95,0)</f>
        <v>-428450</v>
      </c>
      <c r="E10" s="10">
        <f t="shared" ref="E10:O10" si="2">-ROUND(E9*0.95,0)</f>
        <v>-428450</v>
      </c>
      <c r="F10" s="10">
        <f t="shared" si="2"/>
        <v>-428450</v>
      </c>
      <c r="G10" s="10">
        <f t="shared" si="2"/>
        <v>-428450</v>
      </c>
      <c r="H10" s="10">
        <f t="shared" si="2"/>
        <v>-428450</v>
      </c>
      <c r="I10" s="10">
        <f t="shared" si="2"/>
        <v>-428450</v>
      </c>
      <c r="J10" s="10">
        <f t="shared" si="2"/>
        <v>-428450</v>
      </c>
      <c r="K10" s="10">
        <f t="shared" si="2"/>
        <v>-428450</v>
      </c>
      <c r="L10" s="10">
        <f t="shared" si="2"/>
        <v>-428450</v>
      </c>
      <c r="M10" s="10">
        <f t="shared" si="2"/>
        <v>-428450</v>
      </c>
      <c r="N10" s="10">
        <f t="shared" si="2"/>
        <v>-428450</v>
      </c>
      <c r="O10" s="10">
        <f t="shared" si="2"/>
        <v>-428450</v>
      </c>
      <c r="P10" s="9">
        <f t="shared" si="1"/>
        <v>-5141400</v>
      </c>
      <c r="R10" s="35">
        <v>-5141400</v>
      </c>
    </row>
    <row r="11" spans="1:18" x14ac:dyDescent="0.25">
      <c r="A11" s="2"/>
      <c r="B11" s="2" t="s">
        <v>27</v>
      </c>
      <c r="C11" s="9"/>
      <c r="D11" s="11">
        <f>((10000000*0.66)*0.18)/12</f>
        <v>99000</v>
      </c>
      <c r="E11" s="11">
        <f t="shared" ref="E11:O11" si="3">((10000000*0.66)*0.18)/12</f>
        <v>99000</v>
      </c>
      <c r="F11" s="11">
        <f t="shared" si="3"/>
        <v>99000</v>
      </c>
      <c r="G11" s="11">
        <f t="shared" si="3"/>
        <v>99000</v>
      </c>
      <c r="H11" s="11">
        <f t="shared" si="3"/>
        <v>99000</v>
      </c>
      <c r="I11" s="11">
        <f t="shared" si="3"/>
        <v>99000</v>
      </c>
      <c r="J11" s="11">
        <f t="shared" si="3"/>
        <v>99000</v>
      </c>
      <c r="K11" s="11">
        <f t="shared" si="3"/>
        <v>99000</v>
      </c>
      <c r="L11" s="11">
        <f t="shared" si="3"/>
        <v>99000</v>
      </c>
      <c r="M11" s="11">
        <f t="shared" si="3"/>
        <v>99000</v>
      </c>
      <c r="N11" s="11">
        <f t="shared" si="3"/>
        <v>99000</v>
      </c>
      <c r="O11" s="11">
        <f t="shared" si="3"/>
        <v>99000</v>
      </c>
      <c r="P11" s="9">
        <f t="shared" si="1"/>
        <v>1188000</v>
      </c>
      <c r="R11" s="35">
        <v>1188000</v>
      </c>
    </row>
    <row r="12" spans="1:18" x14ac:dyDescent="0.25">
      <c r="A12" s="2"/>
      <c r="B12" s="2" t="s">
        <v>28</v>
      </c>
      <c r="C12" s="9"/>
      <c r="D12" s="11">
        <f>-D11</f>
        <v>-99000</v>
      </c>
      <c r="E12" s="11">
        <f t="shared" ref="E12:O12" si="4">-E11</f>
        <v>-99000</v>
      </c>
      <c r="F12" s="11">
        <f t="shared" si="4"/>
        <v>-99000</v>
      </c>
      <c r="G12" s="11">
        <f t="shared" si="4"/>
        <v>-99000</v>
      </c>
      <c r="H12" s="11">
        <f t="shared" si="4"/>
        <v>-99000</v>
      </c>
      <c r="I12" s="11">
        <f t="shared" si="4"/>
        <v>-99000</v>
      </c>
      <c r="J12" s="11">
        <f t="shared" si="4"/>
        <v>-99000</v>
      </c>
      <c r="K12" s="11">
        <f t="shared" si="4"/>
        <v>-99000</v>
      </c>
      <c r="L12" s="11">
        <f t="shared" si="4"/>
        <v>-99000</v>
      </c>
      <c r="M12" s="11">
        <f t="shared" si="4"/>
        <v>-99000</v>
      </c>
      <c r="N12" s="11">
        <f t="shared" si="4"/>
        <v>-99000</v>
      </c>
      <c r="O12" s="11">
        <f t="shared" si="4"/>
        <v>-99000</v>
      </c>
      <c r="P12" s="9">
        <f t="shared" si="1"/>
        <v>-1188000</v>
      </c>
      <c r="R12" s="35">
        <v>-1188000</v>
      </c>
    </row>
    <row r="13" spans="1:18" x14ac:dyDescent="0.25">
      <c r="A13" s="2"/>
      <c r="B13" s="2" t="s">
        <v>29</v>
      </c>
      <c r="C13" s="9"/>
      <c r="D13" s="11">
        <f>-D10</f>
        <v>428450</v>
      </c>
      <c r="E13" s="12">
        <f t="shared" ref="E13:N13" si="5">-E10</f>
        <v>428450</v>
      </c>
      <c r="F13" s="12">
        <f t="shared" si="5"/>
        <v>428450</v>
      </c>
      <c r="G13" s="12">
        <f t="shared" si="5"/>
        <v>428450</v>
      </c>
      <c r="H13" s="12">
        <f t="shared" si="5"/>
        <v>428450</v>
      </c>
      <c r="I13" s="12">
        <f t="shared" si="5"/>
        <v>428450</v>
      </c>
      <c r="J13" s="12">
        <f t="shared" si="5"/>
        <v>428450</v>
      </c>
      <c r="K13" s="12">
        <f t="shared" si="5"/>
        <v>428450</v>
      </c>
      <c r="L13" s="12">
        <f t="shared" si="5"/>
        <v>428450</v>
      </c>
      <c r="M13" s="12">
        <f t="shared" si="5"/>
        <v>428450</v>
      </c>
      <c r="N13" s="12">
        <f t="shared" si="5"/>
        <v>428450</v>
      </c>
      <c r="O13" s="12">
        <f>-O10</f>
        <v>428450</v>
      </c>
      <c r="P13" s="9">
        <f t="shared" si="1"/>
        <v>5141400</v>
      </c>
      <c r="R13" s="35">
        <v>5141400</v>
      </c>
    </row>
    <row r="14" spans="1:18" x14ac:dyDescent="0.25">
      <c r="A14" s="2"/>
      <c r="B14" s="2" t="s">
        <v>30</v>
      </c>
      <c r="C14" s="9"/>
      <c r="D14" s="11">
        <f>-D12</f>
        <v>99000</v>
      </c>
      <c r="E14" s="12">
        <f t="shared" ref="E14:N14" si="6">-E12</f>
        <v>99000</v>
      </c>
      <c r="F14" s="12">
        <f t="shared" si="6"/>
        <v>99000</v>
      </c>
      <c r="G14" s="12">
        <f t="shared" si="6"/>
        <v>99000</v>
      </c>
      <c r="H14" s="12">
        <f t="shared" si="6"/>
        <v>99000</v>
      </c>
      <c r="I14" s="12">
        <f t="shared" si="6"/>
        <v>99000</v>
      </c>
      <c r="J14" s="12">
        <f t="shared" si="6"/>
        <v>99000</v>
      </c>
      <c r="K14" s="12">
        <f t="shared" si="6"/>
        <v>99000</v>
      </c>
      <c r="L14" s="12">
        <f t="shared" si="6"/>
        <v>99000</v>
      </c>
      <c r="M14" s="12">
        <f t="shared" si="6"/>
        <v>99000</v>
      </c>
      <c r="N14" s="12">
        <f t="shared" si="6"/>
        <v>99000</v>
      </c>
      <c r="O14" s="12">
        <f>-O12</f>
        <v>99000</v>
      </c>
      <c r="P14" s="9">
        <f t="shared" si="1"/>
        <v>1188000</v>
      </c>
      <c r="R14" s="35">
        <v>1188000</v>
      </c>
    </row>
    <row r="15" spans="1:18" x14ac:dyDescent="0.25">
      <c r="A15" s="2"/>
      <c r="B15" s="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9"/>
      <c r="R15" s="35"/>
    </row>
    <row r="16" spans="1:18" x14ac:dyDescent="0.25">
      <c r="A16" s="2"/>
      <c r="B16" s="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R16" s="35"/>
    </row>
    <row r="17" spans="1:18" x14ac:dyDescent="0.25">
      <c r="A17" s="2"/>
      <c r="B17" s="2" t="s">
        <v>31</v>
      </c>
      <c r="C17" s="9">
        <v>998343.12999999663</v>
      </c>
      <c r="D17" s="9">
        <f>C17+D9+D10</f>
        <v>1020893.1299999966</v>
      </c>
      <c r="E17" s="9">
        <f t="shared" ref="E17:O17" si="7">D17+E9+E10</f>
        <v>1043443.1299999966</v>
      </c>
      <c r="F17" s="9">
        <f t="shared" si="7"/>
        <v>1065993.1299999966</v>
      </c>
      <c r="G17" s="9">
        <f t="shared" si="7"/>
        <v>1088543.1299999966</v>
      </c>
      <c r="H17" s="9">
        <f t="shared" si="7"/>
        <v>1111093.1299999966</v>
      </c>
      <c r="I17" s="9">
        <f t="shared" si="7"/>
        <v>1133643.1299999966</v>
      </c>
      <c r="J17" s="9">
        <f t="shared" si="7"/>
        <v>1156193.1299999966</v>
      </c>
      <c r="K17" s="9">
        <f t="shared" si="7"/>
        <v>1178743.1299999966</v>
      </c>
      <c r="L17" s="9">
        <f t="shared" si="7"/>
        <v>1201293.1299999966</v>
      </c>
      <c r="M17" s="9">
        <f t="shared" si="7"/>
        <v>1223843.1299999966</v>
      </c>
      <c r="N17" s="9">
        <f t="shared" si="7"/>
        <v>1246393.1299999966</v>
      </c>
      <c r="O17" s="9">
        <f t="shared" si="7"/>
        <v>1268943.1299999966</v>
      </c>
      <c r="P17" s="9">
        <f>+O17</f>
        <v>1268943.1299999966</v>
      </c>
      <c r="R17" s="35">
        <v>1268943.1299999966</v>
      </c>
    </row>
    <row r="18" spans="1:18" x14ac:dyDescent="0.25">
      <c r="A18" s="2"/>
      <c r="B18" s="2" t="s">
        <v>32</v>
      </c>
      <c r="C18" s="9">
        <v>138427.13000000047</v>
      </c>
      <c r="D18" s="12">
        <f>C18+D11+D12</f>
        <v>138427.13000000047</v>
      </c>
      <c r="E18" s="12">
        <f t="shared" ref="E18:O18" si="8">D18+E11+E12</f>
        <v>138427.13000000047</v>
      </c>
      <c r="F18" s="12">
        <f t="shared" si="8"/>
        <v>138427.13000000047</v>
      </c>
      <c r="G18" s="12">
        <f t="shared" si="8"/>
        <v>138427.13000000047</v>
      </c>
      <c r="H18" s="12">
        <f t="shared" si="8"/>
        <v>138427.13000000047</v>
      </c>
      <c r="I18" s="12">
        <f t="shared" si="8"/>
        <v>138427.13000000047</v>
      </c>
      <c r="J18" s="12">
        <f t="shared" si="8"/>
        <v>138427.13000000047</v>
      </c>
      <c r="K18" s="12">
        <f t="shared" si="8"/>
        <v>138427.13000000047</v>
      </c>
      <c r="L18" s="12">
        <f t="shared" si="8"/>
        <v>138427.13000000047</v>
      </c>
      <c r="M18" s="12">
        <f t="shared" si="8"/>
        <v>138427.13000000047</v>
      </c>
      <c r="N18" s="12">
        <f t="shared" si="8"/>
        <v>138427.13000000047</v>
      </c>
      <c r="O18" s="12">
        <f t="shared" si="8"/>
        <v>138427.13000000047</v>
      </c>
      <c r="P18" s="9">
        <f>+O18</f>
        <v>138427.13000000047</v>
      </c>
      <c r="R18" s="35">
        <v>138427.13000000047</v>
      </c>
    </row>
    <row r="19" spans="1:18" x14ac:dyDescent="0.25">
      <c r="A19" s="2"/>
      <c r="B19" s="2" t="s">
        <v>33</v>
      </c>
      <c r="C19" s="9">
        <v>64594669.620000012</v>
      </c>
      <c r="D19" s="12">
        <f>+C19+D13</f>
        <v>65023119.620000012</v>
      </c>
      <c r="E19" s="12">
        <f t="shared" ref="E19:O20" si="9">+D19+E13</f>
        <v>65451569.620000012</v>
      </c>
      <c r="F19" s="12">
        <f t="shared" si="9"/>
        <v>65880019.620000012</v>
      </c>
      <c r="G19" s="12">
        <f t="shared" si="9"/>
        <v>66308469.620000012</v>
      </c>
      <c r="H19" s="12">
        <f t="shared" si="9"/>
        <v>66736919.620000012</v>
      </c>
      <c r="I19" s="12">
        <f t="shared" si="9"/>
        <v>67165369.620000005</v>
      </c>
      <c r="J19" s="12">
        <f t="shared" si="9"/>
        <v>67593819.620000005</v>
      </c>
      <c r="K19" s="12">
        <f t="shared" si="9"/>
        <v>68022269.620000005</v>
      </c>
      <c r="L19" s="12">
        <f t="shared" si="9"/>
        <v>68450719.620000005</v>
      </c>
      <c r="M19" s="12">
        <f t="shared" si="9"/>
        <v>68879169.620000005</v>
      </c>
      <c r="N19" s="12">
        <f t="shared" si="9"/>
        <v>69307619.620000005</v>
      </c>
      <c r="O19" s="12">
        <f t="shared" si="9"/>
        <v>69736069.620000005</v>
      </c>
      <c r="P19" s="9">
        <f>+O19</f>
        <v>69736069.620000005</v>
      </c>
      <c r="R19" s="35">
        <v>69736069.620000005</v>
      </c>
    </row>
    <row r="20" spans="1:18" x14ac:dyDescent="0.25">
      <c r="A20" s="2"/>
      <c r="B20" s="2" t="s">
        <v>34</v>
      </c>
      <c r="C20" s="9">
        <v>20467147.259999998</v>
      </c>
      <c r="D20" s="12">
        <f>+C20+D14</f>
        <v>20566147.259999998</v>
      </c>
      <c r="E20" s="12">
        <f t="shared" si="9"/>
        <v>20665147.259999998</v>
      </c>
      <c r="F20" s="12">
        <f t="shared" si="9"/>
        <v>20764147.259999998</v>
      </c>
      <c r="G20" s="12">
        <f t="shared" si="9"/>
        <v>20863147.259999998</v>
      </c>
      <c r="H20" s="12">
        <f t="shared" si="9"/>
        <v>20962147.259999998</v>
      </c>
      <c r="I20" s="12">
        <f t="shared" si="9"/>
        <v>21061147.259999998</v>
      </c>
      <c r="J20" s="12">
        <f t="shared" si="9"/>
        <v>21160147.259999998</v>
      </c>
      <c r="K20" s="12">
        <f t="shared" si="9"/>
        <v>21259147.259999998</v>
      </c>
      <c r="L20" s="12">
        <f t="shared" si="9"/>
        <v>21358147.259999998</v>
      </c>
      <c r="M20" s="12">
        <f t="shared" si="9"/>
        <v>21457147.259999998</v>
      </c>
      <c r="N20" s="12">
        <f t="shared" si="9"/>
        <v>21556147.259999998</v>
      </c>
      <c r="O20" s="12">
        <f t="shared" si="9"/>
        <v>21655147.259999998</v>
      </c>
      <c r="P20" s="9">
        <f>+O20</f>
        <v>21655147.259999998</v>
      </c>
      <c r="R20" s="35">
        <v>21655147.259999998</v>
      </c>
    </row>
    <row r="21" spans="1:18" ht="15.75" thickBot="1" x14ac:dyDescent="0.3">
      <c r="A21" s="2"/>
      <c r="B21" s="2" t="s">
        <v>35</v>
      </c>
      <c r="C21" s="13">
        <f>SUM(C17:C20)</f>
        <v>86198587.140000015</v>
      </c>
      <c r="D21" s="13">
        <f>SUM(D17:D20)</f>
        <v>86748587.140000015</v>
      </c>
      <c r="E21" s="13">
        <f t="shared" ref="E21:P21" si="10">SUM(E17:E20)</f>
        <v>87298587.140000015</v>
      </c>
      <c r="F21" s="13">
        <f t="shared" si="10"/>
        <v>87848587.140000015</v>
      </c>
      <c r="G21" s="13">
        <f t="shared" si="10"/>
        <v>88398587.140000015</v>
      </c>
      <c r="H21" s="13">
        <f t="shared" si="10"/>
        <v>88948587.140000015</v>
      </c>
      <c r="I21" s="13">
        <f t="shared" si="10"/>
        <v>89498587.139999986</v>
      </c>
      <c r="J21" s="13">
        <f t="shared" si="10"/>
        <v>90048587.139999986</v>
      </c>
      <c r="K21" s="13">
        <f t="shared" si="10"/>
        <v>90598587.139999986</v>
      </c>
      <c r="L21" s="13">
        <f t="shared" si="10"/>
        <v>91148587.139999986</v>
      </c>
      <c r="M21" s="13">
        <f t="shared" si="10"/>
        <v>91698587.139999986</v>
      </c>
      <c r="N21" s="13">
        <f t="shared" si="10"/>
        <v>92248587.139999986</v>
      </c>
      <c r="O21" s="13">
        <f t="shared" si="10"/>
        <v>92798587.139999986</v>
      </c>
      <c r="P21" s="13">
        <f t="shared" si="10"/>
        <v>92798587.139999986</v>
      </c>
      <c r="R21" s="35">
        <v>92798587.139999986</v>
      </c>
    </row>
    <row r="22" spans="1:18" ht="15.75" thickTop="1" x14ac:dyDescent="0.25">
      <c r="A22" s="2"/>
      <c r="B22" s="2"/>
      <c r="C22" s="2"/>
      <c r="D22" s="12"/>
      <c r="E22" s="12"/>
      <c r="F22" s="12"/>
      <c r="G22" s="12"/>
      <c r="H22" s="12"/>
      <c r="I22" s="9"/>
      <c r="J22" s="9"/>
      <c r="K22" s="9"/>
      <c r="L22" s="9"/>
      <c r="M22" s="9"/>
      <c r="N22" s="9"/>
      <c r="O22" s="9"/>
      <c r="P22" s="9"/>
      <c r="R22" s="35"/>
    </row>
    <row r="23" spans="1:18" x14ac:dyDescent="0.25">
      <c r="A23" s="2"/>
      <c r="B23" s="2" t="s">
        <v>36</v>
      </c>
      <c r="C23" s="14">
        <v>-5624260.8602558328</v>
      </c>
      <c r="D23" s="12">
        <f>C23-D41-D42</f>
        <v>-5810267.0591008328</v>
      </c>
      <c r="E23" s="12">
        <f t="shared" ref="E23:O23" si="11">D23-E41-E42</f>
        <v>-5997424.3162791664</v>
      </c>
      <c r="F23" s="12">
        <f t="shared" si="11"/>
        <v>-6185732.6317908326</v>
      </c>
      <c r="G23" s="12">
        <f t="shared" si="11"/>
        <v>-6375192.0056358324</v>
      </c>
      <c r="H23" s="12">
        <f t="shared" si="11"/>
        <v>-6565802.4378141658</v>
      </c>
      <c r="I23" s="12">
        <f t="shared" si="11"/>
        <v>-6757563.9283258319</v>
      </c>
      <c r="J23" s="12">
        <f t="shared" si="11"/>
        <v>-6950476.4771708315</v>
      </c>
      <c r="K23" s="12">
        <f t="shared" si="11"/>
        <v>-7144540.0843491647</v>
      </c>
      <c r="L23" s="12">
        <f t="shared" si="11"/>
        <v>-7339754.7498608315</v>
      </c>
      <c r="M23" s="12">
        <f t="shared" si="11"/>
        <v>-7536120.473705831</v>
      </c>
      <c r="N23" s="12">
        <f t="shared" si="11"/>
        <v>-7733637.255884164</v>
      </c>
      <c r="O23" s="12">
        <f t="shared" si="11"/>
        <v>-7932305.0963958306</v>
      </c>
      <c r="P23" s="12">
        <f>+O23</f>
        <v>-7932305.0963958306</v>
      </c>
      <c r="R23" s="35">
        <v>-7932305.0963958306</v>
      </c>
    </row>
    <row r="24" spans="1:18" ht="15.75" thickBot="1" x14ac:dyDescent="0.3">
      <c r="A24" s="2"/>
      <c r="B24" s="2" t="s">
        <v>37</v>
      </c>
      <c r="C24" s="13">
        <f>C21+C23</f>
        <v>80574326.279744178</v>
      </c>
      <c r="D24" s="13">
        <f>D21+D23</f>
        <v>80938320.080899179</v>
      </c>
      <c r="E24" s="13">
        <f t="shared" ref="E24:O24" si="12">E21+E23</f>
        <v>81301162.823720843</v>
      </c>
      <c r="F24" s="13">
        <f t="shared" si="12"/>
        <v>81662854.508209184</v>
      </c>
      <c r="G24" s="13">
        <f t="shared" si="12"/>
        <v>82023395.134364188</v>
      </c>
      <c r="H24" s="13">
        <f t="shared" si="12"/>
        <v>82382784.702185854</v>
      </c>
      <c r="I24" s="13">
        <f t="shared" si="12"/>
        <v>82741023.211674154</v>
      </c>
      <c r="J24" s="13">
        <f t="shared" si="12"/>
        <v>83098110.662829161</v>
      </c>
      <c r="K24" s="13">
        <f t="shared" si="12"/>
        <v>83454047.055650815</v>
      </c>
      <c r="L24" s="13">
        <f t="shared" si="12"/>
        <v>83808832.390139148</v>
      </c>
      <c r="M24" s="13">
        <f t="shared" si="12"/>
        <v>84162466.666294158</v>
      </c>
      <c r="N24" s="13">
        <f t="shared" si="12"/>
        <v>84514949.884115815</v>
      </c>
      <c r="O24" s="13">
        <f t="shared" si="12"/>
        <v>84866282.04360415</v>
      </c>
      <c r="P24" s="13">
        <f>P21+P23</f>
        <v>84866282.04360415</v>
      </c>
      <c r="R24" s="35">
        <v>84866282.04360415</v>
      </c>
    </row>
    <row r="25" spans="1:18" ht="16.5" thickTop="1" thickBot="1" x14ac:dyDescent="0.3">
      <c r="A25" s="2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R25" s="35"/>
    </row>
    <row r="26" spans="1:18" ht="16.5" thickTop="1" thickBot="1" x14ac:dyDescent="0.3">
      <c r="A26" s="2"/>
      <c r="B26" s="15" t="s">
        <v>38</v>
      </c>
      <c r="C26" s="12"/>
      <c r="D26" s="16">
        <f>ROUND((+C24+D24)/2,0)</f>
        <v>80756323</v>
      </c>
      <c r="E26" s="16">
        <f t="shared" ref="E26:O26" si="13">ROUND((+D24+E24)/2,0)</f>
        <v>81119741</v>
      </c>
      <c r="F26" s="16">
        <f t="shared" si="13"/>
        <v>81482009</v>
      </c>
      <c r="G26" s="16">
        <f t="shared" si="13"/>
        <v>81843125</v>
      </c>
      <c r="H26" s="16">
        <f t="shared" si="13"/>
        <v>82203090</v>
      </c>
      <c r="I26" s="16">
        <f t="shared" si="13"/>
        <v>82561904</v>
      </c>
      <c r="J26" s="16">
        <f t="shared" si="13"/>
        <v>82919567</v>
      </c>
      <c r="K26" s="16">
        <f t="shared" si="13"/>
        <v>83276079</v>
      </c>
      <c r="L26" s="16">
        <f t="shared" si="13"/>
        <v>83631440</v>
      </c>
      <c r="M26" s="16">
        <f t="shared" si="13"/>
        <v>83985650</v>
      </c>
      <c r="N26" s="16">
        <f t="shared" si="13"/>
        <v>84338708</v>
      </c>
      <c r="O26" s="16">
        <f t="shared" si="13"/>
        <v>84690616</v>
      </c>
      <c r="P26" s="12"/>
      <c r="R26" s="35"/>
    </row>
    <row r="27" spans="1:18" ht="15.75" thickTop="1" x14ac:dyDescent="0.25">
      <c r="A27" s="2"/>
      <c r="B27" s="15"/>
      <c r="C27" s="15"/>
      <c r="D27" s="17"/>
      <c r="E27" s="17"/>
      <c r="F27" s="17"/>
      <c r="G27" s="17"/>
      <c r="H27" s="17"/>
      <c r="I27" s="15"/>
      <c r="J27" s="2"/>
      <c r="K27" s="2"/>
      <c r="L27" s="2"/>
      <c r="M27" s="2"/>
      <c r="N27" s="2"/>
      <c r="O27" s="2"/>
      <c r="P27" s="2"/>
      <c r="R27" s="35"/>
    </row>
    <row r="28" spans="1:18" x14ac:dyDescent="0.25">
      <c r="A28" s="2" t="s">
        <v>39</v>
      </c>
      <c r="B28" s="2"/>
      <c r="C28" s="2"/>
      <c r="D28" s="17"/>
      <c r="E28" s="17"/>
      <c r="F28" s="17"/>
      <c r="G28" s="17"/>
      <c r="H28" s="17"/>
      <c r="I28" s="2"/>
      <c r="J28" s="2"/>
      <c r="K28" s="2"/>
      <c r="L28" s="2"/>
      <c r="M28" s="2"/>
      <c r="N28" s="2"/>
      <c r="O28" s="2"/>
      <c r="P28" s="2"/>
      <c r="R28" s="35"/>
    </row>
    <row r="29" spans="1:18" x14ac:dyDescent="0.25">
      <c r="A29" s="2"/>
      <c r="B29" s="2" t="s">
        <v>40</v>
      </c>
      <c r="C29" s="2"/>
      <c r="D29" s="18">
        <v>2.5999999999999999E-2</v>
      </c>
      <c r="E29" s="18">
        <v>2.5999999999999999E-2</v>
      </c>
      <c r="F29" s="18">
        <v>2.5999999999999999E-2</v>
      </c>
      <c r="G29" s="18">
        <v>2.5999999999999999E-2</v>
      </c>
      <c r="H29" s="18">
        <v>2.5999999999999999E-2</v>
      </c>
      <c r="I29" s="18">
        <v>2.5999999999999999E-2</v>
      </c>
      <c r="J29" s="18">
        <v>2.5999999999999999E-2</v>
      </c>
      <c r="K29" s="18">
        <v>2.5999999999999999E-2</v>
      </c>
      <c r="L29" s="18">
        <v>2.5999999999999999E-2</v>
      </c>
      <c r="M29" s="18">
        <v>2.5999999999999999E-2</v>
      </c>
      <c r="N29" s="18">
        <v>2.5999999999999999E-2</v>
      </c>
      <c r="O29" s="18">
        <v>2.5999999999999999E-2</v>
      </c>
      <c r="P29" s="2"/>
      <c r="R29" s="35"/>
    </row>
    <row r="30" spans="1:18" x14ac:dyDescent="0.25">
      <c r="A30" s="2"/>
      <c r="B30" s="2" t="s">
        <v>41</v>
      </c>
      <c r="C30" s="2"/>
      <c r="D30" s="18">
        <v>2.7E-2</v>
      </c>
      <c r="E30" s="18">
        <v>2.7E-2</v>
      </c>
      <c r="F30" s="18">
        <v>2.7E-2</v>
      </c>
      <c r="G30" s="18">
        <v>2.7E-2</v>
      </c>
      <c r="H30" s="18">
        <v>2.7E-2</v>
      </c>
      <c r="I30" s="18">
        <v>2.7E-2</v>
      </c>
      <c r="J30" s="18">
        <v>2.7E-2</v>
      </c>
      <c r="K30" s="18">
        <v>2.7E-2</v>
      </c>
      <c r="L30" s="18">
        <v>2.7E-2</v>
      </c>
      <c r="M30" s="18">
        <v>2.7E-2</v>
      </c>
      <c r="N30" s="18">
        <v>2.7E-2</v>
      </c>
      <c r="O30" s="18">
        <v>2.7E-2</v>
      </c>
      <c r="P30" s="2"/>
      <c r="R30" s="35"/>
    </row>
    <row r="31" spans="1:18" x14ac:dyDescent="0.25">
      <c r="A31" s="2"/>
      <c r="B31" s="2"/>
      <c r="C31" s="2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"/>
      <c r="R31" s="35"/>
    </row>
    <row r="32" spans="1:18" x14ac:dyDescent="0.25">
      <c r="A32" s="2" t="s">
        <v>42</v>
      </c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R32" s="35"/>
    </row>
    <row r="33" spans="1:19" x14ac:dyDescent="0.25">
      <c r="A33" s="2"/>
      <c r="B33" s="2" t="s">
        <v>43</v>
      </c>
      <c r="C33" s="2"/>
      <c r="D33" s="19">
        <f>'Return with new tax'!D12</f>
        <v>6.4699999999999994E-2</v>
      </c>
      <c r="E33" s="20">
        <f>D33</f>
        <v>6.4699999999999994E-2</v>
      </c>
      <c r="F33" s="21">
        <f t="shared" ref="F33:O34" si="14">E33</f>
        <v>6.4699999999999994E-2</v>
      </c>
      <c r="G33" s="21">
        <f t="shared" si="14"/>
        <v>6.4699999999999994E-2</v>
      </c>
      <c r="H33" s="21">
        <f t="shared" si="14"/>
        <v>6.4699999999999994E-2</v>
      </c>
      <c r="I33" s="21">
        <f t="shared" si="14"/>
        <v>6.4699999999999994E-2</v>
      </c>
      <c r="J33" s="20">
        <f t="shared" si="14"/>
        <v>6.4699999999999994E-2</v>
      </c>
      <c r="K33" s="20">
        <f t="shared" si="14"/>
        <v>6.4699999999999994E-2</v>
      </c>
      <c r="L33" s="20">
        <f t="shared" si="14"/>
        <v>6.4699999999999994E-2</v>
      </c>
      <c r="M33" s="20">
        <f t="shared" si="14"/>
        <v>6.4699999999999994E-2</v>
      </c>
      <c r="N33" s="20">
        <f t="shared" si="14"/>
        <v>6.4699999999999994E-2</v>
      </c>
      <c r="O33" s="20">
        <f t="shared" si="14"/>
        <v>6.4699999999999994E-2</v>
      </c>
      <c r="P33" s="2"/>
      <c r="R33" s="35"/>
    </row>
    <row r="34" spans="1:19" x14ac:dyDescent="0.25">
      <c r="A34" s="2"/>
      <c r="B34" s="2" t="s">
        <v>44</v>
      </c>
      <c r="C34" s="2"/>
      <c r="D34" s="19">
        <f>'Return with new tax'!D19</f>
        <v>1.4100000000000001E-2</v>
      </c>
      <c r="E34" s="20">
        <f>D34</f>
        <v>1.4100000000000001E-2</v>
      </c>
      <c r="F34" s="21">
        <f t="shared" si="14"/>
        <v>1.4100000000000001E-2</v>
      </c>
      <c r="G34" s="21">
        <f t="shared" si="14"/>
        <v>1.4100000000000001E-2</v>
      </c>
      <c r="H34" s="21">
        <f t="shared" si="14"/>
        <v>1.4100000000000001E-2</v>
      </c>
      <c r="I34" s="21">
        <f t="shared" si="14"/>
        <v>1.4100000000000001E-2</v>
      </c>
      <c r="J34" s="20">
        <f t="shared" si="14"/>
        <v>1.4100000000000001E-2</v>
      </c>
      <c r="K34" s="20">
        <f t="shared" si="14"/>
        <v>1.4100000000000001E-2</v>
      </c>
      <c r="L34" s="20">
        <f t="shared" si="14"/>
        <v>1.4100000000000001E-2</v>
      </c>
      <c r="M34" s="20">
        <f t="shared" si="14"/>
        <v>1.4100000000000001E-2</v>
      </c>
      <c r="N34" s="20">
        <f t="shared" si="14"/>
        <v>1.4100000000000001E-2</v>
      </c>
      <c r="O34" s="20">
        <f t="shared" si="14"/>
        <v>1.4100000000000001E-2</v>
      </c>
      <c r="P34" s="2"/>
      <c r="R34" s="35"/>
    </row>
    <row r="35" spans="1:19" x14ac:dyDescent="0.25">
      <c r="A35" s="2"/>
      <c r="B35" s="2"/>
      <c r="C35" s="2"/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R35" s="35"/>
    </row>
    <row r="36" spans="1:19" x14ac:dyDescent="0.25">
      <c r="A36" s="2"/>
      <c r="B36" s="2" t="s">
        <v>45</v>
      </c>
      <c r="C36" s="2"/>
      <c r="D36" s="11">
        <f t="shared" ref="D36:O36" si="15">D26*D33/12</f>
        <v>435411.17484166659</v>
      </c>
      <c r="E36" s="12">
        <f t="shared" si="15"/>
        <v>437370.6035583333</v>
      </c>
      <c r="F36" s="12">
        <f t="shared" si="15"/>
        <v>439323.83185833326</v>
      </c>
      <c r="G36" s="12">
        <f t="shared" si="15"/>
        <v>441270.84895833326</v>
      </c>
      <c r="H36" s="12">
        <f t="shared" si="15"/>
        <v>443211.66024999996</v>
      </c>
      <c r="I36" s="12">
        <f t="shared" si="15"/>
        <v>445146.2657333333</v>
      </c>
      <c r="J36" s="12">
        <f t="shared" si="15"/>
        <v>447074.6654083333</v>
      </c>
      <c r="K36" s="12">
        <f t="shared" si="15"/>
        <v>448996.85927499994</v>
      </c>
      <c r="L36" s="12">
        <f t="shared" si="15"/>
        <v>450912.84733333328</v>
      </c>
      <c r="M36" s="12">
        <f t="shared" si="15"/>
        <v>452822.62958333333</v>
      </c>
      <c r="N36" s="12">
        <f t="shared" si="15"/>
        <v>454726.2006333333</v>
      </c>
      <c r="O36" s="12">
        <f t="shared" si="15"/>
        <v>456623.57126666658</v>
      </c>
      <c r="P36" s="9">
        <f>SUM(D36:O36)</f>
        <v>5352891.1586999996</v>
      </c>
      <c r="R36" s="35">
        <v>6502894.0505999997</v>
      </c>
    </row>
    <row r="37" spans="1:19" x14ac:dyDescent="0.25">
      <c r="A37" s="2"/>
      <c r="B37" s="2" t="s">
        <v>46</v>
      </c>
      <c r="C37" s="2"/>
      <c r="D37" s="23">
        <f t="shared" ref="D37:O37" si="16">D26*D34/12</f>
        <v>94888.679525</v>
      </c>
      <c r="E37" s="14">
        <f t="shared" si="16"/>
        <v>95315.69567500001</v>
      </c>
      <c r="F37" s="14">
        <f t="shared" si="16"/>
        <v>95741.360575000013</v>
      </c>
      <c r="G37" s="14">
        <f t="shared" si="16"/>
        <v>96165.671875</v>
      </c>
      <c r="H37" s="14">
        <f t="shared" si="16"/>
        <v>96588.630750000011</v>
      </c>
      <c r="I37" s="14">
        <f t="shared" si="16"/>
        <v>97010.237200000018</v>
      </c>
      <c r="J37" s="14">
        <f t="shared" si="16"/>
        <v>97430.491225000005</v>
      </c>
      <c r="K37" s="14">
        <f t="shared" si="16"/>
        <v>97849.392825000003</v>
      </c>
      <c r="L37" s="14">
        <f t="shared" si="16"/>
        <v>98266.941999999995</v>
      </c>
      <c r="M37" s="14">
        <f t="shared" si="16"/>
        <v>98683.138749999998</v>
      </c>
      <c r="N37" s="14">
        <f t="shared" si="16"/>
        <v>99097.981900000013</v>
      </c>
      <c r="O37" s="14">
        <f t="shared" si="16"/>
        <v>99511.473800000022</v>
      </c>
      <c r="P37" s="14">
        <f>SUM(D37:O37)</f>
        <v>1166549.6961000001</v>
      </c>
      <c r="R37" s="35">
        <v>1166549.6961000001</v>
      </c>
    </row>
    <row r="38" spans="1:19" ht="15.75" thickBot="1" x14ac:dyDescent="0.3">
      <c r="A38" s="2"/>
      <c r="B38" s="2" t="s">
        <v>47</v>
      </c>
      <c r="C38" s="2"/>
      <c r="D38" s="24">
        <f>SUM(D36:D37)</f>
        <v>530299.85436666664</v>
      </c>
      <c r="E38" s="25">
        <f t="shared" ref="E38:O38" si="17">SUM(E36:E37)</f>
        <v>532686.29923333332</v>
      </c>
      <c r="F38" s="25">
        <f t="shared" si="17"/>
        <v>535065.19243333326</v>
      </c>
      <c r="G38" s="25">
        <f t="shared" si="17"/>
        <v>537436.52083333326</v>
      </c>
      <c r="H38" s="25">
        <f t="shared" si="17"/>
        <v>539800.29099999997</v>
      </c>
      <c r="I38" s="25">
        <f t="shared" si="17"/>
        <v>542156.50293333328</v>
      </c>
      <c r="J38" s="25">
        <f t="shared" si="17"/>
        <v>544505.1566333333</v>
      </c>
      <c r="K38" s="25">
        <f t="shared" si="17"/>
        <v>546846.25209999993</v>
      </c>
      <c r="L38" s="25">
        <f t="shared" si="17"/>
        <v>549179.78933333326</v>
      </c>
      <c r="M38" s="25">
        <f t="shared" si="17"/>
        <v>551505.76833333331</v>
      </c>
      <c r="N38" s="25">
        <f t="shared" si="17"/>
        <v>553824.18253333331</v>
      </c>
      <c r="O38" s="25">
        <f t="shared" si="17"/>
        <v>556135.04506666656</v>
      </c>
      <c r="P38" s="13">
        <f>SUM(P36:P37)</f>
        <v>6519440.8547999999</v>
      </c>
      <c r="R38" s="35">
        <v>7669443.7467</v>
      </c>
      <c r="S38" s="36">
        <f>R38-P38</f>
        <v>1150002.8919000002</v>
      </c>
    </row>
    <row r="39" spans="1:19" ht="15.75" thickTop="1" x14ac:dyDescent="0.25">
      <c r="A39" s="2"/>
      <c r="B39" s="2"/>
      <c r="C39" s="2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35"/>
    </row>
    <row r="40" spans="1:19" x14ac:dyDescent="0.25">
      <c r="A40" s="2" t="s">
        <v>48</v>
      </c>
      <c r="B40" s="2"/>
      <c r="C40" s="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35"/>
    </row>
    <row r="41" spans="1:19" x14ac:dyDescent="0.25">
      <c r="A41" s="2"/>
      <c r="B41" s="2" t="s">
        <v>49</v>
      </c>
      <c r="C41" s="2"/>
      <c r="D41" s="11">
        <f>C19*(D29/12)</f>
        <v>139955.11751000001</v>
      </c>
      <c r="E41" s="11">
        <f t="shared" ref="E41:O42" si="18">D19*(E29/12)</f>
        <v>140883.42584333336</v>
      </c>
      <c r="F41" s="11">
        <f t="shared" si="18"/>
        <v>141811.73417666668</v>
      </c>
      <c r="G41" s="11">
        <f t="shared" si="18"/>
        <v>142740.04251000003</v>
      </c>
      <c r="H41" s="11">
        <f t="shared" si="18"/>
        <v>143668.35084333335</v>
      </c>
      <c r="I41" s="11">
        <f t="shared" si="18"/>
        <v>144596.6591766667</v>
      </c>
      <c r="J41" s="11">
        <f t="shared" si="18"/>
        <v>145524.96751000002</v>
      </c>
      <c r="K41" s="11">
        <f t="shared" si="18"/>
        <v>146453.27584333334</v>
      </c>
      <c r="L41" s="11">
        <f t="shared" si="18"/>
        <v>147381.58417666666</v>
      </c>
      <c r="M41" s="11">
        <f t="shared" si="18"/>
        <v>148309.89251000001</v>
      </c>
      <c r="N41" s="11">
        <f t="shared" si="18"/>
        <v>149238.20084333332</v>
      </c>
      <c r="O41" s="11">
        <f t="shared" si="18"/>
        <v>150166.50917666667</v>
      </c>
      <c r="P41" s="9">
        <f>SUM(D41:O41)</f>
        <v>1740729.76012</v>
      </c>
      <c r="R41" s="35">
        <v>1740729.76012</v>
      </c>
    </row>
    <row r="42" spans="1:19" x14ac:dyDescent="0.25">
      <c r="A42" s="2"/>
      <c r="B42" s="2" t="s">
        <v>50</v>
      </c>
      <c r="C42" s="2"/>
      <c r="D42" s="11">
        <f>C20*(D30/12)</f>
        <v>46051.081334999995</v>
      </c>
      <c r="E42" s="11">
        <f t="shared" si="18"/>
        <v>46273.831334999995</v>
      </c>
      <c r="F42" s="11">
        <f t="shared" si="18"/>
        <v>46496.581334999995</v>
      </c>
      <c r="G42" s="11">
        <f t="shared" si="18"/>
        <v>46719.331334999995</v>
      </c>
      <c r="H42" s="11">
        <f t="shared" si="18"/>
        <v>46942.081334999995</v>
      </c>
      <c r="I42" s="11">
        <f t="shared" si="18"/>
        <v>47164.831334999995</v>
      </c>
      <c r="J42" s="11">
        <f t="shared" si="18"/>
        <v>47387.581334999995</v>
      </c>
      <c r="K42" s="11">
        <f t="shared" si="18"/>
        <v>47610.331334999995</v>
      </c>
      <c r="L42" s="11">
        <f t="shared" si="18"/>
        <v>47833.081334999995</v>
      </c>
      <c r="M42" s="11">
        <f t="shared" si="18"/>
        <v>48055.831334999995</v>
      </c>
      <c r="N42" s="11">
        <f t="shared" si="18"/>
        <v>48278.581334999988</v>
      </c>
      <c r="O42" s="11">
        <f t="shared" si="18"/>
        <v>48501.331334999988</v>
      </c>
      <c r="P42" s="9">
        <f>SUM(D42:O42)</f>
        <v>567314.47601999994</v>
      </c>
      <c r="R42" s="35">
        <v>567314.47601999994</v>
      </c>
    </row>
    <row r="43" spans="1:19" x14ac:dyDescent="0.25">
      <c r="A43" s="2"/>
      <c r="B43" s="2" t="s">
        <v>51</v>
      </c>
      <c r="C43" s="2"/>
      <c r="D43" s="11">
        <f>C24*(0.02/12)</f>
        <v>134290.54379957364</v>
      </c>
      <c r="E43" s="12">
        <f>D43</f>
        <v>134290.54379957364</v>
      </c>
      <c r="F43" s="12">
        <f t="shared" ref="F43:O44" si="19">E43</f>
        <v>134290.54379957364</v>
      </c>
      <c r="G43" s="12">
        <f t="shared" si="19"/>
        <v>134290.54379957364</v>
      </c>
      <c r="H43" s="12">
        <f t="shared" si="19"/>
        <v>134290.54379957364</v>
      </c>
      <c r="I43" s="12">
        <f t="shared" si="19"/>
        <v>134290.54379957364</v>
      </c>
      <c r="J43" s="12">
        <f t="shared" si="19"/>
        <v>134290.54379957364</v>
      </c>
      <c r="K43" s="12">
        <f t="shared" si="19"/>
        <v>134290.54379957364</v>
      </c>
      <c r="L43" s="12">
        <f t="shared" si="19"/>
        <v>134290.54379957364</v>
      </c>
      <c r="M43" s="12">
        <f t="shared" si="19"/>
        <v>134290.54379957364</v>
      </c>
      <c r="N43" s="12">
        <f t="shared" si="19"/>
        <v>134290.54379957364</v>
      </c>
      <c r="O43" s="12">
        <f t="shared" si="19"/>
        <v>134290.54379957364</v>
      </c>
      <c r="P43" s="9">
        <f>SUM(D43:O43)</f>
        <v>1611486.5255948834</v>
      </c>
      <c r="R43" s="35">
        <v>1611486.5255948834</v>
      </c>
    </row>
    <row r="44" spans="1:19" x14ac:dyDescent="0.25">
      <c r="A44" s="2"/>
      <c r="B44" s="2" t="s">
        <v>52</v>
      </c>
      <c r="C44" s="2"/>
      <c r="D44" s="27">
        <f>ROUND(52000/12,0)</f>
        <v>4333</v>
      </c>
      <c r="E44" s="28">
        <f>D44</f>
        <v>4333</v>
      </c>
      <c r="F44" s="28">
        <f t="shared" si="19"/>
        <v>4333</v>
      </c>
      <c r="G44" s="28">
        <f t="shared" si="19"/>
        <v>4333</v>
      </c>
      <c r="H44" s="28">
        <f t="shared" si="19"/>
        <v>4333</v>
      </c>
      <c r="I44" s="28">
        <f t="shared" si="19"/>
        <v>4333</v>
      </c>
      <c r="J44" s="28">
        <f t="shared" si="19"/>
        <v>4333</v>
      </c>
      <c r="K44" s="28">
        <f t="shared" si="19"/>
        <v>4333</v>
      </c>
      <c r="L44" s="28">
        <f t="shared" si="19"/>
        <v>4333</v>
      </c>
      <c r="M44" s="28">
        <f t="shared" si="19"/>
        <v>4333</v>
      </c>
      <c r="N44" s="28">
        <f t="shared" si="19"/>
        <v>4333</v>
      </c>
      <c r="O44" s="29">
        <f>52000-SUM(D44:N44)</f>
        <v>4337</v>
      </c>
      <c r="P44" s="14">
        <f>SUM(D44:O44)</f>
        <v>52000</v>
      </c>
      <c r="R44" s="35">
        <v>52000</v>
      </c>
    </row>
    <row r="45" spans="1:19" ht="15.75" thickBot="1" x14ac:dyDescent="0.3">
      <c r="A45" s="2"/>
      <c r="B45" s="2" t="s">
        <v>53</v>
      </c>
      <c r="C45" s="2"/>
      <c r="D45" s="13">
        <f t="shared" ref="D45:P45" si="20">SUM(D41:D44)</f>
        <v>324629.74264457368</v>
      </c>
      <c r="E45" s="13">
        <f t="shared" si="20"/>
        <v>325780.80097790703</v>
      </c>
      <c r="F45" s="13">
        <f t="shared" si="20"/>
        <v>326931.85931124032</v>
      </c>
      <c r="G45" s="13">
        <f t="shared" si="20"/>
        <v>328082.91764457367</v>
      </c>
      <c r="H45" s="13">
        <f t="shared" si="20"/>
        <v>329233.97597790696</v>
      </c>
      <c r="I45" s="13">
        <f t="shared" si="20"/>
        <v>330385.03431124031</v>
      </c>
      <c r="J45" s="30">
        <f t="shared" si="20"/>
        <v>331536.09264457365</v>
      </c>
      <c r="K45" s="13">
        <f t="shared" si="20"/>
        <v>332687.150977907</v>
      </c>
      <c r="L45" s="13">
        <f t="shared" si="20"/>
        <v>333838.20931124029</v>
      </c>
      <c r="M45" s="13">
        <f t="shared" si="20"/>
        <v>334989.26764457364</v>
      </c>
      <c r="N45" s="13">
        <f t="shared" si="20"/>
        <v>336140.32597790693</v>
      </c>
      <c r="O45" s="13">
        <f t="shared" si="20"/>
        <v>337295.38431124028</v>
      </c>
      <c r="P45" s="25">
        <f t="shared" si="20"/>
        <v>3971530.7617348833</v>
      </c>
      <c r="R45" s="35">
        <v>3971530.7617348833</v>
      </c>
    </row>
    <row r="46" spans="1:19" ht="15.75" thickTop="1" x14ac:dyDescent="0.25">
      <c r="A46" s="2"/>
      <c r="B46" s="2"/>
      <c r="C46" s="2"/>
      <c r="D46" s="3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35"/>
    </row>
    <row r="47" spans="1:19" ht="15.75" thickBot="1" x14ac:dyDescent="0.3">
      <c r="A47" s="2" t="s">
        <v>54</v>
      </c>
      <c r="B47" s="2"/>
      <c r="C47" s="2"/>
      <c r="D47" s="25">
        <f t="shared" ref="D47:P47" si="21">D38+D45</f>
        <v>854929.59701124032</v>
      </c>
      <c r="E47" s="25">
        <f t="shared" si="21"/>
        <v>858467.10021124035</v>
      </c>
      <c r="F47" s="25">
        <f t="shared" si="21"/>
        <v>861997.05174457352</v>
      </c>
      <c r="G47" s="25">
        <f t="shared" si="21"/>
        <v>865519.43847790686</v>
      </c>
      <c r="H47" s="25">
        <f t="shared" si="21"/>
        <v>869034.26697790693</v>
      </c>
      <c r="I47" s="25">
        <f t="shared" si="21"/>
        <v>872541.53724457358</v>
      </c>
      <c r="J47" s="25">
        <f t="shared" si="21"/>
        <v>876041.24927790696</v>
      </c>
      <c r="K47" s="25">
        <f t="shared" si="21"/>
        <v>879533.40307790693</v>
      </c>
      <c r="L47" s="25">
        <f t="shared" si="21"/>
        <v>883017.99864457361</v>
      </c>
      <c r="M47" s="25">
        <f t="shared" si="21"/>
        <v>886495.03597790701</v>
      </c>
      <c r="N47" s="25">
        <f t="shared" si="21"/>
        <v>889964.50851124024</v>
      </c>
      <c r="O47" s="25">
        <f t="shared" si="21"/>
        <v>893430.42937790684</v>
      </c>
      <c r="P47" s="25">
        <f t="shared" si="21"/>
        <v>10490971.616534883</v>
      </c>
      <c r="R47" s="35">
        <v>11640974.508434884</v>
      </c>
    </row>
    <row r="48" spans="1:19" ht="15.75" thickTop="1" x14ac:dyDescent="0.25">
      <c r="A48" s="2"/>
      <c r="B48" s="2"/>
      <c r="C48" s="2"/>
      <c r="D48" s="3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35"/>
    </row>
    <row r="49" spans="1:19" x14ac:dyDescent="0.25">
      <c r="A49" s="2" t="s">
        <v>55</v>
      </c>
      <c r="B49" s="2"/>
      <c r="C49" s="2"/>
      <c r="D49" s="11">
        <v>62310</v>
      </c>
      <c r="E49" s="11">
        <v>62310</v>
      </c>
      <c r="F49" s="11">
        <v>62310</v>
      </c>
      <c r="G49" s="11">
        <v>62310</v>
      </c>
      <c r="H49" s="11">
        <v>62310</v>
      </c>
      <c r="I49" s="11">
        <v>62310</v>
      </c>
      <c r="J49" s="11">
        <v>62310</v>
      </c>
      <c r="K49" s="11">
        <v>62310</v>
      </c>
      <c r="L49" s="11">
        <v>62310</v>
      </c>
      <c r="M49" s="11">
        <v>62310</v>
      </c>
      <c r="N49" s="11">
        <v>62310</v>
      </c>
      <c r="O49" s="11">
        <v>62317</v>
      </c>
      <c r="P49" s="9">
        <f>ROUND(747727,0)</f>
        <v>747727</v>
      </c>
      <c r="Q49" s="32"/>
      <c r="R49" s="35">
        <v>747727</v>
      </c>
    </row>
    <row r="50" spans="1:19" ht="15.75" thickBot="1" x14ac:dyDescent="0.3">
      <c r="A50" s="2" t="s">
        <v>56</v>
      </c>
      <c r="B50" s="2"/>
      <c r="C50" s="2"/>
      <c r="D50" s="25">
        <f>+D47-D49</f>
        <v>792619.59701124032</v>
      </c>
      <c r="E50" s="25">
        <f t="shared" ref="E50:O50" si="22">+E47-E49</f>
        <v>796157.10021124035</v>
      </c>
      <c r="F50" s="25">
        <f t="shared" si="22"/>
        <v>799687.05174457352</v>
      </c>
      <c r="G50" s="25">
        <f t="shared" si="22"/>
        <v>803209.43847790686</v>
      </c>
      <c r="H50" s="25">
        <f t="shared" si="22"/>
        <v>806724.26697790693</v>
      </c>
      <c r="I50" s="25">
        <f t="shared" si="22"/>
        <v>810231.53724457358</v>
      </c>
      <c r="J50" s="25">
        <f t="shared" si="22"/>
        <v>813731.24927790696</v>
      </c>
      <c r="K50" s="25">
        <f t="shared" si="22"/>
        <v>817223.40307790693</v>
      </c>
      <c r="L50" s="25">
        <f t="shared" si="22"/>
        <v>820707.99864457361</v>
      </c>
      <c r="M50" s="25">
        <f t="shared" si="22"/>
        <v>824185.03597790701</v>
      </c>
      <c r="N50" s="25">
        <f t="shared" si="22"/>
        <v>827654.50851124024</v>
      </c>
      <c r="O50" s="25">
        <f t="shared" si="22"/>
        <v>831113.42937790684</v>
      </c>
      <c r="P50" s="25">
        <f>+P47-P49</f>
        <v>9743244.6165348832</v>
      </c>
      <c r="R50" s="35">
        <v>10893247.508434884</v>
      </c>
      <c r="S50" s="36">
        <f>R50-P50</f>
        <v>1150002.8919000011</v>
      </c>
    </row>
    <row r="51" spans="1:19" ht="15.75" thickTop="1" x14ac:dyDescent="0.25">
      <c r="A51" s="2"/>
      <c r="B51" s="2"/>
      <c r="C51" s="3"/>
      <c r="D51" s="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3"/>
      <c r="R51" s="35"/>
    </row>
    <row r="52" spans="1:19" x14ac:dyDescent="0.25">
      <c r="A52" s="2"/>
      <c r="B52" s="2"/>
      <c r="C52" s="34"/>
      <c r="D52" s="17"/>
      <c r="E52" s="37"/>
      <c r="F52" s="17"/>
      <c r="G52" s="17"/>
      <c r="H52" s="17"/>
      <c r="I52" s="17"/>
      <c r="J52" s="17"/>
      <c r="K52" s="17"/>
      <c r="L52" s="17"/>
      <c r="M52" s="17"/>
      <c r="N52" s="15"/>
      <c r="O52" s="2"/>
      <c r="P52" s="12"/>
      <c r="R52" s="35"/>
    </row>
    <row r="53" spans="1:19" x14ac:dyDescent="0.25">
      <c r="A53" s="2"/>
      <c r="B53" s="2"/>
      <c r="C53" s="17"/>
      <c r="D53" s="12"/>
      <c r="E53" s="17"/>
      <c r="F53" s="17"/>
      <c r="G53" s="17"/>
      <c r="H53" s="17"/>
      <c r="I53" s="17"/>
      <c r="J53" s="17"/>
      <c r="K53" s="17"/>
      <c r="L53" s="17"/>
      <c r="M53" s="17"/>
      <c r="N53" s="15"/>
      <c r="O53" s="2"/>
      <c r="P53" s="12"/>
      <c r="R53" s="35"/>
    </row>
    <row r="54" spans="1:19" x14ac:dyDescent="0.25">
      <c r="A54" s="2"/>
      <c r="B54" s="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5"/>
      <c r="O54" s="2"/>
      <c r="P54" s="17"/>
      <c r="R54" s="35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35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35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35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35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35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35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35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35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35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35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35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35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35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R68" s="35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R69" s="35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R70" s="35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R71" s="35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R72" s="35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R73" s="35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R74" s="35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R75" s="35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R76" s="35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R77" s="35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R78" s="35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R79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F19" workbookViewId="0">
      <selection activeCell="D47" sqref="D47"/>
    </sheetView>
  </sheetViews>
  <sheetFormatPr defaultRowHeight="15" x14ac:dyDescent="0.25"/>
  <cols>
    <col min="1" max="1" width="12" customWidth="1"/>
    <col min="2" max="2" width="55.28515625" bestFit="1" customWidth="1"/>
    <col min="3" max="14" width="11.5703125" bestFit="1" customWidth="1"/>
    <col min="15" max="15" width="12.5703125" customWidth="1"/>
    <col min="16" max="16" width="12.7109375" bestFit="1" customWidth="1"/>
  </cols>
  <sheetData>
    <row r="1" spans="1:17" ht="18.75" x14ac:dyDescent="0.3">
      <c r="B1" s="1" t="s">
        <v>0</v>
      </c>
      <c r="O1" s="2" t="s">
        <v>1</v>
      </c>
    </row>
    <row r="2" spans="1:17" x14ac:dyDescent="0.25">
      <c r="B2" s="3" t="s">
        <v>2</v>
      </c>
      <c r="O2" s="2" t="s">
        <v>3</v>
      </c>
    </row>
    <row r="3" spans="1:17" x14ac:dyDescent="0.25">
      <c r="B3" s="3" t="s">
        <v>4</v>
      </c>
      <c r="O3" s="2" t="s">
        <v>60</v>
      </c>
    </row>
    <row r="4" spans="1:17" x14ac:dyDescent="0.25">
      <c r="B4" s="3" t="s">
        <v>5</v>
      </c>
      <c r="O4" s="2" t="s">
        <v>6</v>
      </c>
    </row>
    <row r="6" spans="1:17" x14ac:dyDescent="0.25">
      <c r="A6" s="4"/>
      <c r="B6" s="5"/>
      <c r="C6" s="3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8</v>
      </c>
    </row>
    <row r="7" spans="1:17" x14ac:dyDescent="0.25">
      <c r="A7" s="6" t="s">
        <v>9</v>
      </c>
      <c r="B7" s="2"/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  <c r="N7" s="7" t="s">
        <v>21</v>
      </c>
      <c r="O7" s="7" t="s">
        <v>22</v>
      </c>
      <c r="P7" s="7" t="s">
        <v>23</v>
      </c>
      <c r="Q7" s="8"/>
    </row>
    <row r="8" spans="1:17" x14ac:dyDescent="0.25">
      <c r="A8" s="2" t="s">
        <v>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x14ac:dyDescent="0.25">
      <c r="A9" s="2"/>
      <c r="B9" s="2" t="s">
        <v>25</v>
      </c>
      <c r="C9" s="9"/>
      <c r="D9" s="10">
        <f>((10000000*0.66)*0.82)/12</f>
        <v>451000</v>
      </c>
      <c r="E9" s="10">
        <f t="shared" ref="E9:O9" si="0">((10000000*0.66)*0.82)/12</f>
        <v>451000</v>
      </c>
      <c r="F9" s="10">
        <f t="shared" si="0"/>
        <v>451000</v>
      </c>
      <c r="G9" s="10">
        <f t="shared" si="0"/>
        <v>451000</v>
      </c>
      <c r="H9" s="10">
        <f t="shared" si="0"/>
        <v>451000</v>
      </c>
      <c r="I9" s="10">
        <f t="shared" si="0"/>
        <v>451000</v>
      </c>
      <c r="J9" s="10">
        <f t="shared" si="0"/>
        <v>451000</v>
      </c>
      <c r="K9" s="10">
        <f t="shared" si="0"/>
        <v>451000</v>
      </c>
      <c r="L9" s="10">
        <f t="shared" si="0"/>
        <v>451000</v>
      </c>
      <c r="M9" s="10">
        <f t="shared" si="0"/>
        <v>451000</v>
      </c>
      <c r="N9" s="10">
        <f t="shared" si="0"/>
        <v>451000</v>
      </c>
      <c r="O9" s="10">
        <f t="shared" si="0"/>
        <v>451000</v>
      </c>
      <c r="P9" s="9">
        <f t="shared" ref="P9:P14" si="1">SUM(D9:O9)</f>
        <v>5412000</v>
      </c>
    </row>
    <row r="10" spans="1:17" x14ac:dyDescent="0.25">
      <c r="A10" s="2"/>
      <c r="B10" s="2" t="s">
        <v>26</v>
      </c>
      <c r="C10" s="9"/>
      <c r="D10" s="10">
        <f>-ROUND(D9*0.95,0)</f>
        <v>-428450</v>
      </c>
      <c r="E10" s="10">
        <f t="shared" ref="E10:O10" si="2">-ROUND(E9*0.95,0)</f>
        <v>-428450</v>
      </c>
      <c r="F10" s="10">
        <f t="shared" si="2"/>
        <v>-428450</v>
      </c>
      <c r="G10" s="10">
        <f t="shared" si="2"/>
        <v>-428450</v>
      </c>
      <c r="H10" s="10">
        <f t="shared" si="2"/>
        <v>-428450</v>
      </c>
      <c r="I10" s="10">
        <f t="shared" si="2"/>
        <v>-428450</v>
      </c>
      <c r="J10" s="10">
        <f t="shared" si="2"/>
        <v>-428450</v>
      </c>
      <c r="K10" s="10">
        <f t="shared" si="2"/>
        <v>-428450</v>
      </c>
      <c r="L10" s="10">
        <f t="shared" si="2"/>
        <v>-428450</v>
      </c>
      <c r="M10" s="10">
        <f t="shared" si="2"/>
        <v>-428450</v>
      </c>
      <c r="N10" s="10">
        <f t="shared" si="2"/>
        <v>-428450</v>
      </c>
      <c r="O10" s="10">
        <f t="shared" si="2"/>
        <v>-428450</v>
      </c>
      <c r="P10" s="9">
        <f t="shared" si="1"/>
        <v>-5141400</v>
      </c>
    </row>
    <row r="11" spans="1:17" x14ac:dyDescent="0.25">
      <c r="A11" s="2"/>
      <c r="B11" s="2" t="s">
        <v>27</v>
      </c>
      <c r="C11" s="9"/>
      <c r="D11" s="11">
        <f>((10000000*0.66)*0.18)/12</f>
        <v>99000</v>
      </c>
      <c r="E11" s="11">
        <f t="shared" ref="E11:O11" si="3">((10000000*0.66)*0.18)/12</f>
        <v>99000</v>
      </c>
      <c r="F11" s="11">
        <f t="shared" si="3"/>
        <v>99000</v>
      </c>
      <c r="G11" s="11">
        <f t="shared" si="3"/>
        <v>99000</v>
      </c>
      <c r="H11" s="11">
        <f t="shared" si="3"/>
        <v>99000</v>
      </c>
      <c r="I11" s="11">
        <f t="shared" si="3"/>
        <v>99000</v>
      </c>
      <c r="J11" s="11">
        <f t="shared" si="3"/>
        <v>99000</v>
      </c>
      <c r="K11" s="11">
        <f t="shared" si="3"/>
        <v>99000</v>
      </c>
      <c r="L11" s="11">
        <f t="shared" si="3"/>
        <v>99000</v>
      </c>
      <c r="M11" s="11">
        <f t="shared" si="3"/>
        <v>99000</v>
      </c>
      <c r="N11" s="11">
        <f t="shared" si="3"/>
        <v>99000</v>
      </c>
      <c r="O11" s="11">
        <f t="shared" si="3"/>
        <v>99000</v>
      </c>
      <c r="P11" s="9">
        <f t="shared" si="1"/>
        <v>1188000</v>
      </c>
    </row>
    <row r="12" spans="1:17" x14ac:dyDescent="0.25">
      <c r="A12" s="2"/>
      <c r="B12" s="2" t="s">
        <v>28</v>
      </c>
      <c r="C12" s="9"/>
      <c r="D12" s="11">
        <f>-D11</f>
        <v>-99000</v>
      </c>
      <c r="E12" s="11">
        <f t="shared" ref="E12:O12" si="4">-E11</f>
        <v>-99000</v>
      </c>
      <c r="F12" s="11">
        <f t="shared" si="4"/>
        <v>-99000</v>
      </c>
      <c r="G12" s="11">
        <f t="shared" si="4"/>
        <v>-99000</v>
      </c>
      <c r="H12" s="11">
        <f t="shared" si="4"/>
        <v>-99000</v>
      </c>
      <c r="I12" s="11">
        <f t="shared" si="4"/>
        <v>-99000</v>
      </c>
      <c r="J12" s="11">
        <f t="shared" si="4"/>
        <v>-99000</v>
      </c>
      <c r="K12" s="11">
        <f t="shared" si="4"/>
        <v>-99000</v>
      </c>
      <c r="L12" s="11">
        <f t="shared" si="4"/>
        <v>-99000</v>
      </c>
      <c r="M12" s="11">
        <f t="shared" si="4"/>
        <v>-99000</v>
      </c>
      <c r="N12" s="11">
        <f t="shared" si="4"/>
        <v>-99000</v>
      </c>
      <c r="O12" s="11">
        <f t="shared" si="4"/>
        <v>-99000</v>
      </c>
      <c r="P12" s="9">
        <f t="shared" si="1"/>
        <v>-1188000</v>
      </c>
    </row>
    <row r="13" spans="1:17" x14ac:dyDescent="0.25">
      <c r="A13" s="2"/>
      <c r="B13" s="2" t="s">
        <v>29</v>
      </c>
      <c r="C13" s="9"/>
      <c r="D13" s="11">
        <f>-D10</f>
        <v>428450</v>
      </c>
      <c r="E13" s="12">
        <f t="shared" ref="E13:N13" si="5">-E10</f>
        <v>428450</v>
      </c>
      <c r="F13" s="12">
        <f t="shared" si="5"/>
        <v>428450</v>
      </c>
      <c r="G13" s="12">
        <f t="shared" si="5"/>
        <v>428450</v>
      </c>
      <c r="H13" s="12">
        <f t="shared" si="5"/>
        <v>428450</v>
      </c>
      <c r="I13" s="12">
        <f t="shared" si="5"/>
        <v>428450</v>
      </c>
      <c r="J13" s="12">
        <f t="shared" si="5"/>
        <v>428450</v>
      </c>
      <c r="K13" s="12">
        <f t="shared" si="5"/>
        <v>428450</v>
      </c>
      <c r="L13" s="12">
        <f t="shared" si="5"/>
        <v>428450</v>
      </c>
      <c r="M13" s="12">
        <f t="shared" si="5"/>
        <v>428450</v>
      </c>
      <c r="N13" s="12">
        <f t="shared" si="5"/>
        <v>428450</v>
      </c>
      <c r="O13" s="12">
        <f>-O10</f>
        <v>428450</v>
      </c>
      <c r="P13" s="9">
        <f t="shared" si="1"/>
        <v>5141400</v>
      </c>
    </row>
    <row r="14" spans="1:17" x14ac:dyDescent="0.25">
      <c r="A14" s="2"/>
      <c r="B14" s="2" t="s">
        <v>30</v>
      </c>
      <c r="C14" s="9"/>
      <c r="D14" s="11">
        <f>-D12</f>
        <v>99000</v>
      </c>
      <c r="E14" s="12">
        <f t="shared" ref="E14:N14" si="6">-E12</f>
        <v>99000</v>
      </c>
      <c r="F14" s="12">
        <f t="shared" si="6"/>
        <v>99000</v>
      </c>
      <c r="G14" s="12">
        <f t="shared" si="6"/>
        <v>99000</v>
      </c>
      <c r="H14" s="12">
        <f t="shared" si="6"/>
        <v>99000</v>
      </c>
      <c r="I14" s="12">
        <f t="shared" si="6"/>
        <v>99000</v>
      </c>
      <c r="J14" s="12">
        <f t="shared" si="6"/>
        <v>99000</v>
      </c>
      <c r="K14" s="12">
        <f t="shared" si="6"/>
        <v>99000</v>
      </c>
      <c r="L14" s="12">
        <f t="shared" si="6"/>
        <v>99000</v>
      </c>
      <c r="M14" s="12">
        <f t="shared" si="6"/>
        <v>99000</v>
      </c>
      <c r="N14" s="12">
        <f t="shared" si="6"/>
        <v>99000</v>
      </c>
      <c r="O14" s="12">
        <f>-O12</f>
        <v>99000</v>
      </c>
      <c r="P14" s="9">
        <f t="shared" si="1"/>
        <v>1188000</v>
      </c>
    </row>
    <row r="15" spans="1:17" x14ac:dyDescent="0.25">
      <c r="A15" s="2"/>
      <c r="B15" s="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9"/>
    </row>
    <row r="16" spans="1:17" x14ac:dyDescent="0.25">
      <c r="A16" s="2"/>
      <c r="B16" s="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5">
      <c r="A17" s="2"/>
      <c r="B17" s="2" t="s">
        <v>31</v>
      </c>
      <c r="C17" s="9">
        <v>998343.12999999663</v>
      </c>
      <c r="D17" s="9">
        <f>C17+D9+D10</f>
        <v>1020893.1299999966</v>
      </c>
      <c r="E17" s="9">
        <f t="shared" ref="E17:O17" si="7">D17+E9+E10</f>
        <v>1043443.1299999966</v>
      </c>
      <c r="F17" s="9">
        <f t="shared" si="7"/>
        <v>1065993.1299999966</v>
      </c>
      <c r="G17" s="9">
        <f t="shared" si="7"/>
        <v>1088543.1299999966</v>
      </c>
      <c r="H17" s="9">
        <f t="shared" si="7"/>
        <v>1111093.1299999966</v>
      </c>
      <c r="I17" s="9">
        <f t="shared" si="7"/>
        <v>1133643.1299999966</v>
      </c>
      <c r="J17" s="9">
        <f t="shared" si="7"/>
        <v>1156193.1299999966</v>
      </c>
      <c r="K17" s="9">
        <f t="shared" si="7"/>
        <v>1178743.1299999966</v>
      </c>
      <c r="L17" s="9">
        <f t="shared" si="7"/>
        <v>1201293.1299999966</v>
      </c>
      <c r="M17" s="9">
        <f t="shared" si="7"/>
        <v>1223843.1299999966</v>
      </c>
      <c r="N17" s="9">
        <f t="shared" si="7"/>
        <v>1246393.1299999966</v>
      </c>
      <c r="O17" s="9">
        <f t="shared" si="7"/>
        <v>1268943.1299999966</v>
      </c>
      <c r="P17" s="9">
        <f>+O17</f>
        <v>1268943.1299999966</v>
      </c>
    </row>
    <row r="18" spans="1:16" x14ac:dyDescent="0.25">
      <c r="A18" s="2"/>
      <c r="B18" s="2" t="s">
        <v>32</v>
      </c>
      <c r="C18" s="9">
        <v>138427.13000000047</v>
      </c>
      <c r="D18" s="12">
        <f>C18+D11+D12</f>
        <v>138427.13000000047</v>
      </c>
      <c r="E18" s="12">
        <f t="shared" ref="E18:O18" si="8">D18+E11+E12</f>
        <v>138427.13000000047</v>
      </c>
      <c r="F18" s="12">
        <f t="shared" si="8"/>
        <v>138427.13000000047</v>
      </c>
      <c r="G18" s="12">
        <f t="shared" si="8"/>
        <v>138427.13000000047</v>
      </c>
      <c r="H18" s="12">
        <f t="shared" si="8"/>
        <v>138427.13000000047</v>
      </c>
      <c r="I18" s="12">
        <f t="shared" si="8"/>
        <v>138427.13000000047</v>
      </c>
      <c r="J18" s="12">
        <f t="shared" si="8"/>
        <v>138427.13000000047</v>
      </c>
      <c r="K18" s="12">
        <f t="shared" si="8"/>
        <v>138427.13000000047</v>
      </c>
      <c r="L18" s="12">
        <f t="shared" si="8"/>
        <v>138427.13000000047</v>
      </c>
      <c r="M18" s="12">
        <f t="shared" si="8"/>
        <v>138427.13000000047</v>
      </c>
      <c r="N18" s="12">
        <f t="shared" si="8"/>
        <v>138427.13000000047</v>
      </c>
      <c r="O18" s="12">
        <f t="shared" si="8"/>
        <v>138427.13000000047</v>
      </c>
      <c r="P18" s="9">
        <f>+O18</f>
        <v>138427.13000000047</v>
      </c>
    </row>
    <row r="19" spans="1:16" x14ac:dyDescent="0.25">
      <c r="A19" s="2"/>
      <c r="B19" s="2" t="s">
        <v>33</v>
      </c>
      <c r="C19" s="9">
        <v>64594669.620000012</v>
      </c>
      <c r="D19" s="12">
        <f>+C19+D13</f>
        <v>65023119.620000012</v>
      </c>
      <c r="E19" s="12">
        <f t="shared" ref="E19:O20" si="9">+D19+E13</f>
        <v>65451569.620000012</v>
      </c>
      <c r="F19" s="12">
        <f t="shared" si="9"/>
        <v>65880019.620000012</v>
      </c>
      <c r="G19" s="12">
        <f t="shared" si="9"/>
        <v>66308469.620000012</v>
      </c>
      <c r="H19" s="12">
        <f t="shared" si="9"/>
        <v>66736919.620000012</v>
      </c>
      <c r="I19" s="12">
        <f t="shared" si="9"/>
        <v>67165369.620000005</v>
      </c>
      <c r="J19" s="12">
        <f t="shared" si="9"/>
        <v>67593819.620000005</v>
      </c>
      <c r="K19" s="12">
        <f t="shared" si="9"/>
        <v>68022269.620000005</v>
      </c>
      <c r="L19" s="12">
        <f t="shared" si="9"/>
        <v>68450719.620000005</v>
      </c>
      <c r="M19" s="12">
        <f t="shared" si="9"/>
        <v>68879169.620000005</v>
      </c>
      <c r="N19" s="12">
        <f t="shared" si="9"/>
        <v>69307619.620000005</v>
      </c>
      <c r="O19" s="12">
        <f t="shared" si="9"/>
        <v>69736069.620000005</v>
      </c>
      <c r="P19" s="9">
        <f>+O19</f>
        <v>69736069.620000005</v>
      </c>
    </row>
    <row r="20" spans="1:16" x14ac:dyDescent="0.25">
      <c r="A20" s="2"/>
      <c r="B20" s="2" t="s">
        <v>34</v>
      </c>
      <c r="C20" s="9">
        <v>20467147.259999998</v>
      </c>
      <c r="D20" s="12">
        <f>+C20+D14</f>
        <v>20566147.259999998</v>
      </c>
      <c r="E20" s="12">
        <f t="shared" si="9"/>
        <v>20665147.259999998</v>
      </c>
      <c r="F20" s="12">
        <f t="shared" si="9"/>
        <v>20764147.259999998</v>
      </c>
      <c r="G20" s="12">
        <f t="shared" si="9"/>
        <v>20863147.259999998</v>
      </c>
      <c r="H20" s="12">
        <f t="shared" si="9"/>
        <v>20962147.259999998</v>
      </c>
      <c r="I20" s="12">
        <f t="shared" si="9"/>
        <v>21061147.259999998</v>
      </c>
      <c r="J20" s="12">
        <f t="shared" si="9"/>
        <v>21160147.259999998</v>
      </c>
      <c r="K20" s="12">
        <f t="shared" si="9"/>
        <v>21259147.259999998</v>
      </c>
      <c r="L20" s="12">
        <f t="shared" si="9"/>
        <v>21358147.259999998</v>
      </c>
      <c r="M20" s="12">
        <f t="shared" si="9"/>
        <v>21457147.259999998</v>
      </c>
      <c r="N20" s="12">
        <f t="shared" si="9"/>
        <v>21556147.259999998</v>
      </c>
      <c r="O20" s="12">
        <f t="shared" si="9"/>
        <v>21655147.259999998</v>
      </c>
      <c r="P20" s="9">
        <f>+O20</f>
        <v>21655147.259999998</v>
      </c>
    </row>
    <row r="21" spans="1:16" ht="15.75" thickBot="1" x14ac:dyDescent="0.3">
      <c r="A21" s="2"/>
      <c r="B21" s="2" t="s">
        <v>35</v>
      </c>
      <c r="C21" s="13">
        <f>SUM(C17:C20)</f>
        <v>86198587.140000015</v>
      </c>
      <c r="D21" s="13">
        <f>SUM(D17:D20)</f>
        <v>86748587.140000015</v>
      </c>
      <c r="E21" s="13">
        <f t="shared" ref="E21:P21" si="10">SUM(E17:E20)</f>
        <v>87298587.140000015</v>
      </c>
      <c r="F21" s="13">
        <f t="shared" si="10"/>
        <v>87848587.140000015</v>
      </c>
      <c r="G21" s="13">
        <f t="shared" si="10"/>
        <v>88398587.140000015</v>
      </c>
      <c r="H21" s="13">
        <f t="shared" si="10"/>
        <v>88948587.140000015</v>
      </c>
      <c r="I21" s="13">
        <f t="shared" si="10"/>
        <v>89498587.139999986</v>
      </c>
      <c r="J21" s="13">
        <f t="shared" si="10"/>
        <v>90048587.139999986</v>
      </c>
      <c r="K21" s="13">
        <f t="shared" si="10"/>
        <v>90598587.139999986</v>
      </c>
      <c r="L21" s="13">
        <f t="shared" si="10"/>
        <v>91148587.139999986</v>
      </c>
      <c r="M21" s="13">
        <f t="shared" si="10"/>
        <v>91698587.139999986</v>
      </c>
      <c r="N21" s="13">
        <f t="shared" si="10"/>
        <v>92248587.139999986</v>
      </c>
      <c r="O21" s="13">
        <f t="shared" si="10"/>
        <v>92798587.139999986</v>
      </c>
      <c r="P21" s="13">
        <f t="shared" si="10"/>
        <v>92798587.139999986</v>
      </c>
    </row>
    <row r="22" spans="1:16" ht="15.75" thickTop="1" x14ac:dyDescent="0.25">
      <c r="A22" s="2"/>
      <c r="B22" s="2"/>
      <c r="C22" s="2"/>
      <c r="D22" s="12"/>
      <c r="E22" s="12"/>
      <c r="F22" s="12"/>
      <c r="G22" s="12"/>
      <c r="H22" s="12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2"/>
      <c r="B23" s="2" t="s">
        <v>36</v>
      </c>
      <c r="C23" s="14">
        <v>-5624260.8602558328</v>
      </c>
      <c r="D23" s="12">
        <f>C23-D41-D42</f>
        <v>-5810267.0591008328</v>
      </c>
      <c r="E23" s="12">
        <f t="shared" ref="E23:O23" si="11">D23-E41-E42</f>
        <v>-5997424.3162791664</v>
      </c>
      <c r="F23" s="12">
        <f t="shared" si="11"/>
        <v>-6185732.6317908326</v>
      </c>
      <c r="G23" s="12">
        <f t="shared" si="11"/>
        <v>-6375192.0056358324</v>
      </c>
      <c r="H23" s="12">
        <f t="shared" si="11"/>
        <v>-6565802.4378141658</v>
      </c>
      <c r="I23" s="12">
        <f t="shared" si="11"/>
        <v>-6757563.9283258319</v>
      </c>
      <c r="J23" s="12">
        <f t="shared" si="11"/>
        <v>-6950476.4771708315</v>
      </c>
      <c r="K23" s="12">
        <f t="shared" si="11"/>
        <v>-7144540.0843491647</v>
      </c>
      <c r="L23" s="12">
        <f t="shared" si="11"/>
        <v>-7339754.7498608315</v>
      </c>
      <c r="M23" s="12">
        <f t="shared" si="11"/>
        <v>-7536120.473705831</v>
      </c>
      <c r="N23" s="12">
        <f t="shared" si="11"/>
        <v>-7733637.255884164</v>
      </c>
      <c r="O23" s="12">
        <f t="shared" si="11"/>
        <v>-7932305.0963958306</v>
      </c>
      <c r="P23" s="12">
        <f>+O23</f>
        <v>-7932305.0963958306</v>
      </c>
    </row>
    <row r="24" spans="1:16" ht="15.75" thickBot="1" x14ac:dyDescent="0.3">
      <c r="A24" s="2"/>
      <c r="B24" s="2" t="s">
        <v>37</v>
      </c>
      <c r="C24" s="13">
        <f>C21+C23</f>
        <v>80574326.279744178</v>
      </c>
      <c r="D24" s="13">
        <f>D21+D23</f>
        <v>80938320.080899179</v>
      </c>
      <c r="E24" s="13">
        <f t="shared" ref="E24:O24" si="12">E21+E23</f>
        <v>81301162.823720843</v>
      </c>
      <c r="F24" s="13">
        <f t="shared" si="12"/>
        <v>81662854.508209184</v>
      </c>
      <c r="G24" s="13">
        <f t="shared" si="12"/>
        <v>82023395.134364188</v>
      </c>
      <c r="H24" s="13">
        <f t="shared" si="12"/>
        <v>82382784.702185854</v>
      </c>
      <c r="I24" s="13">
        <f t="shared" si="12"/>
        <v>82741023.211674154</v>
      </c>
      <c r="J24" s="13">
        <f t="shared" si="12"/>
        <v>83098110.662829161</v>
      </c>
      <c r="K24" s="13">
        <f t="shared" si="12"/>
        <v>83454047.055650815</v>
      </c>
      <c r="L24" s="13">
        <f t="shared" si="12"/>
        <v>83808832.390139148</v>
      </c>
      <c r="M24" s="13">
        <f t="shared" si="12"/>
        <v>84162466.666294158</v>
      </c>
      <c r="N24" s="13">
        <f t="shared" si="12"/>
        <v>84514949.884115815</v>
      </c>
      <c r="O24" s="13">
        <f t="shared" si="12"/>
        <v>84866282.04360415</v>
      </c>
      <c r="P24" s="13">
        <f>P21+P23</f>
        <v>84866282.04360415</v>
      </c>
    </row>
    <row r="25" spans="1:16" ht="16.5" thickTop="1" thickBot="1" x14ac:dyDescent="0.3">
      <c r="A25" s="2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6.5" thickTop="1" thickBot="1" x14ac:dyDescent="0.3">
      <c r="A26" s="2"/>
      <c r="B26" s="15" t="s">
        <v>38</v>
      </c>
      <c r="C26" s="12"/>
      <c r="D26" s="16">
        <f>ROUND((+C24+D24)/2,0)</f>
        <v>80756323</v>
      </c>
      <c r="E26" s="16">
        <f t="shared" ref="E26:O26" si="13">ROUND((+D24+E24)/2,0)</f>
        <v>81119741</v>
      </c>
      <c r="F26" s="16">
        <f t="shared" si="13"/>
        <v>81482009</v>
      </c>
      <c r="G26" s="16">
        <f t="shared" si="13"/>
        <v>81843125</v>
      </c>
      <c r="H26" s="16">
        <f t="shared" si="13"/>
        <v>82203090</v>
      </c>
      <c r="I26" s="16">
        <f t="shared" si="13"/>
        <v>82561904</v>
      </c>
      <c r="J26" s="16">
        <f t="shared" si="13"/>
        <v>82919567</v>
      </c>
      <c r="K26" s="16">
        <f t="shared" si="13"/>
        <v>83276079</v>
      </c>
      <c r="L26" s="16">
        <f t="shared" si="13"/>
        <v>83631440</v>
      </c>
      <c r="M26" s="16">
        <f t="shared" si="13"/>
        <v>83985650</v>
      </c>
      <c r="N26" s="16">
        <f t="shared" si="13"/>
        <v>84338708</v>
      </c>
      <c r="O26" s="16">
        <f t="shared" si="13"/>
        <v>84690616</v>
      </c>
      <c r="P26" s="12"/>
    </row>
    <row r="27" spans="1:16" ht="15.75" thickTop="1" x14ac:dyDescent="0.25">
      <c r="A27" s="2"/>
      <c r="B27" s="15"/>
      <c r="C27" s="15"/>
      <c r="D27" s="17"/>
      <c r="E27" s="17"/>
      <c r="F27" s="17"/>
      <c r="G27" s="17"/>
      <c r="H27" s="17"/>
      <c r="I27" s="15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39</v>
      </c>
      <c r="B28" s="2"/>
      <c r="C28" s="2"/>
      <c r="D28" s="17"/>
      <c r="E28" s="17"/>
      <c r="F28" s="17"/>
      <c r="G28" s="17"/>
      <c r="H28" s="17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 t="s">
        <v>40</v>
      </c>
      <c r="C29" s="2"/>
      <c r="D29" s="18">
        <v>2.5999999999999999E-2</v>
      </c>
      <c r="E29" s="18">
        <v>2.5999999999999999E-2</v>
      </c>
      <c r="F29" s="18">
        <v>2.5999999999999999E-2</v>
      </c>
      <c r="G29" s="18">
        <v>2.5999999999999999E-2</v>
      </c>
      <c r="H29" s="18">
        <v>2.5999999999999999E-2</v>
      </c>
      <c r="I29" s="18">
        <v>2.5999999999999999E-2</v>
      </c>
      <c r="J29" s="18">
        <v>2.5999999999999999E-2</v>
      </c>
      <c r="K29" s="18">
        <v>2.5999999999999999E-2</v>
      </c>
      <c r="L29" s="18">
        <v>2.5999999999999999E-2</v>
      </c>
      <c r="M29" s="18">
        <v>2.5999999999999999E-2</v>
      </c>
      <c r="N29" s="18">
        <v>2.5999999999999999E-2</v>
      </c>
      <c r="O29" s="18">
        <v>2.5999999999999999E-2</v>
      </c>
      <c r="P29" s="2"/>
    </row>
    <row r="30" spans="1:16" x14ac:dyDescent="0.25">
      <c r="A30" s="2"/>
      <c r="B30" s="2" t="s">
        <v>41</v>
      </c>
      <c r="C30" s="2"/>
      <c r="D30" s="18">
        <v>2.7E-2</v>
      </c>
      <c r="E30" s="18">
        <v>2.7E-2</v>
      </c>
      <c r="F30" s="18">
        <v>2.7E-2</v>
      </c>
      <c r="G30" s="18">
        <v>2.7E-2</v>
      </c>
      <c r="H30" s="18">
        <v>2.7E-2</v>
      </c>
      <c r="I30" s="18">
        <v>2.7E-2</v>
      </c>
      <c r="J30" s="18">
        <v>2.7E-2</v>
      </c>
      <c r="K30" s="18">
        <v>2.7E-2</v>
      </c>
      <c r="L30" s="18">
        <v>2.7E-2</v>
      </c>
      <c r="M30" s="18">
        <v>2.7E-2</v>
      </c>
      <c r="N30" s="18">
        <v>2.7E-2</v>
      </c>
      <c r="O30" s="18">
        <v>2.7E-2</v>
      </c>
      <c r="P30" s="2"/>
    </row>
    <row r="31" spans="1:16" x14ac:dyDescent="0.25">
      <c r="A31" s="2"/>
      <c r="B31" s="2"/>
      <c r="C31" s="2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"/>
    </row>
    <row r="32" spans="1:16" x14ac:dyDescent="0.25">
      <c r="A32" s="2" t="s">
        <v>42</v>
      </c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 t="s">
        <v>43</v>
      </c>
      <c r="C33" s="2"/>
      <c r="D33" s="19">
        <v>7.8600000000000003E-2</v>
      </c>
      <c r="E33" s="20">
        <f>D33</f>
        <v>7.8600000000000003E-2</v>
      </c>
      <c r="F33" s="21">
        <f t="shared" ref="F33:O34" si="14">E33</f>
        <v>7.8600000000000003E-2</v>
      </c>
      <c r="G33" s="21">
        <f t="shared" si="14"/>
        <v>7.8600000000000003E-2</v>
      </c>
      <c r="H33" s="21">
        <f t="shared" si="14"/>
        <v>7.8600000000000003E-2</v>
      </c>
      <c r="I33" s="21">
        <f t="shared" si="14"/>
        <v>7.8600000000000003E-2</v>
      </c>
      <c r="J33" s="20">
        <f t="shared" si="14"/>
        <v>7.8600000000000003E-2</v>
      </c>
      <c r="K33" s="20">
        <f t="shared" si="14"/>
        <v>7.8600000000000003E-2</v>
      </c>
      <c r="L33" s="20">
        <f t="shared" si="14"/>
        <v>7.8600000000000003E-2</v>
      </c>
      <c r="M33" s="20">
        <f t="shared" si="14"/>
        <v>7.8600000000000003E-2</v>
      </c>
      <c r="N33" s="20">
        <f t="shared" si="14"/>
        <v>7.8600000000000003E-2</v>
      </c>
      <c r="O33" s="20">
        <f t="shared" si="14"/>
        <v>7.8600000000000003E-2</v>
      </c>
      <c r="P33" s="2"/>
    </row>
    <row r="34" spans="1:16" x14ac:dyDescent="0.25">
      <c r="A34" s="2"/>
      <c r="B34" s="2" t="s">
        <v>44</v>
      </c>
      <c r="C34" s="2"/>
      <c r="D34" s="19">
        <v>1.4100000000000001E-2</v>
      </c>
      <c r="E34" s="20">
        <f>D34</f>
        <v>1.4100000000000001E-2</v>
      </c>
      <c r="F34" s="21">
        <f t="shared" si="14"/>
        <v>1.4100000000000001E-2</v>
      </c>
      <c r="G34" s="21">
        <f t="shared" si="14"/>
        <v>1.4100000000000001E-2</v>
      </c>
      <c r="H34" s="21">
        <f t="shared" si="14"/>
        <v>1.4100000000000001E-2</v>
      </c>
      <c r="I34" s="21">
        <f t="shared" si="14"/>
        <v>1.4100000000000001E-2</v>
      </c>
      <c r="J34" s="20">
        <f t="shared" si="14"/>
        <v>1.4100000000000001E-2</v>
      </c>
      <c r="K34" s="20">
        <f t="shared" si="14"/>
        <v>1.4100000000000001E-2</v>
      </c>
      <c r="L34" s="20">
        <f t="shared" si="14"/>
        <v>1.4100000000000001E-2</v>
      </c>
      <c r="M34" s="20">
        <f t="shared" si="14"/>
        <v>1.4100000000000001E-2</v>
      </c>
      <c r="N34" s="20">
        <f t="shared" si="14"/>
        <v>1.4100000000000001E-2</v>
      </c>
      <c r="O34" s="20">
        <f t="shared" si="14"/>
        <v>1.4100000000000001E-2</v>
      </c>
      <c r="P34" s="2"/>
    </row>
    <row r="35" spans="1:16" x14ac:dyDescent="0.25">
      <c r="A35" s="2"/>
      <c r="B35" s="2"/>
      <c r="C35" s="2"/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 t="s">
        <v>45</v>
      </c>
      <c r="C36" s="2"/>
      <c r="D36" s="11">
        <f t="shared" ref="D36:O36" si="15">D26*D33/12</f>
        <v>528953.91564999998</v>
      </c>
      <c r="E36" s="12">
        <f t="shared" si="15"/>
        <v>531334.30354999995</v>
      </c>
      <c r="F36" s="12">
        <f t="shared" si="15"/>
        <v>533707.15894999995</v>
      </c>
      <c r="G36" s="12">
        <f t="shared" si="15"/>
        <v>536072.46875</v>
      </c>
      <c r="H36" s="12">
        <f t="shared" si="15"/>
        <v>538430.23950000003</v>
      </c>
      <c r="I36" s="12">
        <f t="shared" si="15"/>
        <v>540780.47120000003</v>
      </c>
      <c r="J36" s="12">
        <f t="shared" si="15"/>
        <v>543123.16385000001</v>
      </c>
      <c r="K36" s="12">
        <f t="shared" si="15"/>
        <v>545458.31745000009</v>
      </c>
      <c r="L36" s="12">
        <f t="shared" si="15"/>
        <v>547785.93200000003</v>
      </c>
      <c r="M36" s="12">
        <f t="shared" si="15"/>
        <v>550106.00749999995</v>
      </c>
      <c r="N36" s="12">
        <f t="shared" si="15"/>
        <v>552418.53740000003</v>
      </c>
      <c r="O36" s="12">
        <f t="shared" si="15"/>
        <v>554723.53480000002</v>
      </c>
      <c r="P36" s="9">
        <f>SUM(D36:O36)</f>
        <v>6502894.0505999997</v>
      </c>
    </row>
    <row r="37" spans="1:16" x14ac:dyDescent="0.25">
      <c r="A37" s="2"/>
      <c r="B37" s="2" t="s">
        <v>46</v>
      </c>
      <c r="C37" s="2"/>
      <c r="D37" s="23">
        <f t="shared" ref="D37:O37" si="16">D26*D34/12</f>
        <v>94888.679525</v>
      </c>
      <c r="E37" s="14">
        <f t="shared" si="16"/>
        <v>95315.69567500001</v>
      </c>
      <c r="F37" s="14">
        <f t="shared" si="16"/>
        <v>95741.360575000013</v>
      </c>
      <c r="G37" s="14">
        <f t="shared" si="16"/>
        <v>96165.671875</v>
      </c>
      <c r="H37" s="14">
        <f t="shared" si="16"/>
        <v>96588.630750000011</v>
      </c>
      <c r="I37" s="14">
        <f t="shared" si="16"/>
        <v>97010.237200000018</v>
      </c>
      <c r="J37" s="14">
        <f t="shared" si="16"/>
        <v>97430.491225000005</v>
      </c>
      <c r="K37" s="14">
        <f t="shared" si="16"/>
        <v>97849.392825000003</v>
      </c>
      <c r="L37" s="14">
        <f t="shared" si="16"/>
        <v>98266.941999999995</v>
      </c>
      <c r="M37" s="14">
        <f t="shared" si="16"/>
        <v>98683.138749999998</v>
      </c>
      <c r="N37" s="14">
        <f t="shared" si="16"/>
        <v>99097.981900000013</v>
      </c>
      <c r="O37" s="14">
        <f t="shared" si="16"/>
        <v>99511.473800000022</v>
      </c>
      <c r="P37" s="14">
        <f>SUM(D37:O37)</f>
        <v>1166549.6961000001</v>
      </c>
    </row>
    <row r="38" spans="1:16" ht="15.75" thickBot="1" x14ac:dyDescent="0.3">
      <c r="A38" s="2"/>
      <c r="B38" s="2" t="s">
        <v>47</v>
      </c>
      <c r="C38" s="2"/>
      <c r="D38" s="24">
        <f>SUM(D36:D37)</f>
        <v>623842.59517500002</v>
      </c>
      <c r="E38" s="25">
        <f t="shared" ref="E38:O38" si="17">SUM(E36:E37)</f>
        <v>626649.99922499992</v>
      </c>
      <c r="F38" s="25">
        <f t="shared" si="17"/>
        <v>629448.51952500001</v>
      </c>
      <c r="G38" s="25">
        <f t="shared" si="17"/>
        <v>632238.140625</v>
      </c>
      <c r="H38" s="25">
        <f t="shared" si="17"/>
        <v>635018.87025000004</v>
      </c>
      <c r="I38" s="25">
        <f t="shared" si="17"/>
        <v>637790.7084</v>
      </c>
      <c r="J38" s="25">
        <f t="shared" si="17"/>
        <v>640553.65507500002</v>
      </c>
      <c r="K38" s="25">
        <f t="shared" si="17"/>
        <v>643307.71027500008</v>
      </c>
      <c r="L38" s="25">
        <f t="shared" si="17"/>
        <v>646052.87400000007</v>
      </c>
      <c r="M38" s="25">
        <f t="shared" si="17"/>
        <v>648789.14624999999</v>
      </c>
      <c r="N38" s="25">
        <f t="shared" si="17"/>
        <v>651516.51930000004</v>
      </c>
      <c r="O38" s="25">
        <f t="shared" si="17"/>
        <v>654235.00860000006</v>
      </c>
      <c r="P38" s="13">
        <f>SUM(P36:P37)</f>
        <v>7669443.7467</v>
      </c>
    </row>
    <row r="39" spans="1:16" ht="15.75" thickTop="1" x14ac:dyDescent="0.25">
      <c r="A39" s="2"/>
      <c r="B39" s="2"/>
      <c r="C39" s="2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48</v>
      </c>
      <c r="B40" s="2"/>
      <c r="C40" s="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 t="s">
        <v>49</v>
      </c>
      <c r="C41" s="2"/>
      <c r="D41" s="11">
        <f>C19*(D29/12)</f>
        <v>139955.11751000001</v>
      </c>
      <c r="E41" s="11">
        <f t="shared" ref="E41:O42" si="18">D19*(E29/12)</f>
        <v>140883.42584333336</v>
      </c>
      <c r="F41" s="11">
        <f t="shared" si="18"/>
        <v>141811.73417666668</v>
      </c>
      <c r="G41" s="11">
        <f t="shared" si="18"/>
        <v>142740.04251000003</v>
      </c>
      <c r="H41" s="11">
        <f t="shared" si="18"/>
        <v>143668.35084333335</v>
      </c>
      <c r="I41" s="11">
        <f t="shared" si="18"/>
        <v>144596.6591766667</v>
      </c>
      <c r="J41" s="11">
        <f t="shared" si="18"/>
        <v>145524.96751000002</v>
      </c>
      <c r="K41" s="11">
        <f t="shared" si="18"/>
        <v>146453.27584333334</v>
      </c>
      <c r="L41" s="11">
        <f t="shared" si="18"/>
        <v>147381.58417666666</v>
      </c>
      <c r="M41" s="11">
        <f t="shared" si="18"/>
        <v>148309.89251000001</v>
      </c>
      <c r="N41" s="11">
        <f t="shared" si="18"/>
        <v>149238.20084333332</v>
      </c>
      <c r="O41" s="11">
        <f t="shared" si="18"/>
        <v>150166.50917666667</v>
      </c>
      <c r="P41" s="9">
        <f>SUM(D41:O41)</f>
        <v>1740729.76012</v>
      </c>
    </row>
    <row r="42" spans="1:16" x14ac:dyDescent="0.25">
      <c r="A42" s="2"/>
      <c r="B42" s="2" t="s">
        <v>50</v>
      </c>
      <c r="C42" s="2"/>
      <c r="D42" s="11">
        <f>C20*(D30/12)</f>
        <v>46051.081334999995</v>
      </c>
      <c r="E42" s="11">
        <f t="shared" si="18"/>
        <v>46273.831334999995</v>
      </c>
      <c r="F42" s="11">
        <f t="shared" si="18"/>
        <v>46496.581334999995</v>
      </c>
      <c r="G42" s="11">
        <f t="shared" si="18"/>
        <v>46719.331334999995</v>
      </c>
      <c r="H42" s="11">
        <f t="shared" si="18"/>
        <v>46942.081334999995</v>
      </c>
      <c r="I42" s="11">
        <f t="shared" si="18"/>
        <v>47164.831334999995</v>
      </c>
      <c r="J42" s="11">
        <f t="shared" si="18"/>
        <v>47387.581334999995</v>
      </c>
      <c r="K42" s="11">
        <f t="shared" si="18"/>
        <v>47610.331334999995</v>
      </c>
      <c r="L42" s="11">
        <f t="shared" si="18"/>
        <v>47833.081334999995</v>
      </c>
      <c r="M42" s="11">
        <f t="shared" si="18"/>
        <v>48055.831334999995</v>
      </c>
      <c r="N42" s="11">
        <f t="shared" si="18"/>
        <v>48278.581334999988</v>
      </c>
      <c r="O42" s="11">
        <f t="shared" si="18"/>
        <v>48501.331334999988</v>
      </c>
      <c r="P42" s="9">
        <f>SUM(D42:O42)</f>
        <v>567314.47601999994</v>
      </c>
    </row>
    <row r="43" spans="1:16" x14ac:dyDescent="0.25">
      <c r="A43" s="2"/>
      <c r="B43" s="2" t="s">
        <v>51</v>
      </c>
      <c r="C43" s="2"/>
      <c r="D43" s="11">
        <f>C24*(0.02/12)</f>
        <v>134290.54379957364</v>
      </c>
      <c r="E43" s="12">
        <f>D43</f>
        <v>134290.54379957364</v>
      </c>
      <c r="F43" s="12">
        <f t="shared" ref="F43:O44" si="19">E43</f>
        <v>134290.54379957364</v>
      </c>
      <c r="G43" s="12">
        <f t="shared" si="19"/>
        <v>134290.54379957364</v>
      </c>
      <c r="H43" s="12">
        <f t="shared" si="19"/>
        <v>134290.54379957364</v>
      </c>
      <c r="I43" s="12">
        <f t="shared" si="19"/>
        <v>134290.54379957364</v>
      </c>
      <c r="J43" s="12">
        <f t="shared" si="19"/>
        <v>134290.54379957364</v>
      </c>
      <c r="K43" s="12">
        <f t="shared" si="19"/>
        <v>134290.54379957364</v>
      </c>
      <c r="L43" s="12">
        <f t="shared" si="19"/>
        <v>134290.54379957364</v>
      </c>
      <c r="M43" s="12">
        <f t="shared" si="19"/>
        <v>134290.54379957364</v>
      </c>
      <c r="N43" s="12">
        <f t="shared" si="19"/>
        <v>134290.54379957364</v>
      </c>
      <c r="O43" s="12">
        <f t="shared" si="19"/>
        <v>134290.54379957364</v>
      </c>
      <c r="P43" s="9">
        <f>SUM(D43:O43)</f>
        <v>1611486.5255948834</v>
      </c>
    </row>
    <row r="44" spans="1:16" x14ac:dyDescent="0.25">
      <c r="A44" s="2"/>
      <c r="B44" s="2" t="s">
        <v>52</v>
      </c>
      <c r="C44" s="2"/>
      <c r="D44" s="27">
        <f>ROUND(52000/12,0)</f>
        <v>4333</v>
      </c>
      <c r="E44" s="28">
        <f>D44</f>
        <v>4333</v>
      </c>
      <c r="F44" s="28">
        <f t="shared" si="19"/>
        <v>4333</v>
      </c>
      <c r="G44" s="28">
        <f t="shared" si="19"/>
        <v>4333</v>
      </c>
      <c r="H44" s="28">
        <f t="shared" si="19"/>
        <v>4333</v>
      </c>
      <c r="I44" s="28">
        <f t="shared" si="19"/>
        <v>4333</v>
      </c>
      <c r="J44" s="28">
        <f t="shared" si="19"/>
        <v>4333</v>
      </c>
      <c r="K44" s="28">
        <f t="shared" si="19"/>
        <v>4333</v>
      </c>
      <c r="L44" s="28">
        <f t="shared" si="19"/>
        <v>4333</v>
      </c>
      <c r="M44" s="28">
        <f t="shared" si="19"/>
        <v>4333</v>
      </c>
      <c r="N44" s="28">
        <f t="shared" si="19"/>
        <v>4333</v>
      </c>
      <c r="O44" s="29">
        <f>52000-SUM(D44:N44)</f>
        <v>4337</v>
      </c>
      <c r="P44" s="14">
        <f>SUM(D44:O44)</f>
        <v>52000</v>
      </c>
    </row>
    <row r="45" spans="1:16" ht="15.75" thickBot="1" x14ac:dyDescent="0.3">
      <c r="A45" s="2"/>
      <c r="B45" s="2" t="s">
        <v>53</v>
      </c>
      <c r="C45" s="2"/>
      <c r="D45" s="13">
        <f t="shared" ref="D45:P45" si="20">SUM(D41:D44)</f>
        <v>324629.74264457368</v>
      </c>
      <c r="E45" s="13">
        <f t="shared" si="20"/>
        <v>325780.80097790703</v>
      </c>
      <c r="F45" s="13">
        <f t="shared" si="20"/>
        <v>326931.85931124032</v>
      </c>
      <c r="G45" s="13">
        <f t="shared" si="20"/>
        <v>328082.91764457367</v>
      </c>
      <c r="H45" s="13">
        <f t="shared" si="20"/>
        <v>329233.97597790696</v>
      </c>
      <c r="I45" s="13">
        <f t="shared" si="20"/>
        <v>330385.03431124031</v>
      </c>
      <c r="J45" s="30">
        <f t="shared" si="20"/>
        <v>331536.09264457365</v>
      </c>
      <c r="K45" s="13">
        <f t="shared" si="20"/>
        <v>332687.150977907</v>
      </c>
      <c r="L45" s="13">
        <f t="shared" si="20"/>
        <v>333838.20931124029</v>
      </c>
      <c r="M45" s="13">
        <f t="shared" si="20"/>
        <v>334989.26764457364</v>
      </c>
      <c r="N45" s="13">
        <f t="shared" si="20"/>
        <v>336140.32597790693</v>
      </c>
      <c r="O45" s="13">
        <f t="shared" si="20"/>
        <v>337295.38431124028</v>
      </c>
      <c r="P45" s="25">
        <f t="shared" si="20"/>
        <v>3971530.7617348833</v>
      </c>
    </row>
    <row r="46" spans="1:16" ht="15.75" thickTop="1" x14ac:dyDescent="0.25">
      <c r="A46" s="2"/>
      <c r="B46" s="2"/>
      <c r="C46" s="2"/>
      <c r="D46" s="3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thickBot="1" x14ac:dyDescent="0.3">
      <c r="A47" s="2" t="s">
        <v>54</v>
      </c>
      <c r="B47" s="2"/>
      <c r="C47" s="2"/>
      <c r="D47" s="25">
        <f t="shared" ref="D47:P47" si="21">D38+D45</f>
        <v>948472.3378195737</v>
      </c>
      <c r="E47" s="25">
        <f t="shared" si="21"/>
        <v>952430.80020290695</v>
      </c>
      <c r="F47" s="25">
        <f t="shared" si="21"/>
        <v>956380.37883624039</v>
      </c>
      <c r="G47" s="25">
        <f t="shared" si="21"/>
        <v>960321.05826957361</v>
      </c>
      <c r="H47" s="25">
        <f t="shared" si="21"/>
        <v>964252.84622790699</v>
      </c>
      <c r="I47" s="25">
        <f t="shared" si="21"/>
        <v>968175.74271124031</v>
      </c>
      <c r="J47" s="25">
        <f t="shared" si="21"/>
        <v>972089.74771957367</v>
      </c>
      <c r="K47" s="25">
        <f t="shared" si="21"/>
        <v>975994.86125290708</v>
      </c>
      <c r="L47" s="25">
        <f t="shared" si="21"/>
        <v>979891.08331124042</v>
      </c>
      <c r="M47" s="25">
        <f t="shared" si="21"/>
        <v>983778.41389457369</v>
      </c>
      <c r="N47" s="25">
        <f t="shared" si="21"/>
        <v>987656.84527790698</v>
      </c>
      <c r="O47" s="25">
        <f t="shared" si="21"/>
        <v>991530.39291124034</v>
      </c>
      <c r="P47" s="25">
        <f t="shared" si="21"/>
        <v>11640974.508434884</v>
      </c>
    </row>
    <row r="48" spans="1:16" ht="15.75" thickTop="1" x14ac:dyDescent="0.25">
      <c r="A48" s="2"/>
      <c r="B48" s="2"/>
      <c r="C48" s="2"/>
      <c r="D48" s="3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7" x14ac:dyDescent="0.25">
      <c r="A49" s="2" t="s">
        <v>55</v>
      </c>
      <c r="B49" s="2"/>
      <c r="C49" s="2"/>
      <c r="D49" s="11">
        <v>62310</v>
      </c>
      <c r="E49" s="11">
        <v>62310</v>
      </c>
      <c r="F49" s="11">
        <v>62310</v>
      </c>
      <c r="G49" s="11">
        <v>62310</v>
      </c>
      <c r="H49" s="11">
        <v>62310</v>
      </c>
      <c r="I49" s="11">
        <v>62310</v>
      </c>
      <c r="J49" s="11">
        <v>62310</v>
      </c>
      <c r="K49" s="11">
        <v>62310</v>
      </c>
      <c r="L49" s="11">
        <v>62310</v>
      </c>
      <c r="M49" s="11">
        <v>62310</v>
      </c>
      <c r="N49" s="11">
        <v>62310</v>
      </c>
      <c r="O49" s="11">
        <v>62317</v>
      </c>
      <c r="P49" s="9">
        <f>ROUND(747727,0)</f>
        <v>747727</v>
      </c>
      <c r="Q49" s="32"/>
    </row>
    <row r="50" spans="1:17" ht="15.75" thickBot="1" x14ac:dyDescent="0.3">
      <c r="A50" s="2" t="s">
        <v>56</v>
      </c>
      <c r="B50" s="2"/>
      <c r="C50" s="2"/>
      <c r="D50" s="25">
        <f>+D47-D49</f>
        <v>886162.3378195737</v>
      </c>
      <c r="E50" s="25">
        <f t="shared" ref="E50:O50" si="22">+E47-E49</f>
        <v>890120.80020290695</v>
      </c>
      <c r="F50" s="25">
        <f t="shared" si="22"/>
        <v>894070.37883624039</v>
      </c>
      <c r="G50" s="25">
        <f t="shared" si="22"/>
        <v>898011.05826957361</v>
      </c>
      <c r="H50" s="25">
        <f t="shared" si="22"/>
        <v>901942.84622790699</v>
      </c>
      <c r="I50" s="25">
        <f t="shared" si="22"/>
        <v>905865.74271124031</v>
      </c>
      <c r="J50" s="25">
        <f t="shared" si="22"/>
        <v>909779.74771957367</v>
      </c>
      <c r="K50" s="25">
        <f t="shared" si="22"/>
        <v>913684.86125290708</v>
      </c>
      <c r="L50" s="25">
        <f t="shared" si="22"/>
        <v>917581.08331124042</v>
      </c>
      <c r="M50" s="25">
        <f t="shared" si="22"/>
        <v>921468.41389457369</v>
      </c>
      <c r="N50" s="25">
        <f t="shared" si="22"/>
        <v>925346.84527790698</v>
      </c>
      <c r="O50" s="25">
        <f t="shared" si="22"/>
        <v>929213.39291124034</v>
      </c>
      <c r="P50" s="25">
        <f>+P47-P49</f>
        <v>10893247.508434884</v>
      </c>
    </row>
    <row r="51" spans="1:17" ht="15.75" thickTop="1" x14ac:dyDescent="0.25">
      <c r="A51" s="2"/>
      <c r="B51" s="2"/>
      <c r="C51" s="3"/>
      <c r="D51" s="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3"/>
    </row>
    <row r="52" spans="1:17" x14ac:dyDescent="0.25">
      <c r="A52" s="2"/>
      <c r="B52" s="2"/>
      <c r="C52" s="3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5"/>
      <c r="O52" s="2"/>
      <c r="P52" s="17"/>
    </row>
    <row r="53" spans="1:17" x14ac:dyDescent="0.25">
      <c r="A53" s="2"/>
      <c r="B53" s="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5"/>
      <c r="O53" s="2"/>
      <c r="P53" s="17"/>
    </row>
    <row r="54" spans="1:17" x14ac:dyDescent="0.25">
      <c r="A54" s="2"/>
      <c r="B54" s="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5"/>
      <c r="O54" s="2"/>
      <c r="P54" s="17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11" sqref="D11"/>
    </sheetView>
  </sheetViews>
  <sheetFormatPr defaultRowHeight="15" x14ac:dyDescent="0.25"/>
  <cols>
    <col min="1" max="1" width="9.7109375" customWidth="1"/>
    <col min="2" max="2" width="54.5703125" bestFit="1" customWidth="1"/>
    <col min="4" max="4" width="7.42578125" customWidth="1"/>
    <col min="6" max="6" width="21.140625" bestFit="1" customWidth="1"/>
  </cols>
  <sheetData>
    <row r="1" spans="1:7" ht="18.75" x14ac:dyDescent="0.3">
      <c r="B1" s="1" t="s">
        <v>57</v>
      </c>
      <c r="F1" s="2" t="s">
        <v>58</v>
      </c>
    </row>
    <row r="2" spans="1:7" x14ac:dyDescent="0.25">
      <c r="B2" s="3" t="s">
        <v>2</v>
      </c>
      <c r="F2" s="2" t="s">
        <v>3</v>
      </c>
    </row>
    <row r="3" spans="1:7" x14ac:dyDescent="0.25">
      <c r="B3" s="3" t="s">
        <v>59</v>
      </c>
      <c r="F3" s="2" t="s">
        <v>60</v>
      </c>
    </row>
    <row r="4" spans="1:7" x14ac:dyDescent="0.25">
      <c r="D4" s="38"/>
      <c r="F4" s="2" t="s">
        <v>61</v>
      </c>
    </row>
    <row r="5" spans="1:7" x14ac:dyDescent="0.25">
      <c r="D5" s="38"/>
    </row>
    <row r="6" spans="1:7" x14ac:dyDescent="0.25">
      <c r="A6" s="2"/>
      <c r="B6" s="2"/>
      <c r="C6" s="2"/>
      <c r="D6" s="17"/>
      <c r="E6" s="34"/>
      <c r="F6" s="34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 t="s">
        <v>62</v>
      </c>
      <c r="B8" s="2"/>
      <c r="C8" s="2"/>
      <c r="D8" s="2"/>
      <c r="E8" s="2"/>
      <c r="F8" s="2"/>
      <c r="G8" s="2"/>
    </row>
    <row r="9" spans="1:7" x14ac:dyDescent="0.25">
      <c r="A9" s="2"/>
      <c r="B9" s="2" t="s">
        <v>63</v>
      </c>
      <c r="C9" s="2"/>
      <c r="D9" s="26">
        <v>0.1085</v>
      </c>
      <c r="E9" s="2"/>
      <c r="F9" s="39"/>
      <c r="G9" s="2"/>
    </row>
    <row r="10" spans="1:7" x14ac:dyDescent="0.25">
      <c r="A10" s="2"/>
      <c r="B10" s="2" t="s">
        <v>64</v>
      </c>
      <c r="C10" s="2"/>
      <c r="D10" s="26">
        <v>4.7899999999999998E-2</v>
      </c>
      <c r="E10" s="2"/>
      <c r="F10" s="15"/>
      <c r="G10" s="2"/>
    </row>
    <row r="11" spans="1:7" x14ac:dyDescent="0.25">
      <c r="A11" s="2"/>
      <c r="B11" s="2" t="s">
        <v>65</v>
      </c>
      <c r="C11" s="2"/>
      <c r="D11" s="40">
        <f>'Expansion Factor New tax'!K38</f>
        <v>1.3500362329283431</v>
      </c>
      <c r="E11" s="41"/>
      <c r="F11" s="37"/>
      <c r="G11" s="2"/>
    </row>
    <row r="12" spans="1:7" x14ac:dyDescent="0.25">
      <c r="A12" s="42"/>
      <c r="B12" s="2" t="s">
        <v>66</v>
      </c>
      <c r="C12" s="2"/>
      <c r="D12" s="43">
        <f>ROUND(D10*D11,4)</f>
        <v>6.4699999999999994E-2</v>
      </c>
      <c r="E12" s="2"/>
      <c r="F12" s="44"/>
      <c r="G12" s="2"/>
    </row>
    <row r="13" spans="1:7" x14ac:dyDescent="0.25">
      <c r="A13" s="42"/>
      <c r="B13" s="2"/>
      <c r="C13" s="2"/>
      <c r="D13" s="45"/>
      <c r="E13" s="2"/>
      <c r="F13" s="15"/>
      <c r="G13" s="2"/>
    </row>
    <row r="14" spans="1:7" x14ac:dyDescent="0.25">
      <c r="A14" s="42"/>
      <c r="B14" s="2" t="s">
        <v>67</v>
      </c>
      <c r="C14" s="2"/>
      <c r="D14" s="45">
        <v>7.1000000000000004E-3</v>
      </c>
      <c r="E14" s="2"/>
      <c r="F14" s="15"/>
      <c r="G14" s="2"/>
    </row>
    <row r="15" spans="1:7" x14ac:dyDescent="0.25">
      <c r="A15" s="42"/>
      <c r="B15" s="2" t="s">
        <v>68</v>
      </c>
      <c r="C15" s="2"/>
      <c r="D15" s="45">
        <v>3.0999999999999999E-3</v>
      </c>
      <c r="E15" s="2"/>
      <c r="F15" s="15"/>
      <c r="G15" s="2"/>
    </row>
    <row r="16" spans="1:7" x14ac:dyDescent="0.25">
      <c r="A16" s="42"/>
      <c r="B16" s="2" t="s">
        <v>69</v>
      </c>
      <c r="C16" s="2"/>
      <c r="D16" s="45">
        <v>3.0999999999999999E-3</v>
      </c>
      <c r="E16" s="2"/>
      <c r="F16" s="15"/>
      <c r="G16" s="2"/>
    </row>
    <row r="17" spans="1:7" x14ac:dyDescent="0.25">
      <c r="A17" s="42"/>
      <c r="B17" s="2" t="s">
        <v>70</v>
      </c>
      <c r="C17" s="2"/>
      <c r="D17" s="45">
        <v>0</v>
      </c>
      <c r="E17" s="2"/>
      <c r="F17" s="15"/>
      <c r="G17" s="2"/>
    </row>
    <row r="18" spans="1:7" x14ac:dyDescent="0.25">
      <c r="A18" s="42"/>
      <c r="B18" s="2" t="s">
        <v>71</v>
      </c>
      <c r="C18" s="2"/>
      <c r="D18" s="45">
        <v>8.0000000000000004E-4</v>
      </c>
      <c r="E18" s="2"/>
      <c r="F18" s="15"/>
      <c r="G18" s="2"/>
    </row>
    <row r="19" spans="1:7" x14ac:dyDescent="0.25">
      <c r="A19" s="2"/>
      <c r="B19" s="2" t="s">
        <v>72</v>
      </c>
      <c r="C19" s="2"/>
      <c r="D19" s="43">
        <f>SUM(D14:D18)</f>
        <v>1.4100000000000001E-2</v>
      </c>
      <c r="E19" s="2"/>
      <c r="F19" s="44"/>
      <c r="G19" s="2"/>
    </row>
    <row r="20" spans="1:7" x14ac:dyDescent="0.25">
      <c r="A20" s="2"/>
      <c r="B20" s="2"/>
      <c r="C20" s="2"/>
      <c r="D20" s="46"/>
      <c r="E20" s="2"/>
      <c r="F20" s="2"/>
      <c r="G20" s="2"/>
    </row>
    <row r="21" spans="1:7" ht="15.75" thickBot="1" x14ac:dyDescent="0.3">
      <c r="A21" s="2"/>
      <c r="B21" s="2" t="s">
        <v>73</v>
      </c>
      <c r="C21" s="2"/>
      <c r="D21" s="47">
        <f>+D19+D10</f>
        <v>6.2E-2</v>
      </c>
      <c r="E21" s="2"/>
      <c r="F21" s="2"/>
      <c r="G21" s="2"/>
    </row>
    <row r="22" spans="1:7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N19" sqref="N19"/>
    </sheetView>
  </sheetViews>
  <sheetFormatPr defaultRowHeight="15" x14ac:dyDescent="0.25"/>
  <cols>
    <col min="11" max="11" width="21.7109375" customWidth="1"/>
  </cols>
  <sheetData>
    <row r="1" spans="1:11" ht="16.5" x14ac:dyDescent="0.25">
      <c r="A1" s="48"/>
      <c r="B1" s="49"/>
      <c r="C1" s="48"/>
      <c r="D1" s="48"/>
      <c r="E1" s="49"/>
      <c r="F1" s="49"/>
      <c r="G1" s="49"/>
      <c r="H1" s="49" t="s">
        <v>74</v>
      </c>
      <c r="I1" s="49"/>
      <c r="J1" s="49"/>
      <c r="K1" s="49"/>
    </row>
    <row r="2" spans="1:11" ht="17.25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6.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6.5" x14ac:dyDescent="0.25">
      <c r="A4" s="48" t="s">
        <v>75</v>
      </c>
      <c r="B4" s="48"/>
      <c r="C4" s="48"/>
      <c r="D4" s="48"/>
      <c r="E4" s="48" t="s">
        <v>76</v>
      </c>
      <c r="F4" s="48"/>
      <c r="G4" s="49" t="s">
        <v>77</v>
      </c>
      <c r="H4" s="49"/>
      <c r="I4" s="49"/>
      <c r="J4" s="49"/>
      <c r="K4" s="49"/>
    </row>
    <row r="5" spans="1:11" ht="16.5" x14ac:dyDescent="0.25">
      <c r="A5" s="48"/>
      <c r="B5" s="48"/>
      <c r="C5" s="48"/>
      <c r="D5" s="48"/>
      <c r="F5" s="49"/>
      <c r="G5" s="49" t="s">
        <v>78</v>
      </c>
      <c r="H5" s="49"/>
      <c r="I5" s="49"/>
      <c r="J5" s="49"/>
      <c r="K5" s="49"/>
    </row>
    <row r="6" spans="1:11" ht="16.5" x14ac:dyDescent="0.25">
      <c r="A6" s="51" t="s">
        <v>79</v>
      </c>
      <c r="B6" s="48"/>
      <c r="C6" s="48"/>
      <c r="D6" s="48"/>
      <c r="E6" s="49"/>
      <c r="F6" s="49"/>
      <c r="G6" s="49"/>
      <c r="H6" s="49"/>
      <c r="I6" s="49"/>
      <c r="J6" s="49"/>
      <c r="K6" s="49"/>
    </row>
    <row r="7" spans="1:11" ht="16.5" x14ac:dyDescent="0.25">
      <c r="A7" s="51" t="s">
        <v>80</v>
      </c>
      <c r="B7" s="48"/>
      <c r="C7" s="48"/>
      <c r="D7" s="48"/>
      <c r="E7" s="49"/>
      <c r="F7" s="49"/>
      <c r="G7" s="49"/>
      <c r="H7" s="49"/>
      <c r="I7" s="49"/>
      <c r="J7" s="49"/>
      <c r="K7" s="49"/>
    </row>
    <row r="8" spans="1:11" ht="16.5" x14ac:dyDescent="0.25">
      <c r="A8" s="52"/>
      <c r="B8" s="48"/>
      <c r="C8" s="48"/>
      <c r="D8" s="48"/>
      <c r="E8" s="49"/>
      <c r="F8" s="49"/>
      <c r="G8" s="49"/>
      <c r="H8" s="49"/>
      <c r="I8" s="49"/>
      <c r="J8" s="49"/>
      <c r="K8" s="49"/>
    </row>
    <row r="9" spans="1:11" ht="17.25" thickBot="1" x14ac:dyDescent="0.3">
      <c r="A9" s="48"/>
      <c r="B9" s="48"/>
      <c r="C9" s="48"/>
      <c r="D9" s="48"/>
      <c r="E9" s="49"/>
      <c r="F9" s="49"/>
      <c r="G9" s="49"/>
      <c r="H9" s="49"/>
      <c r="I9" s="49"/>
      <c r="J9" s="49"/>
      <c r="K9" s="49"/>
    </row>
    <row r="10" spans="1:11" ht="16.5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6.5" x14ac:dyDescent="0.25">
      <c r="A11" s="49" t="s">
        <v>81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6.5" x14ac:dyDescent="0.25">
      <c r="A12" s="49" t="s">
        <v>82</v>
      </c>
      <c r="B12" s="49" t="s">
        <v>83</v>
      </c>
      <c r="D12" s="49"/>
      <c r="E12" s="49"/>
      <c r="F12" s="49"/>
      <c r="G12" s="49"/>
      <c r="H12" s="49"/>
      <c r="I12" s="49"/>
      <c r="J12" s="49"/>
      <c r="K12" s="53" t="s">
        <v>84</v>
      </c>
    </row>
    <row r="13" spans="1:11" ht="17.25" thickBot="1" x14ac:dyDescent="0.3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6.5" x14ac:dyDescent="0.25">
      <c r="A14" s="50"/>
      <c r="B14" s="54"/>
      <c r="C14" s="54"/>
      <c r="D14" s="54"/>
      <c r="E14" s="54"/>
      <c r="F14" s="54"/>
      <c r="G14" s="54"/>
      <c r="H14" s="55"/>
      <c r="I14" s="55"/>
      <c r="J14" s="55"/>
      <c r="K14" s="55"/>
    </row>
    <row r="15" spans="1:11" ht="16.5" x14ac:dyDescent="0.25">
      <c r="A15" s="56">
        <v>1</v>
      </c>
      <c r="B15" s="49" t="s">
        <v>85</v>
      </c>
      <c r="C15" s="49"/>
      <c r="D15" s="49"/>
      <c r="E15" s="49"/>
      <c r="F15" s="49"/>
      <c r="G15" s="49"/>
      <c r="H15" s="57"/>
      <c r="I15" s="57"/>
      <c r="J15" s="57"/>
      <c r="K15" s="58">
        <v>1</v>
      </c>
    </row>
    <row r="16" spans="1:11" ht="16.5" x14ac:dyDescent="0.25">
      <c r="A16" s="56"/>
      <c r="B16" s="49"/>
      <c r="C16" s="49"/>
      <c r="D16" s="49"/>
      <c r="E16" s="49"/>
      <c r="F16" s="49"/>
      <c r="G16" s="49"/>
      <c r="H16" s="57"/>
      <c r="I16" s="57"/>
      <c r="J16" s="57"/>
      <c r="K16" s="59"/>
    </row>
    <row r="17" spans="1:11" ht="16.5" x14ac:dyDescent="0.25">
      <c r="A17" s="56">
        <v>2</v>
      </c>
      <c r="B17" s="49" t="s">
        <v>86</v>
      </c>
      <c r="C17" s="49"/>
      <c r="D17" s="49"/>
      <c r="E17" s="49"/>
      <c r="F17" s="49"/>
      <c r="G17" s="49"/>
      <c r="H17" s="57"/>
      <c r="I17" s="57"/>
      <c r="J17" s="57"/>
      <c r="K17" s="58">
        <v>0</v>
      </c>
    </row>
    <row r="18" spans="1:11" ht="16.5" x14ac:dyDescent="0.25">
      <c r="A18" s="56"/>
      <c r="B18" s="49"/>
      <c r="C18" s="49"/>
      <c r="D18" s="49"/>
      <c r="E18" s="49"/>
      <c r="F18" s="49"/>
      <c r="G18" s="49"/>
      <c r="H18" s="57"/>
      <c r="I18" s="57"/>
      <c r="J18" s="57"/>
      <c r="K18" s="58"/>
    </row>
    <row r="19" spans="1:11" ht="16.5" x14ac:dyDescent="0.25">
      <c r="A19" s="56">
        <v>3</v>
      </c>
      <c r="B19" s="49" t="s">
        <v>87</v>
      </c>
      <c r="C19" s="49"/>
      <c r="D19" s="49"/>
      <c r="E19" s="49"/>
      <c r="F19" s="49"/>
      <c r="G19" s="49"/>
      <c r="H19" s="57"/>
      <c r="I19" s="57"/>
      <c r="J19" s="57"/>
      <c r="K19" s="58">
        <v>5.0299999999999997E-3</v>
      </c>
    </row>
    <row r="20" spans="1:11" ht="16.5" x14ac:dyDescent="0.25">
      <c r="A20" s="56"/>
      <c r="B20" s="49"/>
      <c r="C20" s="49"/>
      <c r="D20" s="49"/>
      <c r="E20" s="49"/>
      <c r="F20" s="49"/>
      <c r="G20" s="49"/>
      <c r="H20" s="57"/>
      <c r="I20" s="57"/>
      <c r="J20" s="57"/>
      <c r="K20" s="60"/>
    </row>
    <row r="21" spans="1:11" ht="16.5" x14ac:dyDescent="0.25">
      <c r="A21" s="56">
        <v>4</v>
      </c>
      <c r="B21" s="49" t="s">
        <v>88</v>
      </c>
      <c r="C21" s="49"/>
      <c r="D21" s="49"/>
      <c r="E21" s="49"/>
      <c r="F21" s="49"/>
      <c r="G21" s="49"/>
      <c r="H21" s="57"/>
      <c r="I21" s="57"/>
      <c r="J21" s="57"/>
      <c r="K21" s="58">
        <v>2.7781034346701498E-3</v>
      </c>
    </row>
    <row r="22" spans="1:11" ht="16.5" x14ac:dyDescent="0.25">
      <c r="A22" s="56"/>
      <c r="B22" s="49"/>
      <c r="C22" s="49"/>
      <c r="D22" s="49"/>
      <c r="E22" s="49"/>
      <c r="F22" s="49"/>
      <c r="G22" s="49"/>
      <c r="H22" s="57"/>
      <c r="I22" s="57"/>
      <c r="J22" s="57"/>
      <c r="K22" s="60"/>
    </row>
    <row r="23" spans="1:11" ht="16.5" x14ac:dyDescent="0.25">
      <c r="A23" s="56"/>
      <c r="B23" s="49" t="s">
        <v>89</v>
      </c>
      <c r="C23" s="49"/>
      <c r="D23" s="49"/>
      <c r="E23" s="49"/>
      <c r="F23" s="49"/>
      <c r="G23" s="49"/>
      <c r="H23" s="57"/>
      <c r="I23" s="57"/>
      <c r="J23" s="57"/>
      <c r="K23" s="61"/>
    </row>
    <row r="24" spans="1:11" ht="16.5" x14ac:dyDescent="0.25">
      <c r="A24" s="56">
        <v>5</v>
      </c>
      <c r="B24" s="49" t="s">
        <v>90</v>
      </c>
      <c r="C24" s="49"/>
      <c r="D24" s="49"/>
      <c r="E24" s="49"/>
      <c r="F24" s="49"/>
      <c r="G24" s="49"/>
      <c r="H24" s="57"/>
      <c r="I24" s="57"/>
      <c r="J24" s="57"/>
      <c r="K24" s="58">
        <f>K15-K17-K19-K21</f>
        <v>0.99219189656532991</v>
      </c>
    </row>
    <row r="25" spans="1:11" ht="16.5" x14ac:dyDescent="0.25">
      <c r="A25" s="56"/>
      <c r="B25" s="49"/>
      <c r="C25" s="49"/>
      <c r="D25" s="49"/>
      <c r="E25" s="49"/>
      <c r="F25" s="49"/>
      <c r="G25" s="49"/>
      <c r="H25" s="57"/>
      <c r="I25" s="57"/>
      <c r="J25" s="57"/>
      <c r="K25" s="60"/>
    </row>
    <row r="26" spans="1:11" ht="16.5" x14ac:dyDescent="0.25">
      <c r="A26" s="56">
        <v>6</v>
      </c>
      <c r="B26" s="49" t="s">
        <v>91</v>
      </c>
      <c r="C26" s="49"/>
      <c r="D26" s="49"/>
      <c r="E26" s="49"/>
      <c r="F26" s="49"/>
      <c r="G26" s="49"/>
      <c r="H26" s="57"/>
      <c r="I26" s="57"/>
      <c r="J26" s="57"/>
      <c r="K26" s="58">
        <v>5.5E-2</v>
      </c>
    </row>
    <row r="27" spans="1:11" ht="16.5" x14ac:dyDescent="0.25">
      <c r="A27" s="56"/>
      <c r="B27" s="49"/>
      <c r="C27" s="49"/>
      <c r="D27" s="49"/>
      <c r="E27" s="49"/>
      <c r="F27" s="49"/>
      <c r="G27" s="49"/>
      <c r="H27" s="57"/>
      <c r="I27" s="57"/>
      <c r="J27" s="57"/>
      <c r="K27" s="60"/>
    </row>
    <row r="28" spans="1:11" ht="16.5" x14ac:dyDescent="0.25">
      <c r="A28" s="56">
        <v>7</v>
      </c>
      <c r="B28" s="49" t="s">
        <v>92</v>
      </c>
      <c r="C28" s="49"/>
      <c r="D28" s="49"/>
      <c r="E28" s="49"/>
      <c r="F28" s="49"/>
      <c r="G28" s="49"/>
      <c r="H28" s="57"/>
      <c r="I28" s="57"/>
      <c r="J28" s="57"/>
      <c r="K28" s="62">
        <f>K24*K26</f>
        <v>5.4570554311093145E-2</v>
      </c>
    </row>
    <row r="29" spans="1:11" ht="16.5" x14ac:dyDescent="0.25">
      <c r="A29" s="56"/>
      <c r="B29" s="49"/>
      <c r="C29" s="49"/>
      <c r="D29" s="49"/>
      <c r="E29" s="49"/>
      <c r="F29" s="49"/>
      <c r="G29" s="49"/>
      <c r="H29" s="57"/>
      <c r="I29" s="57"/>
      <c r="J29" s="57"/>
      <c r="K29" s="60"/>
    </row>
    <row r="30" spans="1:11" ht="16.5" x14ac:dyDescent="0.25">
      <c r="A30" s="56">
        <v>8</v>
      </c>
      <c r="B30" s="49" t="s">
        <v>93</v>
      </c>
      <c r="C30" s="49"/>
      <c r="D30" s="49"/>
      <c r="E30" s="49"/>
      <c r="F30" s="49"/>
      <c r="G30" s="49"/>
      <c r="H30" s="57"/>
      <c r="I30" s="57"/>
      <c r="J30" s="57"/>
      <c r="K30" s="62">
        <f>K24-K28</f>
        <v>0.93762134225423677</v>
      </c>
    </row>
    <row r="31" spans="1:11" ht="16.5" x14ac:dyDescent="0.25">
      <c r="A31" s="56"/>
      <c r="B31" s="49"/>
      <c r="C31" s="49"/>
      <c r="D31" s="49"/>
      <c r="E31" s="49"/>
      <c r="F31" s="49"/>
      <c r="G31" s="49"/>
      <c r="H31" s="57"/>
      <c r="I31" s="57"/>
      <c r="J31" s="57"/>
      <c r="K31" s="60"/>
    </row>
    <row r="32" spans="1:11" ht="16.5" x14ac:dyDescent="0.25">
      <c r="A32" s="56">
        <v>9</v>
      </c>
      <c r="B32" s="49" t="s">
        <v>94</v>
      </c>
      <c r="C32" s="49"/>
      <c r="D32" s="49"/>
      <c r="E32" s="49"/>
      <c r="F32" s="49"/>
      <c r="G32" s="49"/>
      <c r="H32" s="57"/>
      <c r="I32" s="57"/>
      <c r="J32" s="57"/>
      <c r="K32" s="58">
        <v>0.21</v>
      </c>
    </row>
    <row r="33" spans="1:11" ht="16.5" x14ac:dyDescent="0.25">
      <c r="A33" s="56"/>
      <c r="B33" s="49"/>
      <c r="C33" s="49"/>
      <c r="D33" s="49"/>
      <c r="E33" s="49"/>
      <c r="F33" s="49"/>
      <c r="G33" s="49"/>
      <c r="H33" s="57"/>
      <c r="I33" s="57"/>
      <c r="J33" s="57"/>
      <c r="K33" s="60"/>
    </row>
    <row r="34" spans="1:11" ht="16.5" x14ac:dyDescent="0.25">
      <c r="A34" s="56">
        <v>10</v>
      </c>
      <c r="B34" s="49" t="s">
        <v>95</v>
      </c>
      <c r="C34" s="49"/>
      <c r="D34" s="49"/>
      <c r="E34" s="49"/>
      <c r="F34" s="49"/>
      <c r="G34" s="49"/>
      <c r="H34" s="57"/>
      <c r="I34" s="57"/>
      <c r="J34" s="57"/>
      <c r="K34" s="63">
        <f>K30*K32</f>
        <v>0.19690048187338971</v>
      </c>
    </row>
    <row r="35" spans="1:11" ht="16.5" x14ac:dyDescent="0.25">
      <c r="A35" s="56"/>
      <c r="B35" s="49"/>
      <c r="C35" s="49"/>
      <c r="D35" s="49"/>
      <c r="E35" s="49"/>
      <c r="F35" s="49"/>
      <c r="G35" s="49"/>
      <c r="H35" s="57"/>
      <c r="I35" s="57"/>
      <c r="J35" s="57"/>
      <c r="K35" s="60"/>
    </row>
    <row r="36" spans="1:11" ht="16.5" x14ac:dyDescent="0.25">
      <c r="A36" s="56">
        <v>11</v>
      </c>
      <c r="B36" s="49" t="s">
        <v>96</v>
      </c>
      <c r="C36" s="49"/>
      <c r="D36" s="49"/>
      <c r="E36" s="49"/>
      <c r="F36" s="49"/>
      <c r="G36" s="49"/>
      <c r="H36" s="57"/>
      <c r="I36" s="57"/>
      <c r="J36" s="57"/>
      <c r="K36" s="62">
        <f>K30-K34</f>
        <v>0.74072086038084706</v>
      </c>
    </row>
    <row r="37" spans="1:11" ht="16.5" x14ac:dyDescent="0.25">
      <c r="A37" s="56"/>
      <c r="B37" s="49"/>
      <c r="C37" s="49"/>
      <c r="D37" s="49"/>
      <c r="E37" s="49"/>
      <c r="F37" s="49"/>
      <c r="G37" s="49"/>
      <c r="H37" s="57"/>
      <c r="I37" s="57"/>
      <c r="J37" s="57"/>
      <c r="K37" s="60"/>
    </row>
    <row r="38" spans="1:11" ht="17.25" thickBot="1" x14ac:dyDescent="0.3">
      <c r="A38" s="56">
        <v>12</v>
      </c>
      <c r="B38" s="49" t="s">
        <v>97</v>
      </c>
      <c r="C38" s="49"/>
      <c r="D38" s="49"/>
      <c r="E38" s="49"/>
      <c r="F38" s="49"/>
      <c r="G38" s="49"/>
      <c r="H38" s="57"/>
      <c r="I38" s="57"/>
      <c r="J38" s="57"/>
      <c r="K38" s="64">
        <f>1/K36</f>
        <v>1.3500362329283431</v>
      </c>
    </row>
    <row r="39" spans="1:11" ht="17.25" thickTop="1" x14ac:dyDescent="0.25">
      <c r="A39" s="56"/>
      <c r="B39" s="49" t="s">
        <v>98</v>
      </c>
      <c r="C39" s="49"/>
      <c r="D39" s="49"/>
      <c r="E39" s="49"/>
      <c r="F39" s="49"/>
      <c r="G39" s="49"/>
      <c r="H39" s="57"/>
      <c r="I39" s="57"/>
      <c r="J39" s="57"/>
      <c r="K39" s="5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 GRIP Proj Revised Exp fact</vt:lpstr>
      <vt:lpstr>2018 GRIP Projection FILED</vt:lpstr>
      <vt:lpstr>Return with new tax</vt:lpstr>
      <vt:lpstr>Expansion Factor New tax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2018-09-25T21:23:47Z</cp:lastPrinted>
  <dcterms:created xsi:type="dcterms:W3CDTF">2018-09-07T15:25:40Z</dcterms:created>
  <dcterms:modified xsi:type="dcterms:W3CDTF">2018-09-25T21:25:46Z</dcterms:modified>
</cp:coreProperties>
</file>