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nexant.corp\NexantFS\rdudata\CSPA Projects\610025 - FEECA Potential Study\Regulatory (Post-Filing)\Discovery Request documents - Round 1\DEF\Q7-uploaded\"/>
    </mc:Choice>
  </mc:AlternateContent>
  <bookViews>
    <workbookView xWindow="0" yWindow="0" windowWidth="23040" windowHeight="9972" tabRatio="854" firstSheet="8" activeTab="16"/>
  </bookViews>
  <sheets>
    <sheet name="Reporting Tables" sheetId="22" r:id="rId1"/>
    <sheet name="DEF" sheetId="15" r:id="rId2"/>
    <sheet name="FPL" sheetId="7" r:id="rId3"/>
    <sheet name="FPU" sheetId="16" r:id="rId4"/>
    <sheet name="Gulf" sheetId="17" r:id="rId5"/>
    <sheet name="JEA" sheetId="18" r:id="rId6"/>
    <sheet name="OUC" sheetId="19" r:id="rId7"/>
    <sheet name="TECO" sheetId="20" r:id="rId8"/>
    <sheet name="DEF_perparticipant" sheetId="26" r:id="rId9"/>
    <sheet name="FPL_perparticipant" sheetId="27" r:id="rId10"/>
    <sheet name="FPU_perparticipant" sheetId="28" r:id="rId11"/>
    <sheet name="Gulf_perparticipant" sheetId="25" r:id="rId12"/>
    <sheet name="JEA_perparticipant" sheetId="29" r:id="rId13"/>
    <sheet name="OUC_perparticipant" sheetId="30" r:id="rId14"/>
    <sheet name="TECO_perparticipant" sheetId="24" r:id="rId15"/>
    <sheet name="Forecast" sheetId="13" r:id="rId16"/>
    <sheet name="Lookups" sheetId="12" r:id="rId17"/>
    <sheet name="PV Watts" sheetId="11" r:id="rId18"/>
    <sheet name="Other Inputs" sheetId="14" r:id="rId19"/>
    <sheet name="Methodology" sheetId="10" r:id="rId20"/>
  </sheets>
  <externalReferences>
    <externalReference r:id="rId21"/>
  </externalReferences>
  <definedNames>
    <definedName name="__IntlFixup" hidden="1">TRUE</definedName>
    <definedName name="__IntlFixupTable" localSheetId="1" hidden="1">#REF!</definedName>
    <definedName name="__IntlFixupTable" localSheetId="8" hidden="1">#REF!</definedName>
    <definedName name="__IntlFixupTable" localSheetId="9" hidden="1">#REF!</definedName>
    <definedName name="__IntlFixupTable" localSheetId="3" hidden="1">#REF!</definedName>
    <definedName name="__IntlFixupTable" localSheetId="10" hidden="1">#REF!</definedName>
    <definedName name="__IntlFixupTable" localSheetId="4" hidden="1">#REF!</definedName>
    <definedName name="__IntlFixupTable" localSheetId="11" hidden="1">#REF!</definedName>
    <definedName name="__IntlFixupTable" localSheetId="5" hidden="1">#REF!</definedName>
    <definedName name="__IntlFixupTable" localSheetId="12" hidden="1">#REF!</definedName>
    <definedName name="__IntlFixupTable" localSheetId="6" hidden="1">#REF!</definedName>
    <definedName name="__IntlFixupTable" localSheetId="13" hidden="1">#REF!</definedName>
    <definedName name="__IntlFixupTable" localSheetId="7" hidden="1">#REF!</definedName>
    <definedName name="__IntlFixupTable" hidden="1">#REF!</definedName>
    <definedName name="_Order1" hidden="1">0</definedName>
    <definedName name="AA.Report.Files" localSheetId="1" hidden="1">#REF!</definedName>
    <definedName name="AA.Report.Files" localSheetId="8" hidden="1">#REF!</definedName>
    <definedName name="AA.Report.Files" localSheetId="9" hidden="1">#REF!</definedName>
    <definedName name="AA.Report.Files" localSheetId="3" hidden="1">#REF!</definedName>
    <definedName name="AA.Report.Files" localSheetId="10" hidden="1">#REF!</definedName>
    <definedName name="AA.Report.Files" localSheetId="4" hidden="1">#REF!</definedName>
    <definedName name="AA.Report.Files" localSheetId="11" hidden="1">#REF!</definedName>
    <definedName name="AA.Report.Files" localSheetId="5" hidden="1">#REF!</definedName>
    <definedName name="AA.Report.Files" localSheetId="12" hidden="1">#REF!</definedName>
    <definedName name="AA.Report.Files" localSheetId="6" hidden="1">#REF!</definedName>
    <definedName name="AA.Report.Files" localSheetId="13" hidden="1">#REF!</definedName>
    <definedName name="AA.Report.Files" localSheetId="7" hidden="1">#REF!</definedName>
    <definedName name="AA.Report.Files" hidden="1">#REF!</definedName>
    <definedName name="AA.Reports.Available" localSheetId="1" hidden="1">#REF!</definedName>
    <definedName name="AA.Reports.Available" localSheetId="8" hidden="1">#REF!</definedName>
    <definedName name="AA.Reports.Available" localSheetId="9" hidden="1">#REF!</definedName>
    <definedName name="AA.Reports.Available" localSheetId="3" hidden="1">#REF!</definedName>
    <definedName name="AA.Reports.Available" localSheetId="10" hidden="1">#REF!</definedName>
    <definedName name="AA.Reports.Available" localSheetId="4" hidden="1">#REF!</definedName>
    <definedName name="AA.Reports.Available" localSheetId="11" hidden="1">#REF!</definedName>
    <definedName name="AA.Reports.Available" localSheetId="5" hidden="1">#REF!</definedName>
    <definedName name="AA.Reports.Available" localSheetId="12" hidden="1">#REF!</definedName>
    <definedName name="AA.Reports.Available" localSheetId="6" hidden="1">#REF!</definedName>
    <definedName name="AA.Reports.Available" localSheetId="13" hidden="1">#REF!</definedName>
    <definedName name="AA.Reports.Available" localSheetId="7" hidden="1">#REF!</definedName>
    <definedName name="AA.Reports.Available" hidden="1">#REF!</definedName>
    <definedName name="Data.Dump" localSheetId="1" hidden="1">OFFSET([1]!Data.Top.Left,1,0)</definedName>
    <definedName name="Data.Dump" localSheetId="8" hidden="1">OFFSET([1]!Data.Top.Left,1,0)</definedName>
    <definedName name="Data.Dump" localSheetId="9" hidden="1">OFFSET([1]!Data.Top.Left,1,0)</definedName>
    <definedName name="Data.Dump" localSheetId="3" hidden="1">OFFSET([1]!Data.Top.Left,1,0)</definedName>
    <definedName name="Data.Dump" localSheetId="10" hidden="1">OFFSET([1]!Data.Top.Left,1,0)</definedName>
    <definedName name="Data.Dump" localSheetId="4" hidden="1">OFFSET([1]!Data.Top.Left,1,0)</definedName>
    <definedName name="Data.Dump" localSheetId="11" hidden="1">OFFSET([1]!Data.Top.Left,1,0)</definedName>
    <definedName name="Data.Dump" localSheetId="5" hidden="1">OFFSET([1]!Data.Top.Left,1,0)</definedName>
    <definedName name="Data.Dump" localSheetId="12" hidden="1">OFFSET([1]!Data.Top.Left,1,0)</definedName>
    <definedName name="Data.Dump" localSheetId="6" hidden="1">OFFSET([1]!Data.Top.Left,1,0)</definedName>
    <definedName name="Data.Dump" localSheetId="13" hidden="1">OFFSET([1]!Data.Top.Left,1,0)</definedName>
    <definedName name="Data.Dump" localSheetId="7" hidden="1">OFFSET([1]!Data.Top.Left,1,0)</definedName>
    <definedName name="Data.Dump" hidden="1">OFFSET([1]!Data.Top.Left,1,0)</definedName>
    <definedName name="Database.File" localSheetId="1" hidden="1">#REF!</definedName>
    <definedName name="Database.File" localSheetId="8" hidden="1">#REF!</definedName>
    <definedName name="Database.File" localSheetId="9" hidden="1">#REF!</definedName>
    <definedName name="Database.File" localSheetId="3" hidden="1">#REF!</definedName>
    <definedName name="Database.File" localSheetId="10" hidden="1">#REF!</definedName>
    <definedName name="Database.File" localSheetId="4" hidden="1">#REF!</definedName>
    <definedName name="Database.File" localSheetId="11" hidden="1">#REF!</definedName>
    <definedName name="Database.File" localSheetId="5" hidden="1">#REF!</definedName>
    <definedName name="Database.File" localSheetId="12" hidden="1">#REF!</definedName>
    <definedName name="Database.File" localSheetId="6" hidden="1">#REF!</definedName>
    <definedName name="Database.File" localSheetId="13" hidden="1">#REF!</definedName>
    <definedName name="Database.File" localSheetId="7" hidden="1">#REF!</definedName>
    <definedName name="Database.File" hidden="1">#REF!</definedName>
    <definedName name="File.Type" localSheetId="1" hidden="1">#REF!</definedName>
    <definedName name="File.Type" localSheetId="8" hidden="1">#REF!</definedName>
    <definedName name="File.Type" localSheetId="9" hidden="1">#REF!</definedName>
    <definedName name="File.Type" localSheetId="3" hidden="1">#REF!</definedName>
    <definedName name="File.Type" localSheetId="10" hidden="1">#REF!</definedName>
    <definedName name="File.Type" localSheetId="4" hidden="1">#REF!</definedName>
    <definedName name="File.Type" localSheetId="11" hidden="1">#REF!</definedName>
    <definedName name="File.Type" localSheetId="5" hidden="1">#REF!</definedName>
    <definedName name="File.Type" localSheetId="12" hidden="1">#REF!</definedName>
    <definedName name="File.Type" localSheetId="6" hidden="1">#REF!</definedName>
    <definedName name="File.Type" localSheetId="13" hidden="1">#REF!</definedName>
    <definedName name="File.Type" localSheetId="7" hidden="1">#REF!</definedName>
    <definedName name="File.Type" hidden="1">#REF!</definedName>
    <definedName name="HTML_CodePage" hidden="1">1252</definedName>
    <definedName name="HTML_Control" localSheetId="8" hidden="1">{"'Leverage'!$B$2:$M$418"}</definedName>
    <definedName name="HTML_Control" localSheetId="9" hidden="1">{"'Leverage'!$B$2:$M$418"}</definedName>
    <definedName name="HTML_Control" localSheetId="10" hidden="1">{"'Leverage'!$B$2:$M$418"}</definedName>
    <definedName name="HTML_Control" localSheetId="11" hidden="1">{"'Leverage'!$B$2:$M$418"}</definedName>
    <definedName name="HTML_Control" localSheetId="12" hidden="1">{"'Leverage'!$B$2:$M$418"}</definedName>
    <definedName name="HTML_Control" localSheetId="13" hidden="1">{"'Leverage'!$B$2:$M$418"}</definedName>
    <definedName name="HTML_Control" localSheetId="14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Ownership" localSheetId="1" hidden="1">OFFSET([1]!Data.Top.Left,1,0)</definedName>
    <definedName name="Ownership" localSheetId="8" hidden="1">OFFSET([1]!Data.Top.Left,1,0)</definedName>
    <definedName name="Ownership" localSheetId="9" hidden="1">OFFSET([1]!Data.Top.Left,1,0)</definedName>
    <definedName name="Ownership" localSheetId="3" hidden="1">OFFSET([1]!Data.Top.Left,1,0)</definedName>
    <definedName name="Ownership" localSheetId="10" hidden="1">OFFSET([1]!Data.Top.Left,1,0)</definedName>
    <definedName name="Ownership" localSheetId="4" hidden="1">OFFSET([1]!Data.Top.Left,1,0)</definedName>
    <definedName name="Ownership" localSheetId="11" hidden="1">OFFSET([1]!Data.Top.Left,1,0)</definedName>
    <definedName name="Ownership" localSheetId="5" hidden="1">OFFSET([1]!Data.Top.Left,1,0)</definedName>
    <definedName name="Ownership" localSheetId="12" hidden="1">OFFSET([1]!Data.Top.Left,1,0)</definedName>
    <definedName name="Ownership" localSheetId="6" hidden="1">OFFSET([1]!Data.Top.Left,1,0)</definedName>
    <definedName name="Ownership" localSheetId="13" hidden="1">OFFSET([1]!Data.Top.Left,1,0)</definedName>
    <definedName name="Ownership" localSheetId="7" hidden="1">OFFSET([1]!Data.Top.Left,1,0)</definedName>
    <definedName name="Ownership" hidden="1">OFFSET([1]!Data.Top.Left,1,0)</definedName>
    <definedName name="Show.Acct.Update.Warning" localSheetId="1" hidden="1">#REF!</definedName>
    <definedName name="Show.Acct.Update.Warning" localSheetId="8" hidden="1">#REF!</definedName>
    <definedName name="Show.Acct.Update.Warning" localSheetId="9" hidden="1">#REF!</definedName>
    <definedName name="Show.Acct.Update.Warning" localSheetId="3" hidden="1">#REF!</definedName>
    <definedName name="Show.Acct.Update.Warning" localSheetId="10" hidden="1">#REF!</definedName>
    <definedName name="Show.Acct.Update.Warning" localSheetId="4" hidden="1">#REF!</definedName>
    <definedName name="Show.Acct.Update.Warning" localSheetId="11" hidden="1">#REF!</definedName>
    <definedName name="Show.Acct.Update.Warning" localSheetId="5" hidden="1">#REF!</definedName>
    <definedName name="Show.Acct.Update.Warning" localSheetId="12" hidden="1">#REF!</definedName>
    <definedName name="Show.Acct.Update.Warning" localSheetId="6" hidden="1">#REF!</definedName>
    <definedName name="Show.Acct.Update.Warning" localSheetId="13" hidden="1">#REF!</definedName>
    <definedName name="Show.Acct.Update.Warning" localSheetId="7" hidden="1">#REF!</definedName>
    <definedName name="Show.Acct.Update.Warning" hidden="1">#REF!</definedName>
    <definedName name="Show.MDB.Update.Warning" localSheetId="1" hidden="1">#REF!</definedName>
    <definedName name="Show.MDB.Update.Warning" localSheetId="8" hidden="1">#REF!</definedName>
    <definedName name="Show.MDB.Update.Warning" localSheetId="9" hidden="1">#REF!</definedName>
    <definedName name="Show.MDB.Update.Warning" localSheetId="3" hidden="1">#REF!</definedName>
    <definedName name="Show.MDB.Update.Warning" localSheetId="10" hidden="1">#REF!</definedName>
    <definedName name="Show.MDB.Update.Warning" localSheetId="4" hidden="1">#REF!</definedName>
    <definedName name="Show.MDB.Update.Warning" localSheetId="11" hidden="1">#REF!</definedName>
    <definedName name="Show.MDB.Update.Warning" localSheetId="5" hidden="1">#REF!</definedName>
    <definedName name="Show.MDB.Update.Warning" localSheetId="12" hidden="1">#REF!</definedName>
    <definedName name="Show.MDB.Update.Warning" localSheetId="6" hidden="1">#REF!</definedName>
    <definedName name="Show.MDB.Update.Warning" localSheetId="13" hidden="1">#REF!</definedName>
    <definedName name="Show.MDB.Update.Warning" localSheetId="7" hidden="1">#REF!</definedName>
    <definedName name="Show.MDB.Update.Warning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E21" i="12" l="1"/>
  <c r="G21" i="12"/>
  <c r="E22" i="12"/>
  <c r="G22" i="12"/>
  <c r="H22" i="12"/>
  <c r="E71" i="22"/>
  <c r="H9" i="22"/>
  <c r="B65" i="22"/>
  <c r="D67" i="22"/>
  <c r="D10" i="22"/>
  <c r="E73" i="22"/>
  <c r="D70" i="22"/>
  <c r="G71" i="22"/>
  <c r="F9" i="22"/>
  <c r="G75" i="22"/>
  <c r="G11" i="22"/>
  <c r="D11" i="22"/>
  <c r="G77" i="22"/>
  <c r="E66" i="22"/>
  <c r="E75" i="22"/>
  <c r="D65" i="22"/>
  <c r="G68" i="22"/>
  <c r="C74" i="22"/>
  <c r="E77" i="22"/>
  <c r="D69" i="22"/>
  <c r="B74" i="22"/>
  <c r="H11" i="22"/>
  <c r="G65" i="22"/>
  <c r="F66" i="22"/>
  <c r="H71" i="22"/>
  <c r="E69" i="22"/>
  <c r="F75" i="22"/>
  <c r="F72" i="22"/>
  <c r="F68" i="22"/>
  <c r="C65" i="22"/>
  <c r="C68" i="22"/>
  <c r="D76" i="22"/>
  <c r="C10" i="22"/>
  <c r="H68" i="22"/>
  <c r="F76" i="22"/>
  <c r="F71" i="22"/>
  <c r="E74" i="22"/>
  <c r="C73" i="22"/>
  <c r="H69" i="22"/>
  <c r="G9" i="22"/>
  <c r="E76" i="22"/>
  <c r="B72" i="22"/>
  <c r="E10" i="22"/>
  <c r="E72" i="22"/>
  <c r="B9" i="22"/>
  <c r="D72" i="22"/>
  <c r="G74" i="22"/>
  <c r="G73" i="22"/>
  <c r="G69" i="22"/>
  <c r="E9" i="22"/>
  <c r="C69" i="22"/>
  <c r="E67" i="22"/>
  <c r="G76" i="22"/>
  <c r="F69" i="22"/>
  <c r="E70" i="22"/>
  <c r="G67" i="22"/>
  <c r="H67" i="22"/>
  <c r="F73" i="22"/>
  <c r="H72" i="22"/>
  <c r="E11" i="22"/>
  <c r="G72" i="22"/>
  <c r="D77" i="22"/>
  <c r="B69" i="22"/>
  <c r="G70" i="22"/>
  <c r="C9" i="22"/>
  <c r="C75" i="22"/>
  <c r="B68" i="22"/>
  <c r="B71" i="22"/>
  <c r="B75" i="22"/>
  <c r="F11" i="22"/>
  <c r="B70" i="22"/>
  <c r="C72" i="22"/>
  <c r="H66" i="22"/>
  <c r="C77" i="22"/>
  <c r="B11" i="22"/>
  <c r="B67" i="22"/>
  <c r="D68" i="22"/>
  <c r="B77" i="22"/>
  <c r="D9" i="22"/>
  <c r="D75" i="22"/>
  <c r="D74" i="22"/>
  <c r="C76" i="22"/>
  <c r="H70" i="22"/>
  <c r="D73" i="22"/>
  <c r="E68" i="22"/>
  <c r="B66" i="22"/>
  <c r="E65" i="22"/>
  <c r="H77" i="22"/>
  <c r="H75" i="22"/>
  <c r="H73" i="22"/>
  <c r="G66" i="22"/>
  <c r="G10" i="22"/>
  <c r="F74" i="22"/>
  <c r="D71" i="22"/>
  <c r="F70" i="22"/>
  <c r="F77" i="22"/>
  <c r="D66" i="22"/>
  <c r="F65" i="22"/>
  <c r="C67" i="22"/>
  <c r="C70" i="22"/>
  <c r="H76" i="22"/>
  <c r="H65" i="22"/>
  <c r="H10" i="22"/>
  <c r="B73" i="22"/>
  <c r="C11" i="22"/>
  <c r="F67" i="22"/>
  <c r="H74" i="22"/>
  <c r="B76" i="22"/>
  <c r="C66" i="22"/>
  <c r="C71" i="22"/>
  <c r="F10" i="22"/>
  <c r="B10" i="22"/>
  <c r="B78" i="22" l="1"/>
  <c r="I69" i="22"/>
  <c r="I73" i="22"/>
  <c r="I77" i="22"/>
  <c r="C78" i="22"/>
  <c r="D78" i="22"/>
  <c r="I67" i="22"/>
  <c r="I70" i="22"/>
  <c r="I74" i="22"/>
  <c r="E78" i="22"/>
  <c r="I66" i="22"/>
  <c r="I72" i="22"/>
  <c r="I76" i="22"/>
  <c r="G78" i="22"/>
  <c r="I65" i="22"/>
  <c r="I68" i="22"/>
  <c r="I71" i="22"/>
  <c r="I75" i="22"/>
  <c r="F78" i="22"/>
  <c r="H78" i="22"/>
  <c r="C12" i="22"/>
  <c r="F12" i="22"/>
  <c r="G12" i="22"/>
  <c r="E12" i="22"/>
  <c r="H12" i="22"/>
  <c r="D12" i="22"/>
  <c r="B12" i="22"/>
  <c r="I9" i="22"/>
  <c r="I10" i="22"/>
  <c r="I11" i="22"/>
  <c r="I78" i="22" l="1"/>
  <c r="I12" i="22"/>
  <c r="L17" i="25" l="1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" i="25"/>
  <c r="E17" i="24" l="1"/>
  <c r="D17" i="24"/>
  <c r="E16" i="24"/>
  <c r="D16" i="24"/>
  <c r="E15" i="24"/>
  <c r="D15" i="24"/>
  <c r="E14" i="24"/>
  <c r="D14" i="24"/>
  <c r="E13" i="24"/>
  <c r="D13" i="24"/>
  <c r="E12" i="24"/>
  <c r="D12" i="24"/>
  <c r="E11" i="24"/>
  <c r="D11" i="24"/>
  <c r="E10" i="24"/>
  <c r="D10" i="24"/>
  <c r="E9" i="24"/>
  <c r="D9" i="24"/>
  <c r="E8" i="24"/>
  <c r="D8" i="24"/>
  <c r="E7" i="24"/>
  <c r="D7" i="24"/>
  <c r="E6" i="24"/>
  <c r="D6" i="24"/>
  <c r="E5" i="24"/>
  <c r="D5" i="24"/>
  <c r="E4" i="24"/>
  <c r="D4" i="24"/>
  <c r="E3" i="24"/>
  <c r="D3" i="24"/>
  <c r="E17" i="30"/>
  <c r="D17" i="30"/>
  <c r="E16" i="30"/>
  <c r="D16" i="30"/>
  <c r="E15" i="30"/>
  <c r="D15" i="30"/>
  <c r="E14" i="30"/>
  <c r="D14" i="30"/>
  <c r="E13" i="30"/>
  <c r="D13" i="30"/>
  <c r="E12" i="30"/>
  <c r="D12" i="30"/>
  <c r="E11" i="30"/>
  <c r="D11" i="30"/>
  <c r="E10" i="30"/>
  <c r="D10" i="30"/>
  <c r="E9" i="30"/>
  <c r="D9" i="30"/>
  <c r="E8" i="30"/>
  <c r="D8" i="30"/>
  <c r="E7" i="30"/>
  <c r="D7" i="30"/>
  <c r="E6" i="30"/>
  <c r="D6" i="30"/>
  <c r="E5" i="30"/>
  <c r="D5" i="30"/>
  <c r="E4" i="30"/>
  <c r="D4" i="30"/>
  <c r="E3" i="30"/>
  <c r="D3" i="30"/>
  <c r="E17" i="29"/>
  <c r="D17" i="29"/>
  <c r="E16" i="29"/>
  <c r="D16" i="29"/>
  <c r="E15" i="29"/>
  <c r="D15" i="29"/>
  <c r="E14" i="29"/>
  <c r="D14" i="29"/>
  <c r="E13" i="29"/>
  <c r="D13" i="29"/>
  <c r="E12" i="29"/>
  <c r="D12" i="29"/>
  <c r="E11" i="29"/>
  <c r="D11" i="29"/>
  <c r="E10" i="29"/>
  <c r="D10" i="29"/>
  <c r="E9" i="29"/>
  <c r="D9" i="29"/>
  <c r="E8" i="29"/>
  <c r="D8" i="29"/>
  <c r="E7" i="29"/>
  <c r="D7" i="29"/>
  <c r="E6" i="29"/>
  <c r="D6" i="29"/>
  <c r="E5" i="29"/>
  <c r="D5" i="29"/>
  <c r="E4" i="29"/>
  <c r="D4" i="29"/>
  <c r="E3" i="29"/>
  <c r="D3" i="29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E4" i="25"/>
  <c r="D4" i="25"/>
  <c r="E3" i="25"/>
  <c r="D3" i="25"/>
  <c r="E17" i="28"/>
  <c r="D17" i="28"/>
  <c r="E16" i="28"/>
  <c r="D16" i="28"/>
  <c r="E15" i="28"/>
  <c r="D15" i="28"/>
  <c r="E14" i="28"/>
  <c r="D14" i="28"/>
  <c r="E13" i="28"/>
  <c r="D13" i="28"/>
  <c r="E12" i="28"/>
  <c r="D12" i="28"/>
  <c r="E11" i="28"/>
  <c r="D11" i="28"/>
  <c r="E10" i="28"/>
  <c r="D10" i="28"/>
  <c r="E9" i="28"/>
  <c r="D9" i="28"/>
  <c r="E8" i="28"/>
  <c r="D8" i="28"/>
  <c r="E7" i="28"/>
  <c r="D7" i="28"/>
  <c r="E6" i="28"/>
  <c r="D6" i="28"/>
  <c r="E5" i="28"/>
  <c r="D5" i="28"/>
  <c r="E4" i="28"/>
  <c r="D4" i="28"/>
  <c r="E3" i="28"/>
  <c r="D3" i="28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E10" i="27"/>
  <c r="D10" i="27"/>
  <c r="E9" i="27"/>
  <c r="D9" i="27"/>
  <c r="E8" i="27"/>
  <c r="D8" i="27"/>
  <c r="E7" i="27"/>
  <c r="D7" i="27"/>
  <c r="E6" i="27"/>
  <c r="D6" i="27"/>
  <c r="E5" i="27"/>
  <c r="D5" i="27"/>
  <c r="E4" i="27"/>
  <c r="D4" i="27"/>
  <c r="E3" i="27"/>
  <c r="D3" i="27"/>
  <c r="X42" i="13" l="1"/>
  <c r="Y42" i="13"/>
  <c r="Z42" i="13"/>
  <c r="AA42" i="13"/>
  <c r="AB42" i="13"/>
  <c r="AC42" i="13"/>
  <c r="X43" i="13"/>
  <c r="Y43" i="13"/>
  <c r="Z43" i="13"/>
  <c r="AA43" i="13"/>
  <c r="AB43" i="13"/>
  <c r="AC43" i="13"/>
  <c r="X44" i="13"/>
  <c r="Y44" i="13"/>
  <c r="Z44" i="13"/>
  <c r="AA44" i="13"/>
  <c r="AB44" i="13"/>
  <c r="AC44" i="13"/>
  <c r="X45" i="13"/>
  <c r="Y45" i="13"/>
  <c r="Z45" i="13"/>
  <c r="AA45" i="13"/>
  <c r="AB45" i="13"/>
  <c r="AC45" i="13"/>
  <c r="X46" i="13"/>
  <c r="Y46" i="13"/>
  <c r="Z46" i="13"/>
  <c r="AA46" i="13"/>
  <c r="AB46" i="13"/>
  <c r="AC46" i="13"/>
  <c r="X47" i="13"/>
  <c r="Y47" i="13"/>
  <c r="Z47" i="13"/>
  <c r="AA47" i="13"/>
  <c r="AB47" i="13"/>
  <c r="AC47" i="13"/>
  <c r="X48" i="13"/>
  <c r="Y48" i="13"/>
  <c r="Z48" i="13"/>
  <c r="AA48" i="13"/>
  <c r="AB48" i="13"/>
  <c r="AC48" i="13"/>
  <c r="X5" i="13"/>
  <c r="Y5" i="13"/>
  <c r="Z5" i="13"/>
  <c r="AA5" i="13"/>
  <c r="AB5" i="13"/>
  <c r="AC5" i="13"/>
  <c r="X6" i="13"/>
  <c r="Y6" i="13"/>
  <c r="Z6" i="13"/>
  <c r="AA6" i="13"/>
  <c r="AB6" i="13"/>
  <c r="AC6" i="13"/>
  <c r="X7" i="13"/>
  <c r="Y7" i="13"/>
  <c r="Z7" i="13"/>
  <c r="AA7" i="13"/>
  <c r="AB7" i="13"/>
  <c r="AC7" i="13"/>
  <c r="X8" i="13"/>
  <c r="Y8" i="13"/>
  <c r="Z8" i="13"/>
  <c r="AA8" i="13"/>
  <c r="AB8" i="13"/>
  <c r="AC8" i="13"/>
  <c r="X9" i="13"/>
  <c r="Y9" i="13"/>
  <c r="Z9" i="13"/>
  <c r="AA9" i="13"/>
  <c r="AB9" i="13"/>
  <c r="AC9" i="13"/>
  <c r="X10" i="13"/>
  <c r="Y10" i="13"/>
  <c r="Z10" i="13"/>
  <c r="AA10" i="13"/>
  <c r="AB10" i="13"/>
  <c r="AC10" i="13"/>
  <c r="X11" i="13"/>
  <c r="Y11" i="13"/>
  <c r="Z11" i="13"/>
  <c r="AA11" i="13"/>
  <c r="AB11" i="13"/>
  <c r="AC11" i="13"/>
  <c r="X12" i="13"/>
  <c r="Y12" i="13"/>
  <c r="Z12" i="13"/>
  <c r="AA12" i="13"/>
  <c r="AB12" i="13"/>
  <c r="AC12" i="13"/>
  <c r="X13" i="13"/>
  <c r="Y13" i="13"/>
  <c r="Z13" i="13"/>
  <c r="AA13" i="13"/>
  <c r="AB13" i="13"/>
  <c r="AC13" i="13"/>
  <c r="D8" i="11" l="1"/>
  <c r="C61" i="11"/>
  <c r="U4" i="15"/>
  <c r="V4" i="15"/>
  <c r="U5" i="15"/>
  <c r="V5" i="15"/>
  <c r="U6" i="15"/>
  <c r="V6" i="15"/>
  <c r="U7" i="15"/>
  <c r="V7" i="15"/>
  <c r="U8" i="15"/>
  <c r="V8" i="15"/>
  <c r="U9" i="15"/>
  <c r="V9" i="15"/>
  <c r="U10" i="15"/>
  <c r="V10" i="15"/>
  <c r="U11" i="15"/>
  <c r="V11" i="15"/>
  <c r="U12" i="15"/>
  <c r="V12" i="15"/>
  <c r="U13" i="15"/>
  <c r="V13" i="15"/>
  <c r="U14" i="15"/>
  <c r="V14" i="15"/>
  <c r="U15" i="15"/>
  <c r="V15" i="15"/>
  <c r="U16" i="15"/>
  <c r="V16" i="15"/>
  <c r="U17" i="15"/>
  <c r="V17" i="15"/>
  <c r="U18" i="15"/>
  <c r="V18" i="15"/>
  <c r="U19" i="15"/>
  <c r="V19" i="15"/>
  <c r="U20" i="15"/>
  <c r="V20" i="15"/>
  <c r="U21" i="15"/>
  <c r="V21" i="15"/>
  <c r="U22" i="15"/>
  <c r="V22" i="15"/>
  <c r="U23" i="15"/>
  <c r="V23" i="15"/>
  <c r="U24" i="15"/>
  <c r="V24" i="15"/>
  <c r="U25" i="15"/>
  <c r="V25" i="15"/>
  <c r="U26" i="15"/>
  <c r="V26" i="15"/>
  <c r="V3" i="15"/>
  <c r="U3" i="15"/>
  <c r="Q4" i="15"/>
  <c r="H4" i="15" s="1"/>
  <c r="R4" i="15"/>
  <c r="I4" i="15" s="1"/>
  <c r="Q5" i="15"/>
  <c r="H5" i="15" s="1"/>
  <c r="R5" i="15"/>
  <c r="I5" i="15" s="1"/>
  <c r="Q6" i="15"/>
  <c r="H6" i="15" s="1"/>
  <c r="R6" i="15"/>
  <c r="I6" i="15" s="1"/>
  <c r="Q7" i="15"/>
  <c r="H7" i="15" s="1"/>
  <c r="R7" i="15"/>
  <c r="I7" i="15" s="1"/>
  <c r="Q8" i="15"/>
  <c r="H8" i="15" s="1"/>
  <c r="R8" i="15"/>
  <c r="I8" i="15" s="1"/>
  <c r="Q9" i="15"/>
  <c r="H9" i="15" s="1"/>
  <c r="R9" i="15"/>
  <c r="I9" i="15" s="1"/>
  <c r="Q10" i="15"/>
  <c r="H10" i="15" s="1"/>
  <c r="R10" i="15"/>
  <c r="I10" i="15" s="1"/>
  <c r="Q11" i="15"/>
  <c r="H11" i="15" s="1"/>
  <c r="R11" i="15"/>
  <c r="I11" i="15" s="1"/>
  <c r="Q12" i="15"/>
  <c r="H12" i="15" s="1"/>
  <c r="R12" i="15"/>
  <c r="I12" i="15" s="1"/>
  <c r="Q13" i="15"/>
  <c r="H13" i="15" s="1"/>
  <c r="R13" i="15"/>
  <c r="I13" i="15" s="1"/>
  <c r="Q14" i="15"/>
  <c r="H14" i="15" s="1"/>
  <c r="R14" i="15"/>
  <c r="I14" i="15" s="1"/>
  <c r="Q15" i="15"/>
  <c r="H15" i="15" s="1"/>
  <c r="R15" i="15"/>
  <c r="I15" i="15" s="1"/>
  <c r="Q16" i="15"/>
  <c r="H16" i="15" s="1"/>
  <c r="R16" i="15"/>
  <c r="I16" i="15" s="1"/>
  <c r="Q17" i="15"/>
  <c r="H17" i="15" s="1"/>
  <c r="R17" i="15"/>
  <c r="I17" i="15" s="1"/>
  <c r="Q18" i="15"/>
  <c r="H18" i="15" s="1"/>
  <c r="R18" i="15"/>
  <c r="I18" i="15" s="1"/>
  <c r="Q19" i="15"/>
  <c r="H19" i="15" s="1"/>
  <c r="R19" i="15"/>
  <c r="I19" i="15" s="1"/>
  <c r="Q20" i="15"/>
  <c r="H20" i="15" s="1"/>
  <c r="R20" i="15"/>
  <c r="I20" i="15" s="1"/>
  <c r="Q21" i="15"/>
  <c r="H21" i="15" s="1"/>
  <c r="R21" i="15"/>
  <c r="I21" i="15" s="1"/>
  <c r="Q22" i="15"/>
  <c r="H22" i="15" s="1"/>
  <c r="R22" i="15"/>
  <c r="I22" i="15" s="1"/>
  <c r="Q23" i="15"/>
  <c r="H23" i="15" s="1"/>
  <c r="R23" i="15"/>
  <c r="I23" i="15" s="1"/>
  <c r="Q24" i="15"/>
  <c r="H24" i="15" s="1"/>
  <c r="R24" i="15"/>
  <c r="I24" i="15" s="1"/>
  <c r="Q25" i="15"/>
  <c r="H25" i="15" s="1"/>
  <c r="R25" i="15"/>
  <c r="I25" i="15" s="1"/>
  <c r="Q26" i="15"/>
  <c r="H26" i="15" s="1"/>
  <c r="R26" i="15"/>
  <c r="I26" i="15" s="1"/>
  <c r="R3" i="15"/>
  <c r="I3" i="15" s="1"/>
  <c r="Q3" i="15"/>
  <c r="H3" i="15" s="1"/>
  <c r="D16" i="26" l="1"/>
  <c r="D12" i="26"/>
  <c r="D6" i="26"/>
  <c r="D17" i="26"/>
  <c r="D15" i="26"/>
  <c r="D13" i="26"/>
  <c r="D11" i="26"/>
  <c r="D9" i="26"/>
  <c r="D7" i="26"/>
  <c r="D5" i="26"/>
  <c r="D3" i="26"/>
  <c r="D14" i="26"/>
  <c r="D10" i="26"/>
  <c r="D8" i="26"/>
  <c r="D4" i="26"/>
  <c r="E17" i="26"/>
  <c r="E15" i="26"/>
  <c r="E13" i="26"/>
  <c r="E11" i="26"/>
  <c r="E9" i="26"/>
  <c r="E7" i="26"/>
  <c r="E5" i="26"/>
  <c r="E3" i="26"/>
  <c r="E14" i="26"/>
  <c r="E10" i="26"/>
  <c r="E6" i="26"/>
  <c r="E16" i="26"/>
  <c r="E12" i="26"/>
  <c r="E8" i="26"/>
  <c r="E4" i="26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" i="30"/>
  <c r="J3" i="30"/>
  <c r="O2" i="30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AI2" i="30" s="1"/>
  <c r="AJ2" i="30" s="1"/>
  <c r="AK2" i="30" s="1"/>
  <c r="AL2" i="30" s="1"/>
  <c r="AM2" i="30" s="1"/>
  <c r="AN2" i="30" s="1"/>
  <c r="AO2" i="30" s="1"/>
  <c r="AP2" i="30" s="1"/>
  <c r="AQ2" i="30" s="1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J3" i="29"/>
  <c r="O2" i="29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AI2" i="29" s="1"/>
  <c r="AJ2" i="29" s="1"/>
  <c r="AK2" i="29" s="1"/>
  <c r="AL2" i="29" s="1"/>
  <c r="AM2" i="29" s="1"/>
  <c r="AN2" i="29" s="1"/>
  <c r="AO2" i="29" s="1"/>
  <c r="AP2" i="29" s="1"/>
  <c r="AQ2" i="29" s="1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O2" i="28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F2" i="28" s="1"/>
  <c r="AG2" i="28" s="1"/>
  <c r="AH2" i="28" s="1"/>
  <c r="AI2" i="28" s="1"/>
  <c r="AJ2" i="28" s="1"/>
  <c r="AK2" i="28" s="1"/>
  <c r="AL2" i="28" s="1"/>
  <c r="AM2" i="28" s="1"/>
  <c r="AN2" i="28" s="1"/>
  <c r="AO2" i="28" s="1"/>
  <c r="AP2" i="28" s="1"/>
  <c r="AQ2" i="28" s="1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P2" i="27"/>
  <c r="Q2" i="27" s="1"/>
  <c r="R2" i="27" s="1"/>
  <c r="S2" i="27" s="1"/>
  <c r="T2" i="27" s="1"/>
  <c r="U2" i="27" s="1"/>
  <c r="V2" i="27" s="1"/>
  <c r="W2" i="27" s="1"/>
  <c r="X2" i="27" s="1"/>
  <c r="Y2" i="27" s="1"/>
  <c r="Z2" i="27" s="1"/>
  <c r="AA2" i="27" s="1"/>
  <c r="AB2" i="27" s="1"/>
  <c r="AC2" i="27" s="1"/>
  <c r="AD2" i="27" s="1"/>
  <c r="AE2" i="27" s="1"/>
  <c r="AF2" i="27" s="1"/>
  <c r="AG2" i="27" s="1"/>
  <c r="AH2" i="27" s="1"/>
  <c r="AI2" i="27" s="1"/>
  <c r="AJ2" i="27" s="1"/>
  <c r="AK2" i="27" s="1"/>
  <c r="AL2" i="27" s="1"/>
  <c r="AM2" i="27" s="1"/>
  <c r="AN2" i="27" s="1"/>
  <c r="AO2" i="27" s="1"/>
  <c r="AP2" i="27" s="1"/>
  <c r="AQ2" i="27" s="1"/>
  <c r="O2" i="27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4" i="26"/>
  <c r="J3" i="26"/>
  <c r="O2" i="26"/>
  <c r="P2" i="26" s="1"/>
  <c r="Q2" i="26" s="1"/>
  <c r="R2" i="26" s="1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AE2" i="26" s="1"/>
  <c r="AF2" i="26" s="1"/>
  <c r="AG2" i="26" s="1"/>
  <c r="AH2" i="26" s="1"/>
  <c r="AI2" i="26" s="1"/>
  <c r="AJ2" i="26" s="1"/>
  <c r="AK2" i="26" s="1"/>
  <c r="AL2" i="26" s="1"/>
  <c r="AM2" i="26" s="1"/>
  <c r="AN2" i="26" s="1"/>
  <c r="AO2" i="26" s="1"/>
  <c r="AP2" i="26" s="1"/>
  <c r="AQ2" i="26" s="1"/>
  <c r="J17" i="25" l="1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P2" i="25"/>
  <c r="Q2" i="25" s="1"/>
  <c r="R2" i="25" s="1"/>
  <c r="S2" i="25" s="1"/>
  <c r="T2" i="25" s="1"/>
  <c r="U2" i="25" s="1"/>
  <c r="V2" i="25" s="1"/>
  <c r="W2" i="25" s="1"/>
  <c r="X2" i="25" s="1"/>
  <c r="Y2" i="25" s="1"/>
  <c r="Z2" i="25" s="1"/>
  <c r="AA2" i="25" s="1"/>
  <c r="AB2" i="25" s="1"/>
  <c r="AC2" i="25" s="1"/>
  <c r="AD2" i="25" s="1"/>
  <c r="AE2" i="25" s="1"/>
  <c r="AF2" i="25" s="1"/>
  <c r="AG2" i="25" s="1"/>
  <c r="AH2" i="25" s="1"/>
  <c r="AI2" i="25" s="1"/>
  <c r="AJ2" i="25" s="1"/>
  <c r="AK2" i="25" s="1"/>
  <c r="AL2" i="25" s="1"/>
  <c r="AM2" i="25" s="1"/>
  <c r="AN2" i="25" s="1"/>
  <c r="AO2" i="25" s="1"/>
  <c r="AP2" i="25" s="1"/>
  <c r="AQ2" i="25" s="1"/>
  <c r="O2" i="25"/>
  <c r="J6" i="24" l="1"/>
  <c r="J7" i="24"/>
  <c r="J8" i="24"/>
  <c r="J9" i="24"/>
  <c r="J10" i="24"/>
  <c r="J11" i="24"/>
  <c r="J12" i="24"/>
  <c r="J13" i="24"/>
  <c r="J14" i="24"/>
  <c r="J15" i="24"/>
  <c r="J16" i="24"/>
  <c r="J17" i="24"/>
  <c r="J5" i="24"/>
  <c r="J4" i="24"/>
  <c r="J3" i="24"/>
  <c r="O2" i="24" l="1"/>
  <c r="P2" i="24" s="1"/>
  <c r="Q2" i="24" s="1"/>
  <c r="R2" i="24" s="1"/>
  <c r="S2" i="24" s="1"/>
  <c r="T2" i="24" s="1"/>
  <c r="U2" i="24" s="1"/>
  <c r="V2" i="24" s="1"/>
  <c r="W2" i="24" s="1"/>
  <c r="X2" i="24" s="1"/>
  <c r="Y2" i="24" s="1"/>
  <c r="Z2" i="24" s="1"/>
  <c r="AA2" i="24" s="1"/>
  <c r="AB2" i="24" s="1"/>
  <c r="AC2" i="24" s="1"/>
  <c r="AD2" i="24" s="1"/>
  <c r="AE2" i="24" s="1"/>
  <c r="AF2" i="24" s="1"/>
  <c r="AG2" i="24" s="1"/>
  <c r="AH2" i="24" s="1"/>
  <c r="AI2" i="24" s="1"/>
  <c r="AJ2" i="24" s="1"/>
  <c r="AK2" i="24" s="1"/>
  <c r="AL2" i="24" s="1"/>
  <c r="AM2" i="24" s="1"/>
  <c r="AN2" i="24" s="1"/>
  <c r="AO2" i="24" s="1"/>
  <c r="AP2" i="24" s="1"/>
  <c r="AQ2" i="24" s="1"/>
  <c r="W48" i="13" l="1"/>
  <c r="W47" i="13"/>
  <c r="W46" i="13"/>
  <c r="W45" i="13"/>
  <c r="W44" i="13"/>
  <c r="W43" i="13"/>
  <c r="W42" i="13"/>
  <c r="AD46" i="13" s="1"/>
  <c r="AD45" i="13"/>
  <c r="AD44" i="13"/>
  <c r="AD47" i="13"/>
  <c r="AD43" i="13"/>
  <c r="AD42" i="13" l="1"/>
  <c r="AD48" i="13"/>
  <c r="W6" i="13" l="1"/>
  <c r="W7" i="13"/>
  <c r="W8" i="13"/>
  <c r="W9" i="13"/>
  <c r="AD9" i="13" s="1"/>
  <c r="W10" i="13"/>
  <c r="W11" i="13"/>
  <c r="AD11" i="13" s="1"/>
  <c r="W12" i="13"/>
  <c r="AD12" i="13" s="1"/>
  <c r="W13" i="13"/>
  <c r="AD13" i="13" s="1"/>
  <c r="W5" i="13"/>
  <c r="AD5" i="13" s="1"/>
  <c r="AD10" i="13"/>
  <c r="AD8" i="13"/>
  <c r="AD7" i="13"/>
  <c r="AD6" i="13"/>
  <c r="C16" i="13" l="1"/>
  <c r="C7" i="14" l="1"/>
  <c r="C3" i="11"/>
  <c r="C8" i="11" l="1"/>
  <c r="C7" i="11"/>
  <c r="C6" i="11"/>
  <c r="C5" i="11"/>
  <c r="C4" i="11"/>
  <c r="C9" i="11"/>
  <c r="J6" i="13" l="1"/>
  <c r="J7" i="13" s="1"/>
  <c r="F8" i="14" l="1"/>
  <c r="F7" i="14"/>
  <c r="G7" i="14" s="1"/>
  <c r="F4" i="14"/>
  <c r="F3" i="14"/>
  <c r="G3" i="14" s="1"/>
  <c r="T70" i="13" l="1"/>
  <c r="T69" i="13"/>
  <c r="T68" i="13"/>
  <c r="T67" i="13"/>
  <c r="T66" i="13"/>
  <c r="T65" i="13"/>
  <c r="T64" i="13"/>
  <c r="T63" i="13"/>
  <c r="T62" i="13"/>
  <c r="T61" i="13"/>
  <c r="T60" i="13"/>
  <c r="T59" i="13"/>
  <c r="T58" i="13"/>
  <c r="B6" i="12"/>
  <c r="B8" i="12"/>
  <c r="B10" i="12"/>
  <c r="N71" i="13" l="1"/>
  <c r="O71" i="13"/>
  <c r="P71" i="13"/>
  <c r="Q71" i="13"/>
  <c r="R71" i="13"/>
  <c r="S71" i="13"/>
  <c r="M71" i="13"/>
  <c r="H5" i="22"/>
  <c r="G5" i="22"/>
  <c r="F5" i="22"/>
  <c r="E5" i="22"/>
  <c r="D5" i="22"/>
  <c r="C5" i="22"/>
  <c r="B5" i="22"/>
  <c r="H4" i="22"/>
  <c r="G4" i="22"/>
  <c r="F4" i="22"/>
  <c r="E4" i="22"/>
  <c r="D4" i="22"/>
  <c r="C4" i="22"/>
  <c r="B4" i="22"/>
  <c r="H3" i="22"/>
  <c r="G3" i="22"/>
  <c r="F3" i="22"/>
  <c r="E3" i="22"/>
  <c r="D3" i="22"/>
  <c r="C3" i="22"/>
  <c r="B3" i="22"/>
  <c r="T13" i="13"/>
  <c r="T14" i="13"/>
  <c r="T12" i="13"/>
  <c r="B6" i="22" l="1"/>
  <c r="E6" i="22"/>
  <c r="T71" i="13"/>
  <c r="S9" i="12" s="1"/>
  <c r="O9" i="12"/>
  <c r="R7" i="12"/>
  <c r="U7" i="12"/>
  <c r="Q7" i="12"/>
  <c r="Q9" i="12"/>
  <c r="T11" i="12"/>
  <c r="P11" i="12"/>
  <c r="C6" i="22"/>
  <c r="G6" i="22"/>
  <c r="D6" i="22"/>
  <c r="H6" i="22"/>
  <c r="F6" i="22"/>
  <c r="I5" i="22"/>
  <c r="I4" i="22"/>
  <c r="I3" i="22"/>
  <c r="E9" i="11"/>
  <c r="E8" i="11"/>
  <c r="E7" i="11"/>
  <c r="E6" i="11"/>
  <c r="E5" i="11"/>
  <c r="E4" i="11"/>
  <c r="E3" i="11"/>
  <c r="T9" i="12" l="1"/>
  <c r="P7" i="12"/>
  <c r="T7" i="12"/>
  <c r="U11" i="12"/>
  <c r="R9" i="12"/>
  <c r="P9" i="12"/>
  <c r="Q11" i="12"/>
  <c r="U9" i="12"/>
  <c r="R11" i="12"/>
  <c r="S11" i="12"/>
  <c r="O11" i="12"/>
  <c r="S7" i="12"/>
  <c r="O7" i="12"/>
  <c r="I6" i="22"/>
  <c r="K94" i="12"/>
  <c r="N94" i="12"/>
  <c r="L94" i="12"/>
  <c r="M94" i="12"/>
  <c r="B30" i="12" s="1"/>
  <c r="C12" i="11" l="1"/>
  <c r="L65" i="12"/>
  <c r="M65" i="12"/>
  <c r="N65" i="12"/>
  <c r="O65" i="12"/>
  <c r="P65" i="12"/>
  <c r="Q65" i="12"/>
  <c r="K65" i="12"/>
  <c r="K38" i="12" s="1"/>
  <c r="G65" i="12"/>
  <c r="F65" i="12"/>
  <c r="E65" i="12"/>
  <c r="D65" i="12"/>
  <c r="C65" i="12"/>
  <c r="B65" i="12"/>
  <c r="K39" i="12" s="1"/>
  <c r="L38" i="12" l="1"/>
  <c r="L39" i="12"/>
  <c r="L41" i="12" s="1"/>
  <c r="D9" i="11"/>
  <c r="D7" i="11"/>
  <c r="D6" i="11"/>
  <c r="D5" i="11"/>
  <c r="D4" i="11"/>
  <c r="I48" i="13" l="1"/>
  <c r="I47" i="13"/>
  <c r="I46" i="13"/>
  <c r="I45" i="13"/>
  <c r="I44" i="13"/>
  <c r="I43" i="13"/>
  <c r="I42" i="13"/>
  <c r="I6" i="13"/>
  <c r="I7" i="13"/>
  <c r="I8" i="13"/>
  <c r="I9" i="13"/>
  <c r="I10" i="13"/>
  <c r="I11" i="13"/>
  <c r="I12" i="13"/>
  <c r="I13" i="13"/>
  <c r="I5" i="13"/>
  <c r="C41" i="12"/>
  <c r="C12" i="14" l="1"/>
  <c r="J144" i="13"/>
  <c r="I144" i="13"/>
  <c r="H144" i="13"/>
  <c r="G144" i="13"/>
  <c r="F144" i="13"/>
  <c r="E144" i="13"/>
  <c r="D144" i="13"/>
  <c r="C144" i="13"/>
  <c r="J143" i="13"/>
  <c r="I143" i="13"/>
  <c r="H143" i="13"/>
  <c r="G143" i="13"/>
  <c r="F143" i="13"/>
  <c r="E143" i="13"/>
  <c r="D143" i="13"/>
  <c r="C143" i="13"/>
  <c r="J142" i="13"/>
  <c r="I142" i="13"/>
  <c r="H142" i="13"/>
  <c r="G142" i="13"/>
  <c r="F142" i="13"/>
  <c r="E142" i="13"/>
  <c r="D142" i="13"/>
  <c r="C142" i="13"/>
  <c r="J141" i="13"/>
  <c r="I141" i="13"/>
  <c r="H141" i="13"/>
  <c r="G141" i="13"/>
  <c r="F141" i="13"/>
  <c r="E141" i="13"/>
  <c r="D141" i="13"/>
  <c r="C141" i="13"/>
  <c r="J140" i="13"/>
  <c r="I140" i="13"/>
  <c r="H140" i="13"/>
  <c r="G140" i="13"/>
  <c r="F140" i="13"/>
  <c r="E140" i="13"/>
  <c r="D140" i="13"/>
  <c r="C140" i="13"/>
  <c r="J139" i="13"/>
  <c r="I139" i="13"/>
  <c r="H139" i="13"/>
  <c r="G139" i="13"/>
  <c r="F139" i="13"/>
  <c r="E139" i="13"/>
  <c r="D139" i="13"/>
  <c r="C139" i="13"/>
  <c r="J138" i="13"/>
  <c r="I138" i="13"/>
  <c r="H138" i="13"/>
  <c r="G138" i="13"/>
  <c r="F138" i="13"/>
  <c r="E138" i="13"/>
  <c r="D138" i="13"/>
  <c r="C138" i="13"/>
  <c r="J137" i="13"/>
  <c r="I137" i="13"/>
  <c r="H137" i="13"/>
  <c r="G137" i="13"/>
  <c r="F137" i="13"/>
  <c r="E137" i="13"/>
  <c r="D137" i="13"/>
  <c r="C137" i="13"/>
  <c r="J136" i="13"/>
  <c r="I136" i="13"/>
  <c r="H136" i="13"/>
  <c r="G136" i="13"/>
  <c r="F136" i="13"/>
  <c r="E136" i="13"/>
  <c r="D136" i="13"/>
  <c r="C136" i="13"/>
  <c r="J135" i="13"/>
  <c r="I135" i="13"/>
  <c r="H135" i="13"/>
  <c r="G135" i="13"/>
  <c r="F135" i="13"/>
  <c r="E135" i="13"/>
  <c r="D135" i="13"/>
  <c r="C135" i="13"/>
  <c r="J134" i="13"/>
  <c r="I134" i="13"/>
  <c r="H134" i="13"/>
  <c r="G134" i="13"/>
  <c r="F134" i="13"/>
  <c r="E134" i="13"/>
  <c r="D134" i="13"/>
  <c r="C134" i="13"/>
  <c r="J133" i="13"/>
  <c r="I133" i="13"/>
  <c r="H133" i="13"/>
  <c r="G133" i="13"/>
  <c r="F133" i="13"/>
  <c r="E133" i="13"/>
  <c r="D133" i="13"/>
  <c r="C133" i="13"/>
  <c r="J132" i="13"/>
  <c r="I132" i="13"/>
  <c r="H132" i="13"/>
  <c r="G132" i="13"/>
  <c r="F132" i="13"/>
  <c r="E132" i="13"/>
  <c r="D132" i="13"/>
  <c r="C132" i="13"/>
  <c r="J131" i="13"/>
  <c r="I131" i="13"/>
  <c r="H131" i="13"/>
  <c r="G131" i="13"/>
  <c r="F131" i="13"/>
  <c r="E131" i="13"/>
  <c r="D131" i="13"/>
  <c r="C131" i="13"/>
  <c r="J130" i="13"/>
  <c r="I130" i="13"/>
  <c r="H130" i="13"/>
  <c r="G130" i="13"/>
  <c r="F130" i="13"/>
  <c r="E130" i="13"/>
  <c r="D130" i="13"/>
  <c r="C130" i="13"/>
  <c r="J129" i="13"/>
  <c r="I129" i="13"/>
  <c r="H129" i="13"/>
  <c r="G129" i="13"/>
  <c r="F129" i="13"/>
  <c r="E129" i="13"/>
  <c r="D129" i="13"/>
  <c r="C129" i="13"/>
  <c r="J128" i="13"/>
  <c r="I128" i="13"/>
  <c r="H128" i="13"/>
  <c r="G128" i="13"/>
  <c r="F128" i="13"/>
  <c r="E128" i="13"/>
  <c r="D128" i="13"/>
  <c r="C128" i="13"/>
  <c r="J127" i="13"/>
  <c r="I127" i="13"/>
  <c r="H127" i="13"/>
  <c r="G127" i="13"/>
  <c r="F127" i="13"/>
  <c r="E127" i="13"/>
  <c r="D127" i="13"/>
  <c r="C127" i="13"/>
  <c r="J126" i="13"/>
  <c r="I126" i="13"/>
  <c r="H126" i="13"/>
  <c r="G126" i="13"/>
  <c r="F126" i="13"/>
  <c r="E126" i="13"/>
  <c r="D126" i="13"/>
  <c r="C126" i="13"/>
  <c r="J125" i="13"/>
  <c r="I125" i="13"/>
  <c r="H125" i="13"/>
  <c r="G125" i="13"/>
  <c r="F125" i="13"/>
  <c r="E125" i="13"/>
  <c r="D125" i="13"/>
  <c r="C125" i="13"/>
  <c r="J124" i="13"/>
  <c r="I124" i="13"/>
  <c r="H124" i="13"/>
  <c r="G124" i="13"/>
  <c r="F124" i="13"/>
  <c r="E124" i="13"/>
  <c r="D124" i="13"/>
  <c r="C124" i="13"/>
  <c r="J123" i="13"/>
  <c r="I123" i="13"/>
  <c r="H123" i="13"/>
  <c r="G123" i="13"/>
  <c r="F123" i="13"/>
  <c r="E123" i="13"/>
  <c r="D123" i="13"/>
  <c r="C123" i="13"/>
  <c r="J122" i="13"/>
  <c r="I122" i="13"/>
  <c r="H122" i="13"/>
  <c r="G122" i="13"/>
  <c r="F122" i="13"/>
  <c r="E122" i="13"/>
  <c r="D122" i="13"/>
  <c r="C122" i="13"/>
  <c r="J121" i="13"/>
  <c r="I121" i="13"/>
  <c r="H121" i="13"/>
  <c r="G121" i="13"/>
  <c r="F121" i="13"/>
  <c r="E121" i="13"/>
  <c r="D121" i="13"/>
  <c r="C121" i="13"/>
  <c r="J120" i="13"/>
  <c r="I120" i="13"/>
  <c r="H120" i="13"/>
  <c r="G120" i="13"/>
  <c r="F120" i="13"/>
  <c r="E120" i="13"/>
  <c r="D120" i="13"/>
  <c r="C120" i="13"/>
  <c r="J119" i="13"/>
  <c r="I119" i="13"/>
  <c r="H119" i="13"/>
  <c r="G119" i="13"/>
  <c r="F119" i="13"/>
  <c r="E119" i="13"/>
  <c r="D119" i="13"/>
  <c r="C119" i="13"/>
  <c r="J118" i="13"/>
  <c r="I118" i="13"/>
  <c r="H118" i="13"/>
  <c r="G118" i="13"/>
  <c r="F118" i="13"/>
  <c r="E118" i="13"/>
  <c r="D118" i="13"/>
  <c r="C118" i="13"/>
  <c r="J117" i="13"/>
  <c r="I117" i="13"/>
  <c r="H117" i="13"/>
  <c r="G117" i="13"/>
  <c r="F117" i="13"/>
  <c r="E117" i="13"/>
  <c r="D117" i="13"/>
  <c r="C117" i="13"/>
  <c r="J116" i="13"/>
  <c r="I116" i="13"/>
  <c r="H116" i="13"/>
  <c r="G116" i="13"/>
  <c r="F116" i="13"/>
  <c r="E116" i="13"/>
  <c r="D116" i="13"/>
  <c r="C116" i="13"/>
  <c r="J115" i="13"/>
  <c r="I115" i="13"/>
  <c r="H115" i="13"/>
  <c r="G115" i="13"/>
  <c r="F115" i="13"/>
  <c r="E115" i="13"/>
  <c r="D115" i="13"/>
  <c r="C115" i="13"/>
  <c r="J114" i="13"/>
  <c r="I114" i="13"/>
  <c r="H114" i="13"/>
  <c r="G114" i="13"/>
  <c r="F114" i="13"/>
  <c r="E114" i="13"/>
  <c r="D114" i="13"/>
  <c r="C114" i="13"/>
  <c r="J113" i="13"/>
  <c r="I113" i="13"/>
  <c r="H113" i="13"/>
  <c r="G113" i="13"/>
  <c r="F113" i="13"/>
  <c r="E113" i="13"/>
  <c r="D113" i="13"/>
  <c r="C113" i="13"/>
  <c r="J112" i="13"/>
  <c r="I112" i="13"/>
  <c r="H112" i="13"/>
  <c r="G112" i="13"/>
  <c r="F112" i="13"/>
  <c r="E112" i="13"/>
  <c r="D112" i="13"/>
  <c r="C112" i="13"/>
  <c r="J111" i="13"/>
  <c r="I111" i="13"/>
  <c r="H111" i="13"/>
  <c r="G111" i="13"/>
  <c r="F111" i="13"/>
  <c r="E111" i="13"/>
  <c r="D111" i="13"/>
  <c r="C111" i="13"/>
  <c r="J110" i="13"/>
  <c r="I110" i="13"/>
  <c r="H110" i="13"/>
  <c r="G110" i="13"/>
  <c r="F110" i="13"/>
  <c r="E110" i="13"/>
  <c r="D110" i="13"/>
  <c r="C110" i="13"/>
  <c r="J109" i="13"/>
  <c r="I109" i="13"/>
  <c r="H109" i="13"/>
  <c r="G109" i="13"/>
  <c r="F109" i="13"/>
  <c r="E109" i="13"/>
  <c r="D109" i="13"/>
  <c r="C109" i="13"/>
  <c r="J108" i="13"/>
  <c r="I108" i="13"/>
  <c r="H108" i="13"/>
  <c r="G108" i="13"/>
  <c r="F108" i="13"/>
  <c r="E108" i="13"/>
  <c r="D108" i="13"/>
  <c r="C108" i="13"/>
  <c r="J107" i="13"/>
  <c r="I107" i="13"/>
  <c r="H107" i="13"/>
  <c r="G107" i="13"/>
  <c r="F107" i="13"/>
  <c r="E107" i="13"/>
  <c r="D107" i="13"/>
  <c r="C107" i="13"/>
  <c r="J106" i="13"/>
  <c r="I106" i="13"/>
  <c r="H106" i="13"/>
  <c r="G106" i="13"/>
  <c r="F106" i="13"/>
  <c r="E106" i="13"/>
  <c r="D106" i="13"/>
  <c r="C106" i="13"/>
  <c r="J105" i="13"/>
  <c r="I105" i="13"/>
  <c r="H105" i="13"/>
  <c r="G105" i="13"/>
  <c r="F105" i="13"/>
  <c r="E105" i="13"/>
  <c r="D105" i="13"/>
  <c r="C105" i="13"/>
  <c r="J104" i="13"/>
  <c r="I104" i="13"/>
  <c r="H104" i="13"/>
  <c r="G104" i="13"/>
  <c r="F104" i="13"/>
  <c r="E104" i="13"/>
  <c r="D104" i="13"/>
  <c r="C104" i="13"/>
  <c r="J103" i="13"/>
  <c r="I103" i="13"/>
  <c r="H103" i="13"/>
  <c r="G103" i="13"/>
  <c r="F103" i="13"/>
  <c r="E103" i="13"/>
  <c r="D103" i="13"/>
  <c r="C103" i="13"/>
  <c r="J102" i="13"/>
  <c r="I102" i="13"/>
  <c r="H102" i="13"/>
  <c r="G102" i="13"/>
  <c r="F102" i="13"/>
  <c r="E102" i="13"/>
  <c r="D102" i="13"/>
  <c r="C102" i="13"/>
  <c r="J101" i="13"/>
  <c r="I101" i="13"/>
  <c r="H101" i="13"/>
  <c r="G101" i="13"/>
  <c r="F101" i="13"/>
  <c r="E101" i="13"/>
  <c r="D101" i="13"/>
  <c r="C101" i="13"/>
  <c r="J100" i="13"/>
  <c r="I100" i="13"/>
  <c r="H100" i="13"/>
  <c r="G100" i="13"/>
  <c r="F100" i="13"/>
  <c r="E100" i="13"/>
  <c r="D100" i="13"/>
  <c r="C100" i="13"/>
  <c r="J99" i="13"/>
  <c r="I99" i="13"/>
  <c r="H99" i="13"/>
  <c r="G99" i="13"/>
  <c r="F99" i="13"/>
  <c r="E99" i="13"/>
  <c r="D99" i="13"/>
  <c r="C99" i="13"/>
  <c r="J98" i="13"/>
  <c r="I98" i="13"/>
  <c r="H98" i="13"/>
  <c r="G98" i="13"/>
  <c r="F98" i="13"/>
  <c r="E98" i="13"/>
  <c r="D98" i="13"/>
  <c r="C98" i="13"/>
  <c r="J97" i="13"/>
  <c r="I97" i="13"/>
  <c r="H97" i="13"/>
  <c r="G97" i="13"/>
  <c r="F97" i="13"/>
  <c r="E97" i="13"/>
  <c r="D97" i="13"/>
  <c r="C97" i="13"/>
  <c r="J96" i="13"/>
  <c r="I96" i="13"/>
  <c r="H96" i="13"/>
  <c r="G96" i="13"/>
  <c r="F96" i="13"/>
  <c r="E96" i="13"/>
  <c r="D96" i="13"/>
  <c r="C96" i="13"/>
  <c r="J95" i="13"/>
  <c r="I95" i="13"/>
  <c r="H95" i="13"/>
  <c r="G95" i="13"/>
  <c r="F95" i="13"/>
  <c r="E95" i="13"/>
  <c r="D95" i="13"/>
  <c r="C95" i="13"/>
  <c r="J94" i="13"/>
  <c r="I94" i="13"/>
  <c r="H94" i="13"/>
  <c r="G94" i="13"/>
  <c r="F94" i="13"/>
  <c r="E94" i="13"/>
  <c r="D94" i="13"/>
  <c r="C94" i="13"/>
  <c r="J93" i="13"/>
  <c r="I93" i="13"/>
  <c r="H93" i="13"/>
  <c r="G93" i="13"/>
  <c r="F93" i="13"/>
  <c r="E93" i="13"/>
  <c r="D93" i="13"/>
  <c r="C93" i="13"/>
  <c r="J92" i="13"/>
  <c r="I92" i="13"/>
  <c r="H92" i="13"/>
  <c r="G92" i="13"/>
  <c r="F92" i="13"/>
  <c r="E92" i="13"/>
  <c r="D92" i="13"/>
  <c r="C92" i="13"/>
  <c r="J91" i="13"/>
  <c r="I91" i="13"/>
  <c r="H91" i="13"/>
  <c r="G91" i="13"/>
  <c r="F91" i="13"/>
  <c r="E91" i="13"/>
  <c r="D91" i="13"/>
  <c r="C91" i="13"/>
  <c r="J90" i="13"/>
  <c r="I90" i="13"/>
  <c r="H90" i="13"/>
  <c r="G90" i="13"/>
  <c r="F90" i="13"/>
  <c r="E90" i="13"/>
  <c r="D90" i="13"/>
  <c r="C90" i="13"/>
  <c r="J89" i="13"/>
  <c r="I89" i="13"/>
  <c r="H89" i="13"/>
  <c r="G89" i="13"/>
  <c r="F89" i="13"/>
  <c r="E89" i="13"/>
  <c r="D89" i="13"/>
  <c r="C89" i="13"/>
  <c r="J88" i="13"/>
  <c r="I88" i="13"/>
  <c r="H88" i="13"/>
  <c r="G88" i="13"/>
  <c r="F88" i="13"/>
  <c r="E88" i="13"/>
  <c r="D88" i="13"/>
  <c r="C88" i="13"/>
  <c r="J87" i="13"/>
  <c r="I87" i="13"/>
  <c r="H87" i="13"/>
  <c r="G87" i="13"/>
  <c r="F87" i="13"/>
  <c r="E87" i="13"/>
  <c r="D87" i="13"/>
  <c r="C87" i="13"/>
  <c r="J86" i="13"/>
  <c r="I86" i="13"/>
  <c r="H86" i="13"/>
  <c r="G86" i="13"/>
  <c r="F86" i="13"/>
  <c r="E86" i="13"/>
  <c r="D86" i="13"/>
  <c r="C86" i="13"/>
  <c r="J85" i="13"/>
  <c r="I85" i="13"/>
  <c r="H85" i="13"/>
  <c r="G85" i="13"/>
  <c r="F85" i="13"/>
  <c r="E85" i="13"/>
  <c r="D85" i="13"/>
  <c r="C85" i="13"/>
  <c r="J84" i="13"/>
  <c r="I84" i="13"/>
  <c r="H84" i="13"/>
  <c r="G84" i="13"/>
  <c r="F84" i="13"/>
  <c r="E84" i="13"/>
  <c r="D84" i="13"/>
  <c r="C84" i="13"/>
  <c r="J83" i="13"/>
  <c r="I83" i="13"/>
  <c r="H83" i="13"/>
  <c r="G83" i="13"/>
  <c r="F83" i="13"/>
  <c r="E83" i="13"/>
  <c r="D83" i="13"/>
  <c r="C83" i="13"/>
  <c r="J82" i="13"/>
  <c r="I82" i="13"/>
  <c r="H82" i="13"/>
  <c r="G82" i="13"/>
  <c r="F82" i="13"/>
  <c r="E82" i="13"/>
  <c r="D82" i="13"/>
  <c r="C82" i="13"/>
  <c r="J81" i="13"/>
  <c r="I81" i="13"/>
  <c r="H81" i="13"/>
  <c r="G81" i="13"/>
  <c r="F81" i="13"/>
  <c r="E81" i="13"/>
  <c r="D81" i="13"/>
  <c r="C81" i="13"/>
  <c r="J80" i="13"/>
  <c r="I80" i="13"/>
  <c r="H80" i="13"/>
  <c r="G80" i="13"/>
  <c r="F80" i="13"/>
  <c r="E80" i="13"/>
  <c r="D80" i="13"/>
  <c r="C80" i="13"/>
  <c r="J79" i="13"/>
  <c r="I79" i="13"/>
  <c r="H79" i="13"/>
  <c r="G79" i="13"/>
  <c r="F79" i="13"/>
  <c r="E79" i="13"/>
  <c r="D79" i="13"/>
  <c r="C79" i="13"/>
  <c r="J78" i="13"/>
  <c r="I78" i="13"/>
  <c r="H78" i="13"/>
  <c r="G78" i="13"/>
  <c r="F78" i="13"/>
  <c r="E78" i="13"/>
  <c r="D78" i="13"/>
  <c r="C78" i="13"/>
  <c r="J77" i="13"/>
  <c r="I77" i="13"/>
  <c r="H77" i="13"/>
  <c r="G77" i="13"/>
  <c r="F77" i="13"/>
  <c r="E77" i="13"/>
  <c r="D77" i="13"/>
  <c r="C77" i="13"/>
  <c r="J76" i="13"/>
  <c r="I76" i="13"/>
  <c r="H76" i="13"/>
  <c r="G76" i="13"/>
  <c r="F76" i="13"/>
  <c r="E76" i="13"/>
  <c r="D76" i="13"/>
  <c r="C76" i="13"/>
  <c r="J75" i="13"/>
  <c r="I75" i="13"/>
  <c r="H75" i="13"/>
  <c r="G75" i="13"/>
  <c r="F75" i="13"/>
  <c r="E75" i="13"/>
  <c r="D75" i="13"/>
  <c r="C75" i="13"/>
  <c r="J74" i="13"/>
  <c r="I74" i="13"/>
  <c r="H74" i="13"/>
  <c r="G74" i="13"/>
  <c r="F74" i="13"/>
  <c r="E74" i="13"/>
  <c r="D74" i="13"/>
  <c r="C74" i="13"/>
  <c r="J73" i="13"/>
  <c r="I73" i="13"/>
  <c r="H73" i="13"/>
  <c r="G73" i="13"/>
  <c r="F73" i="13"/>
  <c r="E73" i="13"/>
  <c r="D73" i="13"/>
  <c r="C73" i="13"/>
  <c r="J72" i="13"/>
  <c r="I72" i="13"/>
  <c r="H72" i="13"/>
  <c r="G72" i="13"/>
  <c r="F72" i="13"/>
  <c r="E72" i="13"/>
  <c r="D72" i="13"/>
  <c r="C72" i="13"/>
  <c r="J71" i="13"/>
  <c r="I71" i="13"/>
  <c r="H71" i="13"/>
  <c r="G71" i="13"/>
  <c r="F71" i="13"/>
  <c r="E71" i="13"/>
  <c r="D71" i="13"/>
  <c r="C71" i="13"/>
  <c r="J70" i="13"/>
  <c r="I70" i="13"/>
  <c r="H70" i="13"/>
  <c r="G70" i="13"/>
  <c r="F70" i="13"/>
  <c r="E70" i="13"/>
  <c r="D70" i="13"/>
  <c r="C70" i="13"/>
  <c r="J69" i="13"/>
  <c r="I69" i="13"/>
  <c r="H69" i="13"/>
  <c r="G69" i="13"/>
  <c r="F69" i="13"/>
  <c r="E69" i="13"/>
  <c r="D69" i="13"/>
  <c r="C69" i="13"/>
  <c r="J68" i="13"/>
  <c r="I68" i="13"/>
  <c r="H68" i="13"/>
  <c r="G68" i="13"/>
  <c r="F68" i="13"/>
  <c r="E68" i="13"/>
  <c r="D68" i="13"/>
  <c r="C68" i="13"/>
  <c r="J67" i="13"/>
  <c r="I67" i="13"/>
  <c r="H67" i="13"/>
  <c r="G67" i="13"/>
  <c r="F67" i="13"/>
  <c r="E67" i="13"/>
  <c r="D67" i="13"/>
  <c r="C67" i="13"/>
  <c r="J66" i="13"/>
  <c r="I66" i="13"/>
  <c r="H66" i="13"/>
  <c r="G66" i="13"/>
  <c r="F66" i="13"/>
  <c r="E66" i="13"/>
  <c r="D66" i="13"/>
  <c r="C66" i="13"/>
  <c r="J65" i="13"/>
  <c r="I65" i="13"/>
  <c r="H65" i="13"/>
  <c r="G65" i="13"/>
  <c r="F65" i="13"/>
  <c r="E65" i="13"/>
  <c r="D65" i="13"/>
  <c r="C65" i="13"/>
  <c r="J64" i="13"/>
  <c r="I64" i="13"/>
  <c r="H64" i="13"/>
  <c r="G64" i="13"/>
  <c r="F64" i="13"/>
  <c r="E64" i="13"/>
  <c r="D64" i="13"/>
  <c r="C64" i="13"/>
  <c r="J63" i="13"/>
  <c r="I63" i="13"/>
  <c r="H63" i="13"/>
  <c r="G63" i="13"/>
  <c r="F63" i="13"/>
  <c r="E63" i="13"/>
  <c r="D63" i="13"/>
  <c r="C63" i="13"/>
  <c r="J62" i="13"/>
  <c r="I62" i="13"/>
  <c r="H62" i="13"/>
  <c r="G62" i="13"/>
  <c r="F62" i="13"/>
  <c r="E62" i="13"/>
  <c r="D62" i="13"/>
  <c r="C62" i="13"/>
  <c r="J61" i="13"/>
  <c r="I61" i="13"/>
  <c r="H61" i="13"/>
  <c r="G61" i="13"/>
  <c r="F61" i="13"/>
  <c r="E61" i="13"/>
  <c r="D61" i="13"/>
  <c r="C61" i="13"/>
  <c r="J60" i="13"/>
  <c r="I60" i="13"/>
  <c r="H60" i="13"/>
  <c r="G60" i="13"/>
  <c r="F60" i="13"/>
  <c r="E60" i="13"/>
  <c r="D60" i="13"/>
  <c r="C60" i="13"/>
  <c r="J59" i="13"/>
  <c r="I59" i="13"/>
  <c r="H59" i="13"/>
  <c r="G59" i="13"/>
  <c r="F59" i="13"/>
  <c r="E59" i="13"/>
  <c r="D59" i="13"/>
  <c r="C59" i="13"/>
  <c r="J58" i="13"/>
  <c r="I58" i="13"/>
  <c r="H58" i="13"/>
  <c r="G58" i="13"/>
  <c r="F58" i="13"/>
  <c r="E58" i="13"/>
  <c r="D58" i="13"/>
  <c r="C58" i="13"/>
  <c r="J57" i="13"/>
  <c r="I57" i="13"/>
  <c r="H57" i="13"/>
  <c r="G57" i="13"/>
  <c r="F57" i="13"/>
  <c r="E57" i="13"/>
  <c r="D57" i="13"/>
  <c r="C57" i="13"/>
  <c r="J56" i="13"/>
  <c r="I56" i="13"/>
  <c r="H56" i="13"/>
  <c r="G56" i="13"/>
  <c r="F56" i="13"/>
  <c r="E56" i="13"/>
  <c r="D56" i="13"/>
  <c r="C56" i="13"/>
  <c r="J55" i="13"/>
  <c r="I55" i="13"/>
  <c r="H55" i="13"/>
  <c r="G55" i="13"/>
  <c r="F55" i="13"/>
  <c r="E55" i="13"/>
  <c r="D55" i="13"/>
  <c r="C55" i="13"/>
  <c r="J54" i="13"/>
  <c r="I54" i="13"/>
  <c r="H54" i="13"/>
  <c r="G54" i="13"/>
  <c r="F54" i="13"/>
  <c r="E54" i="13"/>
  <c r="D54" i="13"/>
  <c r="C54" i="13"/>
  <c r="B23" i="22"/>
  <c r="C17" i="13" l="1"/>
  <c r="D17" i="13"/>
  <c r="E17" i="13"/>
  <c r="F17" i="13"/>
  <c r="G17" i="13"/>
  <c r="H17" i="13"/>
  <c r="I17" i="13"/>
  <c r="J17" i="13"/>
  <c r="C18" i="13"/>
  <c r="D18" i="13"/>
  <c r="E18" i="13"/>
  <c r="F18" i="13"/>
  <c r="G18" i="13"/>
  <c r="H18" i="13"/>
  <c r="I18" i="13"/>
  <c r="J18" i="13"/>
  <c r="C19" i="13"/>
  <c r="D19" i="13"/>
  <c r="E19" i="13"/>
  <c r="F19" i="13"/>
  <c r="G19" i="13"/>
  <c r="H19" i="13"/>
  <c r="I19" i="13"/>
  <c r="J19" i="13"/>
  <c r="C20" i="13"/>
  <c r="D20" i="13"/>
  <c r="E20" i="13"/>
  <c r="F20" i="13"/>
  <c r="G20" i="13"/>
  <c r="H20" i="13"/>
  <c r="I20" i="13"/>
  <c r="J20" i="13"/>
  <c r="C21" i="13"/>
  <c r="D21" i="13"/>
  <c r="E21" i="13"/>
  <c r="F21" i="13"/>
  <c r="G21" i="13"/>
  <c r="H21" i="13"/>
  <c r="I21" i="13"/>
  <c r="J21" i="13"/>
  <c r="C22" i="13"/>
  <c r="D22" i="13"/>
  <c r="E22" i="13"/>
  <c r="F22" i="13"/>
  <c r="G22" i="13"/>
  <c r="H22" i="13"/>
  <c r="I22" i="13"/>
  <c r="J22" i="13"/>
  <c r="C23" i="13"/>
  <c r="D23" i="13"/>
  <c r="E23" i="13"/>
  <c r="F23" i="13"/>
  <c r="G23" i="13"/>
  <c r="H23" i="13"/>
  <c r="I23" i="13"/>
  <c r="J23" i="13"/>
  <c r="C24" i="13"/>
  <c r="D24" i="13"/>
  <c r="E24" i="13"/>
  <c r="F24" i="13"/>
  <c r="G24" i="13"/>
  <c r="H24" i="13"/>
  <c r="I24" i="13"/>
  <c r="J24" i="13"/>
  <c r="C25" i="13"/>
  <c r="D25" i="13"/>
  <c r="E25" i="13"/>
  <c r="F25" i="13"/>
  <c r="G25" i="13"/>
  <c r="H25" i="13"/>
  <c r="I25" i="13"/>
  <c r="J25" i="13"/>
  <c r="C26" i="13"/>
  <c r="D26" i="13"/>
  <c r="E26" i="13"/>
  <c r="F26" i="13"/>
  <c r="G26" i="13"/>
  <c r="H26" i="13"/>
  <c r="I26" i="13"/>
  <c r="J26" i="13"/>
  <c r="C27" i="13"/>
  <c r="D27" i="13"/>
  <c r="E27" i="13"/>
  <c r="F27" i="13"/>
  <c r="G27" i="13"/>
  <c r="H27" i="13"/>
  <c r="I27" i="13"/>
  <c r="J27" i="13"/>
  <c r="C28" i="13"/>
  <c r="D28" i="13"/>
  <c r="E28" i="13"/>
  <c r="F28" i="13"/>
  <c r="G28" i="13"/>
  <c r="H28" i="13"/>
  <c r="I28" i="13"/>
  <c r="J28" i="13"/>
  <c r="C29" i="13"/>
  <c r="D29" i="13"/>
  <c r="E29" i="13"/>
  <c r="F29" i="13"/>
  <c r="G29" i="13"/>
  <c r="H29" i="13"/>
  <c r="I29" i="13"/>
  <c r="J29" i="13"/>
  <c r="C30" i="13"/>
  <c r="D30" i="13"/>
  <c r="E30" i="13"/>
  <c r="F30" i="13"/>
  <c r="G30" i="13"/>
  <c r="H30" i="13"/>
  <c r="I30" i="13"/>
  <c r="J30" i="13"/>
  <c r="C31" i="13"/>
  <c r="D31" i="13"/>
  <c r="E31" i="13"/>
  <c r="F31" i="13"/>
  <c r="G31" i="13"/>
  <c r="H31" i="13"/>
  <c r="I31" i="13"/>
  <c r="J31" i="13"/>
  <c r="C32" i="13"/>
  <c r="D32" i="13"/>
  <c r="E32" i="13"/>
  <c r="F32" i="13"/>
  <c r="G32" i="13"/>
  <c r="H32" i="13"/>
  <c r="I32" i="13"/>
  <c r="J32" i="13"/>
  <c r="C33" i="13"/>
  <c r="D33" i="13"/>
  <c r="E33" i="13"/>
  <c r="F33" i="13"/>
  <c r="G33" i="13"/>
  <c r="H33" i="13"/>
  <c r="I33" i="13"/>
  <c r="J33" i="13"/>
  <c r="C34" i="13"/>
  <c r="D34" i="13"/>
  <c r="E34" i="13"/>
  <c r="F34" i="13"/>
  <c r="G34" i="13"/>
  <c r="H34" i="13"/>
  <c r="I34" i="13"/>
  <c r="J34" i="13"/>
  <c r="C35" i="13"/>
  <c r="D35" i="13"/>
  <c r="E35" i="13"/>
  <c r="F35" i="13"/>
  <c r="G35" i="13"/>
  <c r="H35" i="13"/>
  <c r="I35" i="13"/>
  <c r="J35" i="13"/>
  <c r="C36" i="13"/>
  <c r="D36" i="13"/>
  <c r="E36" i="13"/>
  <c r="F36" i="13"/>
  <c r="G36" i="13"/>
  <c r="H36" i="13"/>
  <c r="I36" i="13"/>
  <c r="J36" i="13"/>
  <c r="D16" i="13"/>
  <c r="E16" i="13"/>
  <c r="F16" i="13"/>
  <c r="G16" i="13"/>
  <c r="H16" i="13"/>
  <c r="I16" i="13"/>
  <c r="J16" i="13"/>
  <c r="E24" i="22"/>
  <c r="E16" i="22"/>
  <c r="D16" i="22"/>
  <c r="D24" i="22"/>
  <c r="E17" i="22"/>
  <c r="D23" i="22"/>
  <c r="E23" i="22"/>
  <c r="D17" i="22"/>
  <c r="B4" i="12" l="1"/>
  <c r="B5" i="12"/>
  <c r="B7" i="12"/>
  <c r="B9" i="12"/>
  <c r="B11" i="12"/>
  <c r="B12" i="12"/>
  <c r="B13" i="12"/>
  <c r="B14" i="12"/>
  <c r="B15" i="12"/>
  <c r="B3" i="12"/>
  <c r="F24" i="22"/>
  <c r="G17" i="22"/>
  <c r="B16" i="22"/>
  <c r="H18" i="22"/>
  <c r="B24" i="22"/>
  <c r="F17" i="22"/>
  <c r="F18" i="22"/>
  <c r="F25" i="22"/>
  <c r="H17" i="22"/>
  <c r="D25" i="22"/>
  <c r="G18" i="22"/>
  <c r="B25" i="22"/>
  <c r="E25" i="22"/>
  <c r="B17" i="22"/>
  <c r="O14" i="12" l="1"/>
  <c r="U14" i="12"/>
  <c r="Q14" i="12"/>
  <c r="S14" i="12"/>
  <c r="T14" i="12"/>
  <c r="R14" i="12"/>
  <c r="P14" i="12"/>
  <c r="O8" i="12"/>
  <c r="R8" i="12"/>
  <c r="Q8" i="12"/>
  <c r="T8" i="12"/>
  <c r="S8" i="12"/>
  <c r="U8" i="12"/>
  <c r="P8" i="12"/>
  <c r="T4" i="12"/>
  <c r="S4" i="12"/>
  <c r="P4" i="12"/>
  <c r="Q4" i="12"/>
  <c r="O4" i="12"/>
  <c r="R4" i="12"/>
  <c r="U4" i="12"/>
  <c r="O13" i="12"/>
  <c r="U13" i="12"/>
  <c r="R13" i="12"/>
  <c r="Q13" i="12"/>
  <c r="P13" i="12"/>
  <c r="T13" i="12"/>
  <c r="S13" i="12"/>
  <c r="P6" i="12"/>
  <c r="T6" i="12"/>
  <c r="O6" i="12"/>
  <c r="R6" i="12"/>
  <c r="S6" i="12"/>
  <c r="U6" i="12"/>
  <c r="Q6" i="12"/>
  <c r="R16" i="12"/>
  <c r="Q16" i="12"/>
  <c r="S16" i="12"/>
  <c r="U16" i="12"/>
  <c r="O16" i="12"/>
  <c r="T16" i="12"/>
  <c r="P16" i="12"/>
  <c r="P12" i="12"/>
  <c r="T12" i="12"/>
  <c r="S12" i="12"/>
  <c r="Q12" i="12"/>
  <c r="O12" i="12"/>
  <c r="R12" i="12"/>
  <c r="U12" i="12"/>
  <c r="S5" i="12"/>
  <c r="U5" i="12"/>
  <c r="P5" i="12"/>
  <c r="Q5" i="12"/>
  <c r="T5" i="12"/>
  <c r="O5" i="12"/>
  <c r="R5" i="12"/>
  <c r="U15" i="12"/>
  <c r="S15" i="12"/>
  <c r="Q15" i="12"/>
  <c r="P15" i="12"/>
  <c r="O15" i="12"/>
  <c r="R15" i="12"/>
  <c r="T15" i="12"/>
  <c r="P10" i="12"/>
  <c r="U10" i="12"/>
  <c r="T10" i="12"/>
  <c r="R10" i="12"/>
  <c r="O10" i="12"/>
  <c r="S10" i="12"/>
  <c r="Q10" i="12"/>
  <c r="F51" i="22"/>
  <c r="E53" i="22"/>
  <c r="H54" i="22"/>
  <c r="F56" i="22"/>
  <c r="E54" i="22"/>
  <c r="D50" i="22"/>
  <c r="F23" i="22"/>
  <c r="D60" i="22"/>
  <c r="G25" i="22"/>
  <c r="F54" i="22"/>
  <c r="F55" i="22"/>
  <c r="D56" i="22"/>
  <c r="F60" i="22"/>
  <c r="G50" i="22"/>
  <c r="G61" i="22"/>
  <c r="B18" i="22"/>
  <c r="H57" i="22"/>
  <c r="H53" i="22"/>
  <c r="G54" i="22"/>
  <c r="D49" i="22"/>
  <c r="D58" i="22"/>
  <c r="E50" i="22"/>
  <c r="B52" i="22"/>
  <c r="F61" i="22"/>
  <c r="D59" i="22"/>
  <c r="G52" i="22"/>
  <c r="H51" i="22"/>
  <c r="H52" i="22"/>
  <c r="D53" i="22"/>
  <c r="F52" i="22"/>
  <c r="H25" i="22"/>
  <c r="H60" i="22"/>
  <c r="H58" i="22"/>
  <c r="G56" i="22"/>
  <c r="E61" i="22"/>
  <c r="H56" i="22"/>
  <c r="H55" i="22"/>
  <c r="E55" i="22"/>
  <c r="D61" i="22"/>
  <c r="F16" i="22"/>
  <c r="G60" i="22"/>
  <c r="D18" i="22"/>
  <c r="D52" i="22"/>
  <c r="B56" i="22"/>
  <c r="B54" i="22"/>
  <c r="E56" i="22"/>
  <c r="D54" i="22"/>
  <c r="E18" i="22"/>
  <c r="H24" i="22"/>
  <c r="G24" i="22"/>
  <c r="E52" i="22"/>
  <c r="H59" i="22"/>
  <c r="G59" i="22"/>
  <c r="B19" i="22" l="1"/>
  <c r="B29" i="22" s="1"/>
  <c r="B26" i="22"/>
  <c r="D51" i="22"/>
  <c r="D38" i="22"/>
  <c r="H42" i="22"/>
  <c r="H43" i="22"/>
  <c r="E45" i="22"/>
  <c r="G40" i="22"/>
  <c r="H39" i="22"/>
  <c r="H38" i="22"/>
  <c r="F57" i="22"/>
  <c r="H36" i="22"/>
  <c r="E36" i="22"/>
  <c r="H61" i="22"/>
  <c r="H35" i="22"/>
  <c r="E58" i="22"/>
  <c r="D44" i="22"/>
  <c r="F49" i="22"/>
  <c r="E59" i="22"/>
  <c r="H49" i="22"/>
  <c r="F58" i="22"/>
  <c r="G43" i="22"/>
  <c r="F35" i="22"/>
  <c r="D45" i="22"/>
  <c r="H50" i="22"/>
  <c r="F45" i="22"/>
  <c r="E39" i="22"/>
  <c r="E51" i="22"/>
  <c r="F40" i="22"/>
  <c r="G51" i="22"/>
  <c r="B38" i="22"/>
  <c r="F44" i="22"/>
  <c r="E34" i="22"/>
  <c r="E40" i="22"/>
  <c r="F53" i="22"/>
  <c r="F39" i="22"/>
  <c r="H41" i="22"/>
  <c r="G49" i="22"/>
  <c r="E43" i="22"/>
  <c r="D43" i="22"/>
  <c r="H40" i="22"/>
  <c r="F36" i="22"/>
  <c r="D55" i="22"/>
  <c r="G45" i="22"/>
  <c r="G53" i="22"/>
  <c r="D39" i="22"/>
  <c r="G38" i="22"/>
  <c r="G58" i="22"/>
  <c r="D42" i="22"/>
  <c r="G57" i="22"/>
  <c r="G44" i="22"/>
  <c r="G16" i="22"/>
  <c r="D40" i="22"/>
  <c r="E38" i="22"/>
  <c r="D57" i="22"/>
  <c r="D37" i="22"/>
  <c r="B40" i="22"/>
  <c r="E49" i="22"/>
  <c r="E37" i="22"/>
  <c r="G34" i="22"/>
  <c r="F38" i="22"/>
  <c r="F50" i="22"/>
  <c r="D36" i="22"/>
  <c r="B36" i="22"/>
  <c r="E60" i="22"/>
  <c r="H37" i="22"/>
  <c r="H16" i="22"/>
  <c r="H44" i="22"/>
  <c r="F59" i="22"/>
  <c r="H23" i="22"/>
  <c r="E57" i="22"/>
  <c r="G36" i="22"/>
  <c r="F41" i="22"/>
  <c r="D34" i="22"/>
  <c r="D19" i="22" l="1"/>
  <c r="D29" i="22" s="1"/>
  <c r="E26" i="22"/>
  <c r="D26" i="22"/>
  <c r="O37" i="20"/>
  <c r="O37" i="18"/>
  <c r="E19" i="22"/>
  <c r="E29" i="22" s="1"/>
  <c r="D41" i="22"/>
  <c r="F37" i="22"/>
  <c r="C61" i="22"/>
  <c r="B59" i="22"/>
  <c r="C60" i="22"/>
  <c r="E44" i="22"/>
  <c r="D33" i="22"/>
  <c r="G35" i="22"/>
  <c r="B57" i="22"/>
  <c r="C58" i="22"/>
  <c r="B61" i="22"/>
  <c r="B51" i="22"/>
  <c r="E35" i="22"/>
  <c r="E42" i="22"/>
  <c r="F33" i="22"/>
  <c r="B49" i="22"/>
  <c r="G41" i="22"/>
  <c r="C53" i="22"/>
  <c r="H34" i="22"/>
  <c r="G42" i="22"/>
  <c r="G55" i="22"/>
  <c r="C59" i="22"/>
  <c r="E41" i="22"/>
  <c r="B53" i="22"/>
  <c r="B60" i="22"/>
  <c r="C57" i="22"/>
  <c r="F42" i="22"/>
  <c r="G37" i="22"/>
  <c r="C55" i="22"/>
  <c r="F34" i="22"/>
  <c r="C51" i="22"/>
  <c r="C50" i="22"/>
  <c r="G33" i="22"/>
  <c r="G23" i="22"/>
  <c r="C56" i="22"/>
  <c r="D35" i="22"/>
  <c r="H45" i="22"/>
  <c r="B55" i="22"/>
  <c r="C49" i="22"/>
  <c r="C54" i="22"/>
  <c r="C52" i="22"/>
  <c r="B50" i="22"/>
  <c r="H33" i="22"/>
  <c r="F43" i="22"/>
  <c r="B58" i="22"/>
  <c r="E33" i="22"/>
  <c r="I50" i="22" l="1"/>
  <c r="I60" i="22"/>
  <c r="I54" i="22"/>
  <c r="I51" i="22"/>
  <c r="I49" i="22"/>
  <c r="I56" i="22"/>
  <c r="I59" i="22"/>
  <c r="I57" i="22"/>
  <c r="I52" i="22"/>
  <c r="I55" i="22"/>
  <c r="I61" i="22"/>
  <c r="I53" i="22"/>
  <c r="I58" i="22"/>
  <c r="F26" i="22"/>
  <c r="F19" i="22"/>
  <c r="F29" i="22" s="1"/>
  <c r="B39" i="22"/>
  <c r="C36" i="22"/>
  <c r="C44" i="22"/>
  <c r="C24" i="22"/>
  <c r="C23" i="22"/>
  <c r="C38" i="22"/>
  <c r="B33" i="22"/>
  <c r="C43" i="22"/>
  <c r="C25" i="22"/>
  <c r="C42" i="22"/>
  <c r="B44" i="22"/>
  <c r="C33" i="22"/>
  <c r="B35" i="22"/>
  <c r="B34" i="22"/>
  <c r="B42" i="22"/>
  <c r="C35" i="22"/>
  <c r="C41" i="22"/>
  <c r="C39" i="22"/>
  <c r="C34" i="22"/>
  <c r="B41" i="22"/>
  <c r="C37" i="22"/>
  <c r="C45" i="22"/>
  <c r="B45" i="22"/>
  <c r="G39" i="22"/>
  <c r="C40" i="22"/>
  <c r="B37" i="22"/>
  <c r="B43" i="22"/>
  <c r="I62" i="22" l="1"/>
  <c r="H26" i="22"/>
  <c r="G26" i="22"/>
  <c r="G19" i="22"/>
  <c r="G29" i="22" s="1"/>
  <c r="H19" i="22"/>
  <c r="H29" i="22" s="1"/>
  <c r="C17" i="22"/>
  <c r="C16" i="22"/>
  <c r="C18" i="22"/>
  <c r="G46" i="22" l="1"/>
  <c r="G30" i="22" s="1"/>
  <c r="E46" i="22"/>
  <c r="E30" i="22" s="1"/>
  <c r="F46" i="22"/>
  <c r="F30" i="22" s="1"/>
  <c r="D46" i="22"/>
  <c r="D30" i="22" s="1"/>
  <c r="H46" i="22"/>
  <c r="H30" i="22" s="1"/>
  <c r="E62" i="22"/>
  <c r="F62" i="22"/>
  <c r="G62" i="22"/>
  <c r="D62" i="22"/>
  <c r="H62" i="22"/>
  <c r="B46" i="22" l="1"/>
  <c r="B30" i="22" s="1"/>
  <c r="C26" i="22"/>
  <c r="I23" i="22"/>
  <c r="I24" i="22"/>
  <c r="I25" i="22"/>
  <c r="B62" i="22"/>
  <c r="I40" i="22"/>
  <c r="I37" i="22"/>
  <c r="I45" i="22"/>
  <c r="I16" i="22"/>
  <c r="C19" i="22"/>
  <c r="C29" i="22" s="1"/>
  <c r="C46" i="22"/>
  <c r="C30" i="22" s="1"/>
  <c r="I33" i="22"/>
  <c r="I44" i="22"/>
  <c r="I43" i="22"/>
  <c r="I34" i="22"/>
  <c r="I36" i="22"/>
  <c r="I38" i="22"/>
  <c r="I41" i="22"/>
  <c r="I42" i="22"/>
  <c r="I39" i="22"/>
  <c r="I17" i="22"/>
  <c r="I35" i="22"/>
  <c r="I18" i="22"/>
  <c r="C62" i="22"/>
  <c r="I26" i="22" l="1"/>
  <c r="I19" i="22"/>
  <c r="I29" i="22" s="1"/>
  <c r="I46" i="22"/>
  <c r="I30" i="22" s="1"/>
</calcChain>
</file>

<file path=xl/comments1.xml><?xml version="1.0" encoding="utf-8"?>
<comments xmlns="http://schemas.openxmlformats.org/spreadsheetml/2006/main">
  <authors>
    <author>Childs, Rush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Still need to adjust for installed capacity</t>
        </r>
      </text>
    </comment>
  </commentList>
</comments>
</file>

<file path=xl/comments10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comments11.xml><?xml version="1.0" encoding="utf-8"?>
<comments xmlns="http://schemas.openxmlformats.org/spreadsheetml/2006/main">
  <authors>
    <author>Cross, Lori J</author>
    <author>Childs, Rush</author>
  </authors>
  <commentList>
    <comment ref="W5" authorId="0" shapeId="0">
      <text>
        <r>
          <rPr>
            <b/>
            <sz val="9"/>
            <color indexed="81"/>
            <rFont val="Tahoma"/>
            <family val="2"/>
          </rPr>
          <t>Cross, Lori J:</t>
        </r>
        <r>
          <rPr>
            <sz val="9"/>
            <color indexed="81"/>
            <rFont val="Tahoma"/>
            <family val="2"/>
          </rPr>
          <t xml:space="preserve">
should match cells B5.B13
</t>
        </r>
        <r>
          <rPr>
            <b/>
            <sz val="9"/>
            <color indexed="81"/>
            <rFont val="Tahoma"/>
            <family val="2"/>
          </rPr>
          <t>Byron:</t>
        </r>
        <r>
          <rPr>
            <sz val="9"/>
            <color indexed="81"/>
            <rFont val="Tahoma"/>
            <family val="2"/>
          </rPr>
          <t xml:space="preserve">
This model should take into consideration the impacts of DSM. The values for DEF here are correct, but the formula was not pulled across for the other utilities. I have now incorported this change.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</rPr>
          <t>Cross, Lori J:</t>
        </r>
        <r>
          <rPr>
            <sz val="9"/>
            <color indexed="81"/>
            <rFont val="Tahoma"/>
            <family val="2"/>
          </rPr>
          <t xml:space="preserve">
should match B42.B48
</t>
        </r>
        <r>
          <rPr>
            <b/>
            <sz val="9"/>
            <color indexed="81"/>
            <rFont val="Tahoma"/>
            <family val="2"/>
          </rPr>
          <t xml:space="preserve">Byron:
</t>
        </r>
        <r>
          <rPr>
            <sz val="9"/>
            <color indexed="81"/>
            <rFont val="Tahoma"/>
            <family val="2"/>
          </rPr>
          <t xml:space="preserve">See comment above. </t>
        </r>
      </text>
    </comment>
    <comment ref="M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calculated by applying segment information from billing data to CBECS avg. square foot by customer type</t>
        </r>
      </text>
    </comment>
    <comment ref="N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calculated by applying segment information from billing data to CBECS avg. square foot by customer type</t>
        </r>
      </text>
    </comment>
    <comment ref="O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Applied Gulf segment shares</t>
        </r>
      </text>
    </comment>
    <comment ref="P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Estimates provided by Gulf</t>
        </r>
      </text>
    </comment>
    <comment ref="Q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combine load/consumption data from JEA w/ CBECS avg. ft2</t>
        </r>
      </text>
    </comment>
    <comment ref="R57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Consumption shares from ? Applied to CBECS avg. consumption; apply CBEC avg. ft2 to get segment share</t>
        </r>
      </text>
    </comment>
  </commentList>
</comments>
</file>

<file path=xl/comments12.xml><?xml version="1.0" encoding="utf-8"?>
<comments xmlns="http://schemas.openxmlformats.org/spreadsheetml/2006/main">
  <authors>
    <author>Childs, Rush</author>
    <author>Byron Boyle</author>
    <author>Sridhar, Vikram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updated values from Lori Cross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3B.12 - FPL Average Residential Square Footage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FPL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DEF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Gulf RSS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JEA Appliance Socket Survey Report 9-25-13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RECS 2015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1/31 Lori instructed to use the same FPL assumption of 813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FPL</t>
        </r>
      </text>
    </comment>
    <comment ref="J68" authorId="2" shapeId="0">
      <text>
        <r>
          <rPr>
            <b/>
            <sz val="9"/>
            <color indexed="81"/>
            <rFont val="Tahoma"/>
            <family val="2"/>
          </rPr>
          <t>Sridhar, Vikram:</t>
        </r>
        <r>
          <rPr>
            <sz val="9"/>
            <color indexed="81"/>
            <rFont val="Tahoma"/>
            <family val="2"/>
          </rPr>
          <t xml:space="preserve">
Considered buildings from 2013</t>
        </r>
      </text>
    </comment>
  </commentList>
</comments>
</file>

<file path=xl/comments13.xml><?xml version="1.0" encoding="utf-8"?>
<comments xmlns="http://schemas.openxmlformats.org/spreadsheetml/2006/main">
  <authors>
    <author>Sridhar, Vikram</author>
    <author>Childs, Rush</author>
    <author>Byron Boyle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Sridhar, Vikram:</t>
        </r>
        <r>
          <rPr>
            <sz val="9"/>
            <color indexed="81"/>
            <rFont val="Tahoma"/>
            <family val="2"/>
          </rPr>
          <t xml:space="preserve">
Nameplate Density of the PV system. 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Sridhar, Vikram:</t>
        </r>
        <r>
          <rPr>
            <sz val="9"/>
            <color indexed="81"/>
            <rFont val="Tahoma"/>
            <family val="2"/>
          </rPr>
          <t xml:space="preserve">
AC Power produced per kW of the system. Used to convert kW to Kwh. AC from PV Watts factors in inverter losses and capacity factor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Sridhar, Vikram:</t>
        </r>
        <r>
          <rPr>
            <sz val="9"/>
            <color indexed="81"/>
            <rFont val="Tahoma"/>
            <family val="2"/>
          </rPr>
          <t xml:space="preserve">
Nameplate Density of the PV system. 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updated to use FPL residential solar capacity factor from PV pilot, at request of FPL</t>
        </r>
      </text>
    </comment>
    <comment ref="D8" authorId="2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Per Lori's instructions, "Base on weighted average of Tampa, Orlando, and Tallahassee locations - 45%, 45%, and 10%."</t>
        </r>
      </text>
    </comment>
    <comment ref="C61" authorId="2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Per Lori's instructions, "Base on weighted average of Tampa, Orlando, and Tallahassee locations - 45%, 45%, and 10%."</t>
        </r>
      </text>
    </comment>
  </commentList>
</comments>
</file>

<file path=xl/comments14.xml><?xml version="1.0" encoding="utf-8"?>
<comments xmlns="http://schemas.openxmlformats.org/spreadsheetml/2006/main">
  <authors>
    <author>Sridhar, Vikram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Sridhar, Vikram:</t>
        </r>
        <r>
          <rPr>
            <sz val="9"/>
            <color indexed="81"/>
            <rFont val="Tahoma"/>
            <family val="2"/>
          </rPr>
          <t xml:space="preserve">
Table 5-15 Annual Generation Factors for PV</t>
        </r>
      </text>
    </comment>
  </commentList>
</comments>
</file>

<file path=xl/comments2.xml><?xml version="1.0" encoding="utf-8"?>
<comments xmlns="http://schemas.openxmlformats.org/spreadsheetml/2006/main">
  <authors>
    <author>Byron Boyle</author>
    <author>Cross, Lori J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Per Lori's instructions, "Base on weighted average of Tampa, Orlando, and Tallahassee locations - 45%, 45%, and 10%."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Cross, Lori J:</t>
        </r>
        <r>
          <rPr>
            <sz val="9"/>
            <color indexed="81"/>
            <rFont val="Tahoma"/>
            <family val="2"/>
          </rPr>
          <t xml:space="preserve">
This doesn't look right.  Cell referenced in formula has incorrect data.
</t>
        </r>
        <r>
          <rPr>
            <b/>
            <sz val="9"/>
            <color indexed="81"/>
            <rFont val="Tahoma"/>
            <family val="2"/>
          </rPr>
          <t xml:space="preserve">Byron: </t>
        </r>
        <r>
          <rPr>
            <sz val="9"/>
            <color indexed="81"/>
            <rFont val="Tahoma"/>
            <family val="2"/>
          </rPr>
          <t>This model should take into consideration the impacts of DSM. The values for DEF here are correct, but the formula was not pulled across for the other utilities. I have now incorported this change on the forecast tab.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Cross, Lori J:</t>
        </r>
        <r>
          <rPr>
            <sz val="9"/>
            <color indexed="81"/>
            <rFont val="Tahoma"/>
            <family val="2"/>
          </rPr>
          <t xml:space="preserve">
Same comment as above.
</t>
        </r>
        <r>
          <rPr>
            <b/>
            <sz val="9"/>
            <color indexed="81"/>
            <rFont val="Tahoma"/>
            <family val="2"/>
          </rPr>
          <t>Byron:</t>
        </r>
        <r>
          <rPr>
            <sz val="9"/>
            <color indexed="81"/>
            <rFont val="Tahoma"/>
            <family val="2"/>
          </rPr>
          <t xml:space="preserve"> This model should take into consideration the impacts of DSM. The values for DEF here are correct, but the formula was not pulled across for the other utilities. I have now incorported this change on the forecast tab.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Cross, Lori J:</t>
        </r>
        <r>
          <rPr>
            <sz val="9"/>
            <color indexed="81"/>
            <rFont val="Tahoma"/>
            <family val="2"/>
          </rPr>
          <t xml:space="preserve">
This number also looks incorrect, </t>
        </r>
      </text>
    </comment>
  </commentList>
</comments>
</file>

<file path=xl/comments3.xml><?xml version="1.0" encoding="utf-8"?>
<comments xmlns="http://schemas.openxmlformats.org/spreadsheetml/2006/main">
  <authors>
    <author>Childs, Rush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Childs, Rush:</t>
        </r>
        <r>
          <rPr>
            <sz val="9"/>
            <color indexed="81"/>
            <rFont val="Tahoma"/>
            <family val="2"/>
          </rPr>
          <t xml:space="preserve">
Values from FPL solar pilot used, at request of FPL</t>
        </r>
      </text>
    </comment>
  </commentList>
</comments>
</file>

<file path=xl/comments4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comments5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comments6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comments7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Assumes a $70 one-time program cost (per TECO) for an array size of 4,000 watts. (4,000 W / 17.1 W/SqFt = 233.9 ft)</t>
        </r>
      </text>
    </comment>
  </commentList>
</comments>
</file>

<file path=xl/comments8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comments9.xml><?xml version="1.0" encoding="utf-8"?>
<comments xmlns="http://schemas.openxmlformats.org/spreadsheetml/2006/main">
  <authors>
    <author>Byron Boyle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Byron Boyle:</t>
        </r>
        <r>
          <rPr>
            <sz val="9"/>
            <color indexed="81"/>
            <rFont val="Tahoma"/>
            <family val="2"/>
          </rPr>
          <t xml:space="preserve">
Dividing montly generation at the peak summer/winter period by the number of days (31) converting to watts and dividing by the square footage of a 4kW (4,000w/17.1 w/sqft) PV array. </t>
        </r>
      </text>
    </comment>
  </commentList>
</comments>
</file>

<file path=xl/sharedStrings.xml><?xml version="1.0" encoding="utf-8"?>
<sst xmlns="http://schemas.openxmlformats.org/spreadsheetml/2006/main" count="1614" uniqueCount="262">
  <si>
    <t>Utility</t>
  </si>
  <si>
    <t>Residential</t>
  </si>
  <si>
    <t>Commercial</t>
  </si>
  <si>
    <t>Other</t>
  </si>
  <si>
    <t>Segment</t>
  </si>
  <si>
    <t>Sector</t>
  </si>
  <si>
    <t>Single Family</t>
  </si>
  <si>
    <t>Source</t>
  </si>
  <si>
    <t>Education</t>
  </si>
  <si>
    <t>Lodging</t>
  </si>
  <si>
    <t>Office</t>
  </si>
  <si>
    <t>Industrial</t>
  </si>
  <si>
    <t>Service</t>
  </si>
  <si>
    <t>Number of Premises</t>
  </si>
  <si>
    <t>Average Square Footage</t>
  </si>
  <si>
    <t>Average No of Stories</t>
  </si>
  <si>
    <t>Sloped Roof (%)</t>
  </si>
  <si>
    <t>Flat Roof (%)</t>
  </si>
  <si>
    <t>Usuable Roof Share Pitch</t>
  </si>
  <si>
    <t>Usuable Roof Share Flat</t>
  </si>
  <si>
    <t>Capacity factor</t>
  </si>
  <si>
    <t>Total</t>
  </si>
  <si>
    <t>Inverter efficiency</t>
  </si>
  <si>
    <t>Average</t>
  </si>
  <si>
    <t xml:space="preserve">In 2016, NREL released a new report calculating the technical potential for solar in the States. </t>
  </si>
  <si>
    <t>The report used GIS Mapping and lidar data to quantify solar sites across the country.</t>
  </si>
  <si>
    <t>The report also mentioned the Navigant approach and stated it wasn't the most reliable approach</t>
  </si>
  <si>
    <t>Literature Review:</t>
  </si>
  <si>
    <t>PVWatts: Monthly PV Performance Data</t>
  </si>
  <si>
    <t>Requested Location:</t>
  </si>
  <si>
    <t>Location:</t>
  </si>
  <si>
    <t>MIAMI, FL</t>
  </si>
  <si>
    <t>Lat (deg N):</t>
  </si>
  <si>
    <t>Long (deg W):</t>
  </si>
  <si>
    <t>Elev (m):</t>
  </si>
  <si>
    <t>DC System Size (kW):</t>
  </si>
  <si>
    <t>Module Type:</t>
  </si>
  <si>
    <t>Standard</t>
  </si>
  <si>
    <t>Array Type: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</si>
  <si>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</si>
  <si>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</si>
  <si>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</si>
  <si>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</si>
  <si>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</si>
  <si>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</si>
  <si>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Capacity Factor (%)</t>
  </si>
  <si>
    <t>Month</t>
  </si>
  <si>
    <t>AC System Output(kWh)</t>
  </si>
  <si>
    <t>Solar Radiation (kWh/m^2/day)</t>
  </si>
  <si>
    <t>Plane of Array Irradiance (W/m^2)</t>
  </si>
  <si>
    <t>DC array Output (kWh)</t>
  </si>
  <si>
    <t>Value ($)</t>
  </si>
  <si>
    <t>Methodology:</t>
  </si>
  <si>
    <t>Technical Potential Formula:</t>
  </si>
  <si>
    <t>Usable PV Area = Number of Premises x (Average Square Footage/ Average No. of Stories) x ((% of Sloped Roofs x Usable Area of Sloped Roofs)+(% of Flat Roofs x Usable Area of Flat Roofs))</t>
  </si>
  <si>
    <t>where:</t>
  </si>
  <si>
    <t>Acquired from Forecast Diasggregation</t>
  </si>
  <si>
    <t>Acquired from Forecast Diasggregation/Nexant Research Data</t>
  </si>
  <si>
    <t>Nexant Research Data</t>
  </si>
  <si>
    <t>PV Density = Solar Radiation (kWh/m^2/day) from PV Watts Calculator based on designated location.</t>
  </si>
  <si>
    <t>Capacity Factor = Utility based number</t>
  </si>
  <si>
    <t>Usable PV Area x PV Density/1000 x Capacity Factor x Energy Savings Factor</t>
  </si>
  <si>
    <t>Energy Savings Factor = PV Watts Calculator Number</t>
  </si>
  <si>
    <t>Variable</t>
  </si>
  <si>
    <t>https://www.nrel.gov/docs/fy16osti/65298.pdf</t>
  </si>
  <si>
    <t>The methodology used here seems to be beyond the scope of our analysis.</t>
  </si>
  <si>
    <t>Parameter</t>
  </si>
  <si>
    <t>Multi Family</t>
  </si>
  <si>
    <t>Mobile Home</t>
  </si>
  <si>
    <t>SF Detached</t>
  </si>
  <si>
    <t>SF Attached</t>
  </si>
  <si>
    <t>Mobile</t>
  </si>
  <si>
    <t>FPL 2010 Res Report</t>
  </si>
  <si>
    <t xml:space="preserve"> Assembly </t>
  </si>
  <si>
    <t xml:space="preserve"> College and University </t>
  </si>
  <si>
    <t xml:space="preserve"> Grocery </t>
  </si>
  <si>
    <t xml:space="preserve"> Healthcare </t>
  </si>
  <si>
    <t xml:space="preserve"> Hospitals </t>
  </si>
  <si>
    <t xml:space="preserve"> Institutional </t>
  </si>
  <si>
    <t xml:space="preserve"> Lodging/Hospitality </t>
  </si>
  <si>
    <t xml:space="preserve"> Miscellaneous </t>
  </si>
  <si>
    <t xml:space="preserve"> Offices </t>
  </si>
  <si>
    <t xml:space="preserve"> Restaurants </t>
  </si>
  <si>
    <t xml:space="preserve"> Retail </t>
  </si>
  <si>
    <t xml:space="preserve"> Schools K-12 </t>
  </si>
  <si>
    <t xml:space="preserve"> Warehouse </t>
  </si>
  <si>
    <t>No. of Floors</t>
  </si>
  <si>
    <t>Vacant</t>
  </si>
  <si>
    <t>Data Center</t>
  </si>
  <si>
    <t>Laboratory</t>
  </si>
  <si>
    <t>Nonrefrigerated warehouse</t>
  </si>
  <si>
    <t>Food sales</t>
  </si>
  <si>
    <t>Public order and safety</t>
  </si>
  <si>
    <t>Outpatient healthcare</t>
  </si>
  <si>
    <t>Agricultural</t>
  </si>
  <si>
    <t>Refrigerated warehouse</t>
  </si>
  <si>
    <t>Religious worship</t>
  </si>
  <si>
    <t>Public assembly</t>
  </si>
  <si>
    <t>Food service</t>
  </si>
  <si>
    <t>Inpatient health care</t>
  </si>
  <si>
    <t>Nursing</t>
  </si>
  <si>
    <t>Parking garage</t>
  </si>
  <si>
    <t>Strip shopping mall</t>
  </si>
  <si>
    <t>Enclosed mall</t>
  </si>
  <si>
    <t>Retail other than mall</t>
  </si>
  <si>
    <t>FPL</t>
  </si>
  <si>
    <t>DEF</t>
  </si>
  <si>
    <t>FPU</t>
  </si>
  <si>
    <t>JEA</t>
  </si>
  <si>
    <t>Gulf</t>
  </si>
  <si>
    <t>OUC</t>
  </si>
  <si>
    <t>TECO</t>
  </si>
  <si>
    <t>Residential Stock</t>
  </si>
  <si>
    <t>Commercial Stock</t>
  </si>
  <si>
    <t>Stock Growth Rate</t>
  </si>
  <si>
    <t>Value</t>
  </si>
  <si>
    <t>Potential Breakdown by Year</t>
  </si>
  <si>
    <t>Technical Potential as a % of Commercial Sales</t>
  </si>
  <si>
    <t>Technical Potential as a % of Residential Sales</t>
  </si>
  <si>
    <t>Technical Potential as a % of Res+Com Sales</t>
  </si>
  <si>
    <t>Residential Forecast</t>
  </si>
  <si>
    <t>Segment Forecast</t>
  </si>
  <si>
    <t>Commercial Forecast</t>
  </si>
  <si>
    <t>Segment Breakdown</t>
  </si>
  <si>
    <t>Miami</t>
  </si>
  <si>
    <t>PV Watts Summary Table</t>
  </si>
  <si>
    <t>Location</t>
  </si>
  <si>
    <t>Orlando</t>
  </si>
  <si>
    <t>Jacksonville</t>
  </si>
  <si>
    <t>Tampa</t>
  </si>
  <si>
    <t>Pensacola</t>
  </si>
  <si>
    <t>ORLANDO EXECUTIVE AP, FL</t>
  </si>
  <si>
    <t>tampa</t>
  </si>
  <si>
    <t>TAMPA, FL</t>
  </si>
  <si>
    <t>jacksonville</t>
  </si>
  <si>
    <t>JACKSONVILLE, FL</t>
  </si>
  <si>
    <t>tallahasse</t>
  </si>
  <si>
    <t>TALLAHASSEE, FL</t>
  </si>
  <si>
    <t>n/a</t>
  </si>
  <si>
    <t>Commercial Segment</t>
  </si>
  <si>
    <t>Residential Floor Size</t>
  </si>
  <si>
    <t>Counts</t>
  </si>
  <si>
    <t>Residential Stories</t>
  </si>
  <si>
    <t>All Utilties</t>
  </si>
  <si>
    <t>*Cells Hidden below*</t>
  </si>
  <si>
    <t>2009 Itron Report</t>
  </si>
  <si>
    <t>Common</t>
  </si>
  <si>
    <t>PV Watts Calculator</t>
  </si>
  <si>
    <t>Energy Savings Factor</t>
  </si>
  <si>
    <t>Solar Inputs</t>
  </si>
  <si>
    <t>Nexant Research</t>
  </si>
  <si>
    <t>*Refer Floor Research Details below</t>
  </si>
  <si>
    <t>*RES INPUTS FILES</t>
  </si>
  <si>
    <t>*COM INPUTS FILES</t>
  </si>
  <si>
    <t>Assumptions</t>
  </si>
  <si>
    <t>AC Energy Conversion Ratio for each kW of the solar panel. Total annual AC production from PV Watts model is used and divided by the average system size of 4 kW</t>
  </si>
  <si>
    <t>Inverter Efficiency and Capacity Factor are factored into the AC Power produced.</t>
  </si>
  <si>
    <t>*PV Density:</t>
  </si>
  <si>
    <t>*Energy Savings Factor:</t>
  </si>
  <si>
    <t>Calculated</t>
  </si>
  <si>
    <t>*RECS 2015 (South Atlantic Region)</t>
  </si>
  <si>
    <t>*CBECS 2015 (Source Data: South Atlantic Region)</t>
  </si>
  <si>
    <t>https://www.census.gov/construction/chars/mfu.html</t>
  </si>
  <si>
    <t>Region: South</t>
  </si>
  <si>
    <t>Average Size (Bin)</t>
  </si>
  <si>
    <t>Muti-Family Building Construction</t>
  </si>
  <si>
    <t>*for Muti-Family homes, Govt. Census data for the South was used</t>
  </si>
  <si>
    <t>https://www.census.gov/construction/chars/completed.html</t>
  </si>
  <si>
    <t>Census Data (Multi-Family)</t>
  </si>
  <si>
    <t>Census Data (Single-Family)</t>
  </si>
  <si>
    <t>Single-Family Building Construction</t>
  </si>
  <si>
    <t>2017 Census Data (South)</t>
  </si>
  <si>
    <t>Floor Space</t>
  </si>
  <si>
    <t>*Commercial Stock in Square Feet</t>
  </si>
  <si>
    <t>*Residential Stock in Number of Units</t>
  </si>
  <si>
    <t>*CBECS 2015</t>
  </si>
  <si>
    <t>Energy Savings Factor (kWh/kW)</t>
  </si>
  <si>
    <t>(NA)</t>
  </si>
  <si>
    <t>Average Stories (Bins)</t>
  </si>
  <si>
    <t>No data in RECS/Census Info used</t>
  </si>
  <si>
    <t>http://brightstarsolar.net/common-sizes-of-solar-panels/</t>
  </si>
  <si>
    <t>PV Density Commercial (w/sf)</t>
  </si>
  <si>
    <t>^ Panel Size Guide</t>
  </si>
  <si>
    <t>Residential Units</t>
  </si>
  <si>
    <t>Residential Potential (GWh)</t>
  </si>
  <si>
    <t>Tallahassee</t>
  </si>
  <si>
    <t>Useable Roof Share Pitch</t>
  </si>
  <si>
    <t>Useable Roof Share Flat</t>
  </si>
  <si>
    <t>Potential as a Percentage of Sales</t>
  </si>
  <si>
    <t>Commercial Capacity (MW)</t>
  </si>
  <si>
    <t>Commercial Potential (GWh)</t>
  </si>
  <si>
    <t>*CBECS 2015 (Normalized by Utility)</t>
  </si>
  <si>
    <t>*check square foot, usable roof area and no. of floors</t>
  </si>
  <si>
    <t>*use itron numbers for useable roof area and no. of floors</t>
  </si>
  <si>
    <t>PV Density (w/sf)</t>
  </si>
  <si>
    <t>Assumes an average PV module of 250 Watts (Pmax), with dimensions of 64.7x39.1 inches (converted to square feet) Residential</t>
  </si>
  <si>
    <t>Total Usable Roof Percentage</t>
  </si>
  <si>
    <t>consumption share</t>
  </si>
  <si>
    <t>Fixed (roof mount)</t>
  </si>
  <si>
    <t>Summer Peak Capacity (MW)</t>
  </si>
  <si>
    <t>Winter Peak Capacity (MW)</t>
  </si>
  <si>
    <t>Nameplate Technical Potential (MW)</t>
  </si>
  <si>
    <t>REC variables</t>
  </si>
  <si>
    <t>Roofing Material (ROOFTYPE)</t>
  </si>
  <si>
    <t>CBECS variables</t>
  </si>
  <si>
    <t>solar used for water heating (SOWATR)</t>
  </si>
  <si>
    <t>solar used for manufacturing (SOMANU)</t>
  </si>
  <si>
    <t>solar used for electricity generation (SOGENR)</t>
  </si>
  <si>
    <t>photovoltaic cells (PVC)</t>
  </si>
  <si>
    <t>fuel cells (FUELCL)</t>
  </si>
  <si>
    <t>solar for some other use (SOOTH)</t>
  </si>
  <si>
    <t>imputed cool roof materials (ZRFCOOL)</t>
  </si>
  <si>
    <t>imputed roof construction material (ZRFCNS)</t>
  </si>
  <si>
    <t>imputed solar used for secondary heating (ZSOHT2)</t>
  </si>
  <si>
    <t>imputed solar used for water heating (ZCOWATR)</t>
  </si>
  <si>
    <t>imputed solar used for electricity generation (ZOTGENR)</t>
  </si>
  <si>
    <t>imputed photovoltaic cells (ZPVC)</t>
  </si>
  <si>
    <t>imputed fuel cells (ZFUELCL)</t>
  </si>
  <si>
    <t>AHS variables</t>
  </si>
  <si>
    <t>square footage</t>
  </si>
  <si>
    <t>number of bedrooms</t>
  </si>
  <si>
    <t>https://www.nrel.gov/docs/fy14osti/60593.pdf</t>
  </si>
  <si>
    <t>Sum of AC System Output (W)</t>
  </si>
  <si>
    <t>Hour</t>
  </si>
  <si>
    <t>Jan</t>
  </si>
  <si>
    <t>Aug</t>
  </si>
  <si>
    <t>Energy Technical Potential (GWh)</t>
  </si>
  <si>
    <t>EnergyTechnical Potential (GWh)</t>
  </si>
  <si>
    <t>Total Energy Potential (GWh)</t>
  </si>
  <si>
    <t>s</t>
  </si>
  <si>
    <t>Residential Capacity (MW)</t>
  </si>
  <si>
    <t>same as Res</t>
  </si>
  <si>
    <t>this is dividing the utility segment proportion by the total segment portion and scaling number of floors accordingly</t>
  </si>
  <si>
    <t>PVWatts: Hourly PV Performance Data</t>
  </si>
  <si>
    <t>pensacola,fl</t>
  </si>
  <si>
    <t>Lat, Lon: 30.41, -87.22</t>
  </si>
  <si>
    <t>Forecast with TP</t>
  </si>
  <si>
    <t>Technical potential RES savings</t>
  </si>
  <si>
    <t>Technical Potential COM Savings:</t>
  </si>
  <si>
    <t>Note: will need separate sheets for Residential, Commercial and Industrial</t>
  </si>
  <si>
    <t>Projected Particpation</t>
  </si>
  <si>
    <t>Vintage</t>
  </si>
  <si>
    <t>(1)                                                                                           Measure</t>
  </si>
  <si>
    <t>(2)                                       Summer Peak Per Cust (kW)</t>
  </si>
  <si>
    <t>(3)                            Winter Peak Per Cust (kW)</t>
  </si>
  <si>
    <t xml:space="preserve">Blank Column </t>
  </si>
  <si>
    <t>(4)                    Annual energy Per Cust (kWh)</t>
  </si>
  <si>
    <t>(5 ) service Life(Yrs)</t>
  </si>
  <si>
    <t>Blank Column</t>
  </si>
  <si>
    <t>(7) Measure incremental cost</t>
  </si>
  <si>
    <t>Units</t>
  </si>
  <si>
    <t>Any</t>
  </si>
  <si>
    <t>Solar Voltaic (17.1w/sf2)</t>
  </si>
  <si>
    <t>Square foot</t>
  </si>
  <si>
    <t>Multi-Family</t>
  </si>
  <si>
    <t>Tallahassee - Sum of AC System Output (W)</t>
  </si>
  <si>
    <t>Tampa - Sum of AC System Output (W)</t>
  </si>
  <si>
    <t>Orlando - Sum of AC System Output (W)</t>
  </si>
  <si>
    <t>One-Time Fixed Program Administration Cost</t>
  </si>
  <si>
    <t>Annual Program Administration Cost</t>
  </si>
  <si>
    <t>Residential Stock (sq ft)</t>
  </si>
  <si>
    <t>Commercial Stock (1000 sq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</si>
</sst>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0%_);[Red]\(0%\)"/>
    <numFmt numFmtId="168" formatCode="0.00%_);[Red]\(0.00%\)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0.0%"/>
    <numFmt numFmtId="172" formatCode="_(* #,##0.0_);_(* \(#,##0.0\);_(* &quot;-&quot;??_);_(@_)"/>
    <numFmt numFmtId="173" formatCode="#,##0.0"/>
    <numFmt numFmtId="174" formatCode="[=0]&quot;(Z) &quot;;[&gt;99]&quot;(A) &quot;;#\ ;&quot;(A) &quot;"/>
    <numFmt numFmtId="175" formatCode="_(* #,##0.000_);_(* \(#,##0.000\);_(* &quot;-&quot;??_);_(@_)"/>
    <numFmt numFmtId="176" formatCode="0.0000%"/>
    <numFmt numFmtId="177" formatCode="0.000%"/>
    <numFmt numFmtId="178" formatCode="&quot;$&quot;#,##0.00"/>
    <numFmt numFmtId="179" formatCode="0.0"/>
    <numFmt numFmtId="180" formatCode="0.0000"/>
    <numFmt numFmtId="181" formatCode="0.00000"/>
  </numFmts>
  <fonts count="8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rgb="FF9C0006"/>
      <name val="Calibri"/>
      <family val="2"/>
      <scheme val="minor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color indexed="23"/>
      <name val="Verdana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Optima"/>
    </font>
    <font>
      <sz val="10"/>
      <name val="Optim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Helv"/>
    </font>
    <font>
      <sz val="11"/>
      <color theme="1"/>
      <name val="Campton Light"/>
      <family val="2"/>
    </font>
    <font>
      <b/>
      <sz val="1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99CC"/>
      <name val="Calibri"/>
      <family val="2"/>
      <scheme val="minor"/>
    </font>
    <font>
      <i/>
      <sz val="11"/>
      <color rgb="FF0099CC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6"/>
      <name val="Calibri"/>
      <family val="2"/>
    </font>
    <font>
      <u/>
      <sz val="10"/>
      <color theme="4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CC"/>
        <bgColor indexed="64"/>
      </patternFill>
    </fill>
    <fill>
      <patternFill patternType="lightUp"/>
    </fill>
    <fill>
      <patternFill patternType="solid">
        <fgColor rgb="FFBDE3CF"/>
        <bgColor indexed="64"/>
      </patternFill>
    </fill>
    <fill>
      <patternFill patternType="solid">
        <fgColor rgb="FF0070CD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89">
    <xf numFmtId="0" fontId="0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37" fontId="25" fillId="17" borderId="4" applyBorder="0" applyProtection="0">
      <alignment vertical="center"/>
    </xf>
    <xf numFmtId="0" fontId="26" fillId="2" borderId="0" applyNumberFormat="0" applyBorder="0" applyAlignment="0" applyProtection="0"/>
    <xf numFmtId="5" fontId="27" fillId="0" borderId="5">
      <protection locked="0"/>
    </xf>
    <xf numFmtId="0" fontId="28" fillId="18" borderId="0" applyBorder="0">
      <alignment horizontal="left" vertical="center" inden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9" fillId="0" borderId="6"/>
    <xf numFmtId="4" fontId="27" fillId="19" borderId="6">
      <protection locked="0"/>
    </xf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27" fillId="20" borderId="6"/>
    <xf numFmtId="43" fontId="30" fillId="0" borderId="7"/>
    <xf numFmtId="37" fontId="31" fillId="21" borderId="5" applyBorder="0">
      <alignment horizontal="left" vertical="center" indent="1"/>
    </xf>
    <xf numFmtId="37" fontId="32" fillId="22" borderId="8" applyFill="0">
      <alignment vertical="center"/>
    </xf>
    <xf numFmtId="0" fontId="32" fillId="23" borderId="9" applyNumberFormat="0">
      <alignment horizontal="left" vertical="top" indent="1"/>
    </xf>
    <xf numFmtId="0" fontId="32" fillId="17" borderId="0" applyBorder="0">
      <alignment horizontal="left" vertical="center" indent="1"/>
    </xf>
    <xf numFmtId="0" fontId="32" fillId="0" borderId="9" applyNumberFormat="0" applyFill="0">
      <alignment horizontal="centerContinuous" vertical="top"/>
    </xf>
    <xf numFmtId="0" fontId="33" fillId="0" borderId="0" applyNumberFormat="0" applyFill="0" applyBorder="0" applyAlignment="0" applyProtection="0">
      <alignment vertical="top"/>
      <protection locked="0"/>
    </xf>
    <xf numFmtId="43" fontId="30" fillId="0" borderId="2"/>
    <xf numFmtId="44" fontId="30" fillId="0" borderId="10"/>
    <xf numFmtId="0" fontId="22" fillId="24" borderId="0"/>
    <xf numFmtId="0" fontId="34" fillId="3" borderId="4" applyBorder="0">
      <alignment horizontal="left"/>
    </xf>
    <xf numFmtId="0" fontId="22" fillId="24" borderId="4"/>
    <xf numFmtId="0" fontId="35" fillId="22" borderId="0">
      <alignment horizontal="left" wrapText="1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4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0" fontId="22" fillId="4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39" fillId="25" borderId="11"/>
    <xf numFmtId="168" fontId="39" fillId="0" borderId="11" applyFont="0" applyFill="0" applyBorder="0" applyAlignment="0" applyProtection="0">
      <protection locked="0"/>
    </xf>
    <xf numFmtId="2" fontId="40" fillId="0" borderId="0">
      <protection locked="0"/>
    </xf>
    <xf numFmtId="0" fontId="21" fillId="26" borderId="0"/>
    <xf numFmtId="49" fontId="21" fillId="0" borderId="0" applyFont="0" applyFill="0" applyBorder="0" applyAlignment="0" applyProtection="0"/>
    <xf numFmtId="0" fontId="41" fillId="0" borderId="0">
      <alignment horizontal="right"/>
    </xf>
    <xf numFmtId="0" fontId="42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50" fillId="0" borderId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9" fillId="0" borderId="0"/>
    <xf numFmtId="0" fontId="43" fillId="0" borderId="14" applyNumberFormat="0" applyFont="0" applyProtection="0">
      <alignment wrapText="1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Protection="0">
      <alignment vertical="top" wrapText="1"/>
    </xf>
    <xf numFmtId="0" fontId="43" fillId="0" borderId="15" applyNumberFormat="0" applyProtection="0">
      <alignment vertical="top" wrapText="1"/>
    </xf>
    <xf numFmtId="0" fontId="44" fillId="0" borderId="13" applyNumberFormat="0" applyProtection="0">
      <alignment wrapText="1"/>
    </xf>
    <xf numFmtId="0" fontId="44" fillId="0" borderId="16" applyNumberFormat="0" applyProtection="0">
      <alignment horizontal="left" wrapText="1"/>
    </xf>
    <xf numFmtId="0" fontId="52" fillId="0" borderId="0" applyNumberFormat="0" applyFill="0" applyBorder="0" applyAlignment="0" applyProtection="0"/>
    <xf numFmtId="0" fontId="53" fillId="0" borderId="0"/>
    <xf numFmtId="0" fontId="21" fillId="0" borderId="0"/>
    <xf numFmtId="0" fontId="21" fillId="0" borderId="0"/>
    <xf numFmtId="0" fontId="53" fillId="0" borderId="0"/>
    <xf numFmtId="0" fontId="19" fillId="0" borderId="0"/>
    <xf numFmtId="0" fontId="21" fillId="0" borderId="0"/>
    <xf numFmtId="0" fontId="54" fillId="0" borderId="0"/>
    <xf numFmtId="0" fontId="21" fillId="0" borderId="0"/>
    <xf numFmtId="0" fontId="53" fillId="4" borderId="1" applyNumberFormat="0" applyFont="0" applyAlignment="0" applyProtection="0"/>
    <xf numFmtId="0" fontId="44" fillId="0" borderId="17" applyNumberFormat="0" applyProtection="0">
      <alignment wrapText="1"/>
    </xf>
    <xf numFmtId="0" fontId="43" fillId="0" borderId="18" applyNumberFormat="0" applyFont="0" applyFill="0" applyProtection="0">
      <alignment wrapText="1"/>
    </xf>
    <xf numFmtId="0" fontId="44" fillId="0" borderId="19" applyNumberFormat="0" applyFill="0" applyProtection="0">
      <alignment wrapText="1"/>
    </xf>
    <xf numFmtId="0" fontId="55" fillId="0" borderId="0" applyNumberFormat="0" applyProtection="0">
      <alignment horizontal="left"/>
    </xf>
    <xf numFmtId="0" fontId="37" fillId="0" borderId="0"/>
    <xf numFmtId="9" fontId="3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4" fontId="21" fillId="0" borderId="20" applyBorder="0">
      <alignment horizontal="right"/>
    </xf>
    <xf numFmtId="0" fontId="64" fillId="0" borderId="13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2" borderId="0" applyNumberFormat="0" applyBorder="0" applyAlignment="0" applyProtection="0"/>
    <xf numFmtId="0" fontId="68" fillId="37" borderId="0" applyNumberFormat="0" applyBorder="0" applyAlignment="0" applyProtection="0"/>
    <xf numFmtId="0" fontId="69" fillId="3" borderId="23" applyNumberFormat="0" applyAlignment="0" applyProtection="0"/>
    <xf numFmtId="0" fontId="70" fillId="38" borderId="24" applyNumberFormat="0" applyAlignment="0" applyProtection="0"/>
    <xf numFmtId="0" fontId="71" fillId="38" borderId="23" applyNumberFormat="0" applyAlignment="0" applyProtection="0"/>
    <xf numFmtId="0" fontId="72" fillId="0" borderId="25" applyNumberFormat="0" applyFill="0" applyAlignment="0" applyProtection="0"/>
    <xf numFmtId="0" fontId="61" fillId="39" borderId="2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51" fillId="40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" fillId="4" borderId="1" applyNumberFormat="0" applyFon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/>
    <xf numFmtId="43" fontId="79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9" fontId="7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9" fontId="7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9" fontId="7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0" borderId="0"/>
    <xf numFmtId="44" fontId="79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79" fillId="0" borderId="0" applyFont="0" applyFill="0" applyBorder="0" applyAlignment="0" applyProtection="0"/>
  </cellStyleXfs>
  <cellXfs count="158">
    <xf numFmtId="0" fontId="0" fillId="0" borderId="0" xfId="0"/>
    <xf numFmtId="0" fontId="0" fillId="0" borderId="3" xfId="0" applyBorder="1"/>
    <xf numFmtId="0" fontId="19" fillId="0" borderId="3" xfId="0" applyFont="1" applyBorder="1"/>
    <xf numFmtId="0" fontId="19" fillId="0" borderId="0" xfId="0" applyFont="1"/>
    <xf numFmtId="0" fontId="19" fillId="28" borderId="3" xfId="0" applyFont="1" applyFill="1" applyBorder="1"/>
    <xf numFmtId="164" fontId="19" fillId="0" borderId="0" xfId="1" applyNumberFormat="1" applyFont="1"/>
    <xf numFmtId="10" fontId="19" fillId="0" borderId="0" xfId="0" applyNumberFormat="1" applyFont="1"/>
    <xf numFmtId="10" fontId="19" fillId="0" borderId="3" xfId="0" applyNumberFormat="1" applyFont="1" applyBorder="1"/>
    <xf numFmtId="3" fontId="19" fillId="0" borderId="0" xfId="0" applyNumberFormat="1" applyFont="1"/>
    <xf numFmtId="164" fontId="19" fillId="0" borderId="3" xfId="1" applyNumberFormat="1" applyFont="1" applyBorder="1"/>
    <xf numFmtId="3" fontId="19" fillId="0" borderId="3" xfId="0" applyNumberFormat="1" applyFont="1" applyBorder="1"/>
    <xf numFmtId="0" fontId="19" fillId="0" borderId="12" xfId="0" applyFont="1" applyBorder="1"/>
    <xf numFmtId="0" fontId="51" fillId="31" borderId="3" xfId="0" applyFont="1" applyFill="1" applyBorder="1"/>
    <xf numFmtId="9" fontId="19" fillId="0" borderId="0" xfId="6161" applyFont="1"/>
    <xf numFmtId="9" fontId="19" fillId="0" borderId="3" xfId="6161" applyFont="1" applyBorder="1"/>
    <xf numFmtId="0" fontId="56" fillId="0" borderId="0" xfId="0" applyFont="1"/>
    <xf numFmtId="171" fontId="19" fillId="0" borderId="3" xfId="6161" applyNumberFormat="1" applyFont="1" applyBorder="1"/>
    <xf numFmtId="171" fontId="19" fillId="0" borderId="0" xfId="6161" applyNumberFormat="1" applyFont="1" applyAlignment="1">
      <alignment horizontal="left" indent="3"/>
    </xf>
    <xf numFmtId="171" fontId="19" fillId="0" borderId="0" xfId="6161" applyNumberFormat="1" applyFont="1"/>
    <xf numFmtId="171" fontId="19" fillId="0" borderId="3" xfId="6161" applyNumberFormat="1" applyFont="1" applyBorder="1" applyAlignment="1">
      <alignment horizontal="left" indent="3"/>
    </xf>
    <xf numFmtId="171" fontId="19" fillId="0" borderId="0" xfId="6161" applyNumberFormat="1" applyFont="1" applyAlignment="1">
      <alignment horizontal="left" indent="2"/>
    </xf>
    <xf numFmtId="43" fontId="19" fillId="0" borderId="0" xfId="0" applyNumberFormat="1" applyFont="1"/>
    <xf numFmtId="0" fontId="19" fillId="0" borderId="0" xfId="0" applyNumberFormat="1" applyFont="1"/>
    <xf numFmtId="0" fontId="56" fillId="0" borderId="3" xfId="0" applyFont="1" applyBorder="1"/>
    <xf numFmtId="164" fontId="19" fillId="0" borderId="0" xfId="0" applyNumberFormat="1" applyFont="1"/>
    <xf numFmtId="172" fontId="19" fillId="0" borderId="0" xfId="0" applyNumberFormat="1" applyFont="1"/>
    <xf numFmtId="0" fontId="19" fillId="0" borderId="0" xfId="0" applyFont="1" applyFill="1"/>
    <xf numFmtId="172" fontId="19" fillId="0" borderId="0" xfId="1" applyNumberFormat="1" applyFont="1"/>
    <xf numFmtId="9" fontId="19" fillId="0" borderId="0" xfId="0" applyNumberFormat="1" applyFont="1"/>
    <xf numFmtId="0" fontId="52" fillId="0" borderId="0" xfId="6530" applyFont="1"/>
    <xf numFmtId="43" fontId="19" fillId="0" borderId="0" xfId="1" applyFont="1"/>
    <xf numFmtId="172" fontId="19" fillId="0" borderId="0" xfId="1" applyNumberFormat="1" applyFont="1" applyAlignment="1">
      <alignment horizontal="right"/>
    </xf>
    <xf numFmtId="172" fontId="19" fillId="0" borderId="3" xfId="0" applyNumberFormat="1" applyFont="1" applyBorder="1"/>
    <xf numFmtId="172" fontId="19" fillId="0" borderId="3" xfId="1" applyNumberFormat="1" applyFont="1" applyBorder="1"/>
    <xf numFmtId="0" fontId="56" fillId="27" borderId="3" xfId="0" applyFont="1" applyFill="1" applyBorder="1"/>
    <xf numFmtId="0" fontId="19" fillId="27" borderId="3" xfId="0" applyFont="1" applyFill="1" applyBorder="1" applyAlignment="1">
      <alignment horizontal="right"/>
    </xf>
    <xf numFmtId="173" fontId="19" fillId="0" borderId="0" xfId="0" applyNumberFormat="1" applyFont="1"/>
    <xf numFmtId="173" fontId="19" fillId="0" borderId="3" xfId="0" applyNumberFormat="1" applyFont="1" applyBorder="1"/>
    <xf numFmtId="0" fontId="51" fillId="29" borderId="3" xfId="0" applyFont="1" applyFill="1" applyBorder="1"/>
    <xf numFmtId="0" fontId="51" fillId="30" borderId="3" xfId="0" applyFont="1" applyFill="1" applyBorder="1"/>
    <xf numFmtId="0" fontId="57" fillId="0" borderId="3" xfId="0" applyFont="1" applyBorder="1"/>
    <xf numFmtId="0" fontId="57" fillId="0" borderId="12" xfId="0" applyFont="1" applyBorder="1"/>
    <xf numFmtId="0" fontId="18" fillId="0" borderId="0" xfId="0" applyFont="1"/>
    <xf numFmtId="164" fontId="34" fillId="0" borderId="3" xfId="1" applyNumberFormat="1" applyFont="1" applyFill="1" applyBorder="1" applyAlignment="1">
      <alignment horizontal="right"/>
    </xf>
    <xf numFmtId="0" fontId="58" fillId="0" borderId="0" xfId="0" applyFont="1"/>
    <xf numFmtId="10" fontId="19" fillId="0" borderId="0" xfId="6161" applyNumberFormat="1" applyFont="1"/>
    <xf numFmtId="10" fontId="19" fillId="0" borderId="3" xfId="6161" applyNumberFormat="1" applyFont="1" applyBorder="1"/>
    <xf numFmtId="3" fontId="34" fillId="0" borderId="0" xfId="0" applyNumberFormat="1" applyFont="1"/>
    <xf numFmtId="1" fontId="19" fillId="0" borderId="0" xfId="0" applyNumberFormat="1" applyFont="1" applyAlignment="1">
      <alignment horizontal="left"/>
    </xf>
    <xf numFmtId="1" fontId="19" fillId="0" borderId="3" xfId="0" applyNumberFormat="1" applyFont="1" applyBorder="1" applyAlignment="1">
      <alignment horizontal="left"/>
    </xf>
    <xf numFmtId="0" fontId="18" fillId="27" borderId="3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3" fontId="34" fillId="0" borderId="3" xfId="0" applyNumberFormat="1" applyFont="1" applyBorder="1"/>
    <xf numFmtId="0" fontId="18" fillId="0" borderId="12" xfId="0" applyFont="1" applyBorder="1"/>
    <xf numFmtId="0" fontId="19" fillId="32" borderId="3" xfId="0" applyFont="1" applyFill="1" applyBorder="1"/>
    <xf numFmtId="3" fontId="19" fillId="32" borderId="3" xfId="0" applyNumberFormat="1" applyFont="1" applyFill="1" applyBorder="1"/>
    <xf numFmtId="0" fontId="56" fillId="33" borderId="3" xfId="0" applyFont="1" applyFill="1" applyBorder="1"/>
    <xf numFmtId="0" fontId="19" fillId="33" borderId="3" xfId="0" applyFont="1" applyFill="1" applyBorder="1" applyAlignment="1">
      <alignment horizontal="right"/>
    </xf>
    <xf numFmtId="0" fontId="18" fillId="33" borderId="3" xfId="0" applyFont="1" applyFill="1" applyBorder="1" applyAlignment="1">
      <alignment horizontal="right"/>
    </xf>
    <xf numFmtId="173" fontId="34" fillId="0" borderId="0" xfId="0" applyNumberFormat="1" applyFont="1"/>
    <xf numFmtId="0" fontId="18" fillId="0" borderId="0" xfId="0" applyFont="1" applyAlignment="1">
      <alignment horizontal="center"/>
    </xf>
    <xf numFmtId="1" fontId="59" fillId="33" borderId="0" xfId="0" applyNumberFormat="1" applyFont="1" applyFill="1" applyAlignment="1">
      <alignment horizontal="left"/>
    </xf>
    <xf numFmtId="0" fontId="59" fillId="33" borderId="0" xfId="0" applyFont="1" applyFill="1"/>
    <xf numFmtId="0" fontId="60" fillId="33" borderId="0" xfId="0" applyFont="1" applyFill="1"/>
    <xf numFmtId="175" fontId="19" fillId="0" borderId="0" xfId="0" applyNumberFormat="1" applyFont="1"/>
    <xf numFmtId="0" fontId="45" fillId="0" borderId="3" xfId="6530" applyBorder="1"/>
    <xf numFmtId="0" fontId="17" fillId="28" borderId="3" xfId="0" applyFont="1" applyFill="1" applyBorder="1"/>
    <xf numFmtId="0" fontId="17" fillId="0" borderId="0" xfId="0" applyFont="1"/>
    <xf numFmtId="0" fontId="16" fillId="33" borderId="3" xfId="0" applyFont="1" applyFill="1" applyBorder="1"/>
    <xf numFmtId="0" fontId="15" fillId="0" borderId="0" xfId="0" applyFont="1"/>
    <xf numFmtId="43" fontId="19" fillId="0" borderId="0" xfId="1" applyNumberFormat="1" applyFont="1"/>
    <xf numFmtId="0" fontId="45" fillId="0" borderId="0" xfId="6530"/>
    <xf numFmtId="176" fontId="19" fillId="0" borderId="0" xfId="0" applyNumberFormat="1" applyFont="1"/>
    <xf numFmtId="177" fontId="19" fillId="0" borderId="0" xfId="0" applyNumberFormat="1" applyFont="1"/>
    <xf numFmtId="0" fontId="14" fillId="0" borderId="0" xfId="0" applyFont="1"/>
    <xf numFmtId="171" fontId="19" fillId="0" borderId="0" xfId="0" applyNumberFormat="1" applyFont="1"/>
    <xf numFmtId="0" fontId="13" fillId="0" borderId="0" xfId="0" applyFont="1"/>
    <xf numFmtId="43" fontId="19" fillId="0" borderId="12" xfId="0" applyNumberFormat="1" applyFont="1" applyBorder="1"/>
    <xf numFmtId="0" fontId="51" fillId="34" borderId="3" xfId="0" applyFont="1" applyFill="1" applyBorder="1" applyAlignment="1">
      <alignment horizontal="center"/>
    </xf>
    <xf numFmtId="0" fontId="37" fillId="0" borderId="3" xfId="0" applyFont="1" applyBorder="1"/>
    <xf numFmtId="0" fontId="37" fillId="0" borderId="0" xfId="0" applyFont="1"/>
    <xf numFmtId="3" fontId="37" fillId="0" borderId="0" xfId="0" applyNumberFormat="1" applyFont="1"/>
    <xf numFmtId="3" fontId="37" fillId="0" borderId="3" xfId="0" applyNumberFormat="1" applyFont="1" applyBorder="1" applyAlignment="1">
      <alignment horizontal="right"/>
    </xf>
    <xf numFmtId="0" fontId="62" fillId="34" borderId="3" xfId="0" applyFont="1" applyFill="1" applyBorder="1" applyAlignment="1">
      <alignment horizontal="center"/>
    </xf>
    <xf numFmtId="171" fontId="37" fillId="0" borderId="3" xfId="6161" applyNumberFormat="1" applyFont="1" applyBorder="1"/>
    <xf numFmtId="0" fontId="37" fillId="0" borderId="0" xfId="0" applyFont="1" applyFill="1" applyBorder="1"/>
    <xf numFmtId="0" fontId="37" fillId="0" borderId="3" xfId="0" applyFont="1" applyFill="1" applyBorder="1"/>
    <xf numFmtId="9" fontId="37" fillId="0" borderId="3" xfId="6161" applyFont="1" applyBorder="1"/>
    <xf numFmtId="164" fontId="37" fillId="0" borderId="0" xfId="1" quotePrefix="1" applyNumberFormat="1" applyFont="1"/>
    <xf numFmtId="164" fontId="37" fillId="0" borderId="0" xfId="0" applyNumberFormat="1" applyFont="1"/>
    <xf numFmtId="164" fontId="37" fillId="0" borderId="0" xfId="1" applyNumberFormat="1" applyFont="1"/>
    <xf numFmtId="164" fontId="37" fillId="0" borderId="3" xfId="0" applyNumberFormat="1" applyFont="1" applyBorder="1"/>
    <xf numFmtId="164" fontId="19" fillId="0" borderId="0" xfId="1" applyNumberFormat="1" applyFont="1" applyFill="1"/>
    <xf numFmtId="0" fontId="51" fillId="34" borderId="12" xfId="0" applyFont="1" applyFill="1" applyBorder="1" applyAlignment="1">
      <alignment horizontal="left" indent="2"/>
    </xf>
    <xf numFmtId="164" fontId="19" fillId="34" borderId="12" xfId="1" applyNumberFormat="1" applyFont="1" applyFill="1" applyBorder="1"/>
    <xf numFmtId="0" fontId="51" fillId="34" borderId="3" xfId="0" applyFont="1" applyFill="1" applyBorder="1" applyAlignment="1">
      <alignment horizontal="left" indent="2"/>
    </xf>
    <xf numFmtId="164" fontId="19" fillId="34" borderId="3" xfId="1" applyNumberFormat="1" applyFont="1" applyFill="1" applyBorder="1"/>
    <xf numFmtId="171" fontId="19" fillId="0" borderId="0" xfId="6161" applyNumberFormat="1" applyFont="1" applyFill="1"/>
    <xf numFmtId="0" fontId="12" fillId="0" borderId="0" xfId="0" applyFont="1"/>
    <xf numFmtId="0" fontId="12" fillId="0" borderId="12" xfId="0" applyFont="1" applyBorder="1"/>
    <xf numFmtId="0" fontId="11" fillId="0" borderId="0" xfId="0" applyFont="1"/>
    <xf numFmtId="0" fontId="10" fillId="0" borderId="0" xfId="0" applyFont="1"/>
    <xf numFmtId="171" fontId="10" fillId="0" borderId="0" xfId="6161" applyNumberFormat="1" applyFont="1" applyAlignment="1">
      <alignment horizontal="left" indent="3"/>
    </xf>
    <xf numFmtId="0" fontId="37" fillId="0" borderId="0" xfId="0" applyFont="1" applyBorder="1"/>
    <xf numFmtId="3" fontId="37" fillId="0" borderId="0" xfId="0" applyNumberFormat="1" applyFont="1" applyBorder="1" applyAlignment="1">
      <alignment horizontal="right"/>
    </xf>
    <xf numFmtId="0" fontId="0" fillId="0" borderId="0" xfId="0" applyNumberFormat="1"/>
    <xf numFmtId="0" fontId="63" fillId="0" borderId="0" xfId="0" applyFont="1"/>
    <xf numFmtId="171" fontId="9" fillId="0" borderId="0" xfId="6161" applyNumberFormat="1" applyFont="1" applyAlignment="1">
      <alignment horizontal="left" indent="3"/>
    </xf>
    <xf numFmtId="171" fontId="10" fillId="0" borderId="0" xfId="0" applyNumberFormat="1" applyFont="1"/>
    <xf numFmtId="3" fontId="10" fillId="0" borderId="0" xfId="0" applyNumberFormat="1" applyFont="1"/>
    <xf numFmtId="0" fontId="51" fillId="35" borderId="0" xfId="0" applyFont="1" applyFill="1"/>
    <xf numFmtId="0" fontId="51" fillId="0" borderId="0" xfId="0" applyFont="1" applyFill="1"/>
    <xf numFmtId="171" fontId="8" fillId="0" borderId="0" xfId="6161" applyNumberFormat="1" applyFont="1" applyAlignment="1">
      <alignment horizontal="left" indent="3"/>
    </xf>
    <xf numFmtId="0" fontId="51" fillId="35" borderId="3" xfId="0" applyFont="1" applyFill="1" applyBorder="1"/>
    <xf numFmtId="3" fontId="0" fillId="0" borderId="0" xfId="0" applyNumberFormat="1"/>
    <xf numFmtId="43" fontId="19" fillId="0" borderId="0" xfId="1" applyNumberFormat="1" applyFont="1" applyFill="1"/>
    <xf numFmtId="171" fontId="8" fillId="0" borderId="0" xfId="6161" applyNumberFormat="1" applyFont="1" applyAlignment="1">
      <alignment horizontal="left" indent="2"/>
    </xf>
    <xf numFmtId="0" fontId="37" fillId="0" borderId="0" xfId="0" applyFont="1" applyFill="1"/>
    <xf numFmtId="3" fontId="37" fillId="0" borderId="0" xfId="0" applyNumberFormat="1" applyFont="1" applyFill="1"/>
    <xf numFmtId="3" fontId="37" fillId="0" borderId="3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0" fillId="0" borderId="0" xfId="0" applyFont="1" applyFill="1"/>
    <xf numFmtId="0" fontId="5" fillId="0" borderId="0" xfId="0" applyFont="1"/>
    <xf numFmtId="9" fontId="37" fillId="0" borderId="0" xfId="6161" applyNumberFormat="1" applyFont="1"/>
    <xf numFmtId="9" fontId="19" fillId="0" borderId="0" xfId="6161" applyNumberFormat="1" applyFont="1"/>
    <xf numFmtId="9" fontId="0" fillId="0" borderId="0" xfId="0" applyNumberFormat="1"/>
    <xf numFmtId="0" fontId="4" fillId="28" borderId="3" xfId="0" applyFont="1" applyFill="1" applyBorder="1"/>
    <xf numFmtId="0" fontId="63" fillId="52" borderId="29" xfId="0" applyFont="1" applyFill="1" applyBorder="1" applyAlignment="1">
      <alignment horizontal="center" vertical="center" wrapText="1"/>
    </xf>
    <xf numFmtId="0" fontId="78" fillId="52" borderId="29" xfId="0" applyFont="1" applyFill="1" applyBorder="1" applyAlignment="1">
      <alignment horizontal="center" vertical="center" wrapText="1"/>
    </xf>
    <xf numFmtId="178" fontId="63" fillId="52" borderId="29" xfId="0" applyNumberFormat="1" applyFont="1" applyFill="1" applyBorder="1" applyAlignment="1">
      <alignment horizontal="center" vertical="center" wrapText="1"/>
    </xf>
    <xf numFmtId="0" fontId="78" fillId="53" borderId="29" xfId="0" applyFont="1" applyFill="1" applyBorder="1" applyAlignment="1">
      <alignment horizontal="center" vertical="center" wrapText="1"/>
    </xf>
    <xf numFmtId="0" fontId="0" fillId="52" borderId="29" xfId="0" applyFill="1" applyBorder="1" applyAlignment="1">
      <alignment vertical="center"/>
    </xf>
    <xf numFmtId="2" fontId="0" fillId="0" borderId="0" xfId="0" applyNumberFormat="1"/>
    <xf numFmtId="179" fontId="0" fillId="0" borderId="0" xfId="0" applyNumberFormat="1"/>
    <xf numFmtId="1" fontId="0" fillId="0" borderId="0" xfId="0" applyNumberFormat="1"/>
    <xf numFmtId="178" fontId="0" fillId="0" borderId="0" xfId="0" applyNumberFormat="1"/>
    <xf numFmtId="0" fontId="3" fillId="0" borderId="0" xfId="0" applyFont="1" applyFill="1"/>
    <xf numFmtId="0" fontId="3" fillId="0" borderId="0" xfId="0" applyFont="1"/>
    <xf numFmtId="0" fontId="51" fillId="0" borderId="0" xfId="0" applyFont="1"/>
    <xf numFmtId="172" fontId="3" fillId="0" borderId="0" xfId="1" quotePrefix="1" applyNumberFormat="1" applyFont="1"/>
    <xf numFmtId="164" fontId="19" fillId="0" borderId="3" xfId="1" applyNumberFormat="1" applyFont="1" applyFill="1" applyBorder="1"/>
    <xf numFmtId="164" fontId="19" fillId="0" borderId="2" xfId="1" applyNumberFormat="1" applyFont="1" applyFill="1" applyBorder="1"/>
    <xf numFmtId="164" fontId="19" fillId="0" borderId="0" xfId="1" applyNumberFormat="1" applyFont="1" applyFill="1" applyBorder="1"/>
    <xf numFmtId="3" fontId="63" fillId="0" borderId="0" xfId="0" applyNumberFormat="1" applyFont="1"/>
    <xf numFmtId="3" fontId="2" fillId="0" borderId="3" xfId="0" applyNumberFormat="1" applyFont="1" applyBorder="1" applyAlignment="1">
      <alignment horizontal="right"/>
    </xf>
    <xf numFmtId="180" fontId="0" fillId="0" borderId="0" xfId="0" applyNumberFormat="1"/>
    <xf numFmtId="181" fontId="0" fillId="0" borderId="0" xfId="0" applyNumberFormat="1"/>
    <xf numFmtId="3" fontId="37" fillId="0" borderId="3" xfId="0" applyNumberFormat="1" applyFont="1" applyBorder="1"/>
    <xf numFmtId="164" fontId="37" fillId="0" borderId="2" xfId="1" quotePrefix="1" applyNumberFormat="1" applyFont="1" applyBorder="1"/>
    <xf numFmtId="164" fontId="37" fillId="0" borderId="0" xfId="1" quotePrefix="1" applyNumberFormat="1" applyFont="1" applyBorder="1"/>
    <xf numFmtId="164" fontId="37" fillId="0" borderId="3" xfId="1" quotePrefix="1" applyNumberFormat="1" applyFont="1" applyBorder="1"/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8" fillId="33" borderId="12" xfId="0" applyFont="1" applyFill="1" applyBorder="1" applyAlignment="1">
      <alignment horizontal="center"/>
    </xf>
  </cellXfs>
  <cellStyles count="6689">
    <cellStyle name="20% - Accent1" xfId="6585" builtinId="30" customBuiltin="1"/>
    <cellStyle name="20% - Accent1 10" xfId="16"/>
    <cellStyle name="20% - Accent1 10 10" xfId="17"/>
    <cellStyle name="20% - Accent1 10 11" xfId="18"/>
    <cellStyle name="20% - Accent1 10 2" xfId="19"/>
    <cellStyle name="20% - Accent1 10 3" xfId="20"/>
    <cellStyle name="20% - Accent1 10 4" xfId="21"/>
    <cellStyle name="20% - Accent1 10 5" xfId="22"/>
    <cellStyle name="20% - Accent1 10 6" xfId="23"/>
    <cellStyle name="20% - Accent1 10 7" xfId="24"/>
    <cellStyle name="20% - Accent1 10 8" xfId="25"/>
    <cellStyle name="20% - Accent1 10 9" xfId="26"/>
    <cellStyle name="20% - Accent1 11" xfId="27"/>
    <cellStyle name="20% - Accent1 11 10" xfId="28"/>
    <cellStyle name="20% - Accent1 11 11" xfId="29"/>
    <cellStyle name="20% - Accent1 11 2" xfId="30"/>
    <cellStyle name="20% - Accent1 11 3" xfId="31"/>
    <cellStyle name="20% - Accent1 11 4" xfId="32"/>
    <cellStyle name="20% - Accent1 11 5" xfId="33"/>
    <cellStyle name="20% - Accent1 11 6" xfId="34"/>
    <cellStyle name="20% - Accent1 11 7" xfId="35"/>
    <cellStyle name="20% - Accent1 11 8" xfId="36"/>
    <cellStyle name="20% - Accent1 11 9" xfId="37"/>
    <cellStyle name="20% - Accent1 12" xfId="38"/>
    <cellStyle name="20% - Accent1 12 10" xfId="39"/>
    <cellStyle name="20% - Accent1 12 11" xfId="40"/>
    <cellStyle name="20% - Accent1 12 2" xfId="41"/>
    <cellStyle name="20% - Accent1 12 3" xfId="42"/>
    <cellStyle name="20% - Accent1 12 4" xfId="43"/>
    <cellStyle name="20% - Accent1 12 5" xfId="44"/>
    <cellStyle name="20% - Accent1 12 6" xfId="45"/>
    <cellStyle name="20% - Accent1 12 7" xfId="46"/>
    <cellStyle name="20% - Accent1 12 8" xfId="47"/>
    <cellStyle name="20% - Accent1 12 9" xfId="48"/>
    <cellStyle name="20% - Accent1 13" xfId="49"/>
    <cellStyle name="20% - Accent1 13 10" xfId="50"/>
    <cellStyle name="20% - Accent1 13 11" xfId="51"/>
    <cellStyle name="20% - Accent1 13 2" xfId="52"/>
    <cellStyle name="20% - Accent1 13 3" xfId="53"/>
    <cellStyle name="20% - Accent1 13 4" xfId="54"/>
    <cellStyle name="20% - Accent1 13 5" xfId="55"/>
    <cellStyle name="20% - Accent1 13 6" xfId="56"/>
    <cellStyle name="20% - Accent1 13 7" xfId="57"/>
    <cellStyle name="20% - Accent1 13 8" xfId="58"/>
    <cellStyle name="20% - Accent1 13 9" xfId="59"/>
    <cellStyle name="20% - Accent1 14" xfId="60"/>
    <cellStyle name="20% - Accent1 14 10" xfId="61"/>
    <cellStyle name="20% - Accent1 14 11" xfId="62"/>
    <cellStyle name="20% - Accent1 14 2" xfId="63"/>
    <cellStyle name="20% - Accent1 14 3" xfId="64"/>
    <cellStyle name="20% - Accent1 14 4" xfId="65"/>
    <cellStyle name="20% - Accent1 14 5" xfId="66"/>
    <cellStyle name="20% - Accent1 14 6" xfId="67"/>
    <cellStyle name="20% - Accent1 14 7" xfId="68"/>
    <cellStyle name="20% - Accent1 14 8" xfId="69"/>
    <cellStyle name="20% - Accent1 14 9" xfId="70"/>
    <cellStyle name="20% - Accent1 15" xfId="71"/>
    <cellStyle name="20% - Accent1 15 10" xfId="72"/>
    <cellStyle name="20% - Accent1 15 11" xfId="73"/>
    <cellStyle name="20% - Accent1 15 2" xfId="74"/>
    <cellStyle name="20% - Accent1 15 3" xfId="75"/>
    <cellStyle name="20% - Accent1 15 4" xfId="76"/>
    <cellStyle name="20% - Accent1 15 5" xfId="77"/>
    <cellStyle name="20% - Accent1 15 6" xfId="78"/>
    <cellStyle name="20% - Accent1 15 7" xfId="79"/>
    <cellStyle name="20% - Accent1 15 8" xfId="80"/>
    <cellStyle name="20% - Accent1 15 9" xfId="81"/>
    <cellStyle name="20% - Accent1 16" xfId="82"/>
    <cellStyle name="20% - Accent1 16 10" xfId="83"/>
    <cellStyle name="20% - Accent1 16 11" xfId="84"/>
    <cellStyle name="20% - Accent1 16 2" xfId="85"/>
    <cellStyle name="20% - Accent1 16 3" xfId="86"/>
    <cellStyle name="20% - Accent1 16 4" xfId="87"/>
    <cellStyle name="20% - Accent1 16 5" xfId="88"/>
    <cellStyle name="20% - Accent1 16 6" xfId="89"/>
    <cellStyle name="20% - Accent1 16 7" xfId="90"/>
    <cellStyle name="20% - Accent1 16 8" xfId="91"/>
    <cellStyle name="20% - Accent1 16 9" xfId="92"/>
    <cellStyle name="20% - Accent1 17" xfId="93"/>
    <cellStyle name="20% - Accent1 17 10" xfId="94"/>
    <cellStyle name="20% - Accent1 17 11" xfId="95"/>
    <cellStyle name="20% - Accent1 17 2" xfId="96"/>
    <cellStyle name="20% - Accent1 17 3" xfId="97"/>
    <cellStyle name="20% - Accent1 17 4" xfId="98"/>
    <cellStyle name="20% - Accent1 17 5" xfId="99"/>
    <cellStyle name="20% - Accent1 17 6" xfId="100"/>
    <cellStyle name="20% - Accent1 17 7" xfId="101"/>
    <cellStyle name="20% - Accent1 17 8" xfId="102"/>
    <cellStyle name="20% - Accent1 17 9" xfId="103"/>
    <cellStyle name="20% - Accent1 18" xfId="104"/>
    <cellStyle name="20% - Accent1 18 10" xfId="105"/>
    <cellStyle name="20% - Accent1 18 11" xfId="106"/>
    <cellStyle name="20% - Accent1 18 2" xfId="107"/>
    <cellStyle name="20% - Accent1 18 3" xfId="108"/>
    <cellStyle name="20% - Accent1 18 4" xfId="109"/>
    <cellStyle name="20% - Accent1 18 5" xfId="110"/>
    <cellStyle name="20% - Accent1 18 6" xfId="111"/>
    <cellStyle name="20% - Accent1 18 7" xfId="112"/>
    <cellStyle name="20% - Accent1 18 8" xfId="113"/>
    <cellStyle name="20% - Accent1 18 9" xfId="114"/>
    <cellStyle name="20% - Accent1 19" xfId="115"/>
    <cellStyle name="20% - Accent1 19 10" xfId="116"/>
    <cellStyle name="20% - Accent1 19 11" xfId="117"/>
    <cellStyle name="20% - Accent1 19 2" xfId="118"/>
    <cellStyle name="20% - Accent1 19 3" xfId="119"/>
    <cellStyle name="20% - Accent1 19 4" xfId="120"/>
    <cellStyle name="20% - Accent1 19 5" xfId="121"/>
    <cellStyle name="20% - Accent1 19 6" xfId="122"/>
    <cellStyle name="20% - Accent1 19 7" xfId="123"/>
    <cellStyle name="20% - Accent1 19 8" xfId="124"/>
    <cellStyle name="20% - Accent1 19 9" xfId="125"/>
    <cellStyle name="20% - Accent1 2" xfId="126"/>
    <cellStyle name="20% - Accent1 2 10" xfId="127"/>
    <cellStyle name="20% - Accent1 2 11" xfId="128"/>
    <cellStyle name="20% - Accent1 2 2" xfId="129"/>
    <cellStyle name="20% - Accent1 2 3" xfId="130"/>
    <cellStyle name="20% - Accent1 2 4" xfId="131"/>
    <cellStyle name="20% - Accent1 2 5" xfId="132"/>
    <cellStyle name="20% - Accent1 2 6" xfId="133"/>
    <cellStyle name="20% - Accent1 2 7" xfId="134"/>
    <cellStyle name="20% - Accent1 2 8" xfId="135"/>
    <cellStyle name="20% - Accent1 2 9" xfId="136"/>
    <cellStyle name="20% - Accent1 20" xfId="137"/>
    <cellStyle name="20% - Accent1 20 10" xfId="138"/>
    <cellStyle name="20% - Accent1 20 11" xfId="139"/>
    <cellStyle name="20% - Accent1 20 2" xfId="140"/>
    <cellStyle name="20% - Accent1 20 3" xfId="141"/>
    <cellStyle name="20% - Accent1 20 4" xfId="142"/>
    <cellStyle name="20% - Accent1 20 5" xfId="143"/>
    <cellStyle name="20% - Accent1 20 6" xfId="144"/>
    <cellStyle name="20% - Accent1 20 7" xfId="145"/>
    <cellStyle name="20% - Accent1 20 8" xfId="146"/>
    <cellStyle name="20% - Accent1 20 9" xfId="147"/>
    <cellStyle name="20% - Accent1 21" xfId="148"/>
    <cellStyle name="20% - Accent1 21 10" xfId="149"/>
    <cellStyle name="20% - Accent1 21 11" xfId="150"/>
    <cellStyle name="20% - Accent1 21 2" xfId="151"/>
    <cellStyle name="20% - Accent1 21 3" xfId="152"/>
    <cellStyle name="20% - Accent1 21 4" xfId="153"/>
    <cellStyle name="20% - Accent1 21 5" xfId="154"/>
    <cellStyle name="20% - Accent1 21 6" xfId="155"/>
    <cellStyle name="20% - Accent1 21 7" xfId="156"/>
    <cellStyle name="20% - Accent1 21 8" xfId="157"/>
    <cellStyle name="20% - Accent1 21 9" xfId="158"/>
    <cellStyle name="20% - Accent1 22" xfId="159"/>
    <cellStyle name="20% - Accent1 22 10" xfId="160"/>
    <cellStyle name="20% - Accent1 22 11" xfId="161"/>
    <cellStyle name="20% - Accent1 22 2" xfId="162"/>
    <cellStyle name="20% - Accent1 22 3" xfId="163"/>
    <cellStyle name="20% - Accent1 22 4" xfId="164"/>
    <cellStyle name="20% - Accent1 22 5" xfId="165"/>
    <cellStyle name="20% - Accent1 22 6" xfId="166"/>
    <cellStyle name="20% - Accent1 22 7" xfId="167"/>
    <cellStyle name="20% - Accent1 22 8" xfId="168"/>
    <cellStyle name="20% - Accent1 22 9" xfId="169"/>
    <cellStyle name="20% - Accent1 23" xfId="170"/>
    <cellStyle name="20% - Accent1 23 10" xfId="171"/>
    <cellStyle name="20% - Accent1 23 11" xfId="172"/>
    <cellStyle name="20% - Accent1 23 2" xfId="173"/>
    <cellStyle name="20% - Accent1 23 3" xfId="174"/>
    <cellStyle name="20% - Accent1 23 4" xfId="175"/>
    <cellStyle name="20% - Accent1 23 5" xfId="176"/>
    <cellStyle name="20% - Accent1 23 6" xfId="177"/>
    <cellStyle name="20% - Accent1 23 7" xfId="178"/>
    <cellStyle name="20% - Accent1 23 8" xfId="179"/>
    <cellStyle name="20% - Accent1 23 9" xfId="180"/>
    <cellStyle name="20% - Accent1 24" xfId="181"/>
    <cellStyle name="20% - Accent1 24 10" xfId="182"/>
    <cellStyle name="20% - Accent1 24 11" xfId="183"/>
    <cellStyle name="20% - Accent1 24 2" xfId="184"/>
    <cellStyle name="20% - Accent1 24 3" xfId="185"/>
    <cellStyle name="20% - Accent1 24 4" xfId="186"/>
    <cellStyle name="20% - Accent1 24 5" xfId="187"/>
    <cellStyle name="20% - Accent1 24 6" xfId="188"/>
    <cellStyle name="20% - Accent1 24 7" xfId="189"/>
    <cellStyle name="20% - Accent1 24 8" xfId="190"/>
    <cellStyle name="20% - Accent1 24 9" xfId="191"/>
    <cellStyle name="20% - Accent1 25" xfId="192"/>
    <cellStyle name="20% - Accent1 25 10" xfId="193"/>
    <cellStyle name="20% - Accent1 25 11" xfId="194"/>
    <cellStyle name="20% - Accent1 25 2" xfId="195"/>
    <cellStyle name="20% - Accent1 25 3" xfId="196"/>
    <cellStyle name="20% - Accent1 25 4" xfId="197"/>
    <cellStyle name="20% - Accent1 25 5" xfId="198"/>
    <cellStyle name="20% - Accent1 25 6" xfId="199"/>
    <cellStyle name="20% - Accent1 25 7" xfId="200"/>
    <cellStyle name="20% - Accent1 25 8" xfId="201"/>
    <cellStyle name="20% - Accent1 25 9" xfId="202"/>
    <cellStyle name="20% - Accent1 26" xfId="203"/>
    <cellStyle name="20% - Accent1 26 10" xfId="204"/>
    <cellStyle name="20% - Accent1 26 11" xfId="205"/>
    <cellStyle name="20% - Accent1 26 2" xfId="206"/>
    <cellStyle name="20% - Accent1 26 3" xfId="207"/>
    <cellStyle name="20% - Accent1 26 4" xfId="208"/>
    <cellStyle name="20% - Accent1 26 5" xfId="209"/>
    <cellStyle name="20% - Accent1 26 6" xfId="210"/>
    <cellStyle name="20% - Accent1 26 7" xfId="211"/>
    <cellStyle name="20% - Accent1 26 8" xfId="212"/>
    <cellStyle name="20% - Accent1 26 9" xfId="213"/>
    <cellStyle name="20% - Accent1 27" xfId="214"/>
    <cellStyle name="20% - Accent1 27 10" xfId="215"/>
    <cellStyle name="20% - Accent1 27 11" xfId="216"/>
    <cellStyle name="20% - Accent1 27 2" xfId="217"/>
    <cellStyle name="20% - Accent1 27 3" xfId="218"/>
    <cellStyle name="20% - Accent1 27 4" xfId="219"/>
    <cellStyle name="20% - Accent1 27 5" xfId="220"/>
    <cellStyle name="20% - Accent1 27 6" xfId="221"/>
    <cellStyle name="20% - Accent1 27 7" xfId="222"/>
    <cellStyle name="20% - Accent1 27 8" xfId="223"/>
    <cellStyle name="20% - Accent1 27 9" xfId="224"/>
    <cellStyle name="20% - Accent1 28" xfId="225"/>
    <cellStyle name="20% - Accent1 28 10" xfId="226"/>
    <cellStyle name="20% - Accent1 28 11" xfId="227"/>
    <cellStyle name="20% - Accent1 28 2" xfId="228"/>
    <cellStyle name="20% - Accent1 28 3" xfId="229"/>
    <cellStyle name="20% - Accent1 28 4" xfId="230"/>
    <cellStyle name="20% - Accent1 28 5" xfId="231"/>
    <cellStyle name="20% - Accent1 28 6" xfId="232"/>
    <cellStyle name="20% - Accent1 28 7" xfId="233"/>
    <cellStyle name="20% - Accent1 28 8" xfId="234"/>
    <cellStyle name="20% - Accent1 28 9" xfId="235"/>
    <cellStyle name="20% - Accent1 29" xfId="236"/>
    <cellStyle name="20% - Accent1 29 10" xfId="237"/>
    <cellStyle name="20% - Accent1 29 11" xfId="238"/>
    <cellStyle name="20% - Accent1 29 2" xfId="239"/>
    <cellStyle name="20% - Accent1 29 3" xfId="240"/>
    <cellStyle name="20% - Accent1 29 4" xfId="241"/>
    <cellStyle name="20% - Accent1 29 5" xfId="242"/>
    <cellStyle name="20% - Accent1 29 6" xfId="243"/>
    <cellStyle name="20% - Accent1 29 7" xfId="244"/>
    <cellStyle name="20% - Accent1 29 8" xfId="245"/>
    <cellStyle name="20% - Accent1 29 9" xfId="246"/>
    <cellStyle name="20% - Accent1 3" xfId="247"/>
    <cellStyle name="20% - Accent1 3 10" xfId="248"/>
    <cellStyle name="20% - Accent1 3 11" xfId="249"/>
    <cellStyle name="20% - Accent1 3 2" xfId="250"/>
    <cellStyle name="20% - Accent1 3 3" xfId="251"/>
    <cellStyle name="20% - Accent1 3 4" xfId="252"/>
    <cellStyle name="20% - Accent1 3 5" xfId="253"/>
    <cellStyle name="20% - Accent1 3 6" xfId="254"/>
    <cellStyle name="20% - Accent1 3 7" xfId="255"/>
    <cellStyle name="20% - Accent1 3 8" xfId="256"/>
    <cellStyle name="20% - Accent1 3 9" xfId="257"/>
    <cellStyle name="20% - Accent1 30" xfId="258"/>
    <cellStyle name="20% - Accent1 30 10" xfId="259"/>
    <cellStyle name="20% - Accent1 30 11" xfId="260"/>
    <cellStyle name="20% - Accent1 30 2" xfId="261"/>
    <cellStyle name="20% - Accent1 30 3" xfId="262"/>
    <cellStyle name="20% - Accent1 30 4" xfId="263"/>
    <cellStyle name="20% - Accent1 30 5" xfId="264"/>
    <cellStyle name="20% - Accent1 30 6" xfId="265"/>
    <cellStyle name="20% - Accent1 30 7" xfId="266"/>
    <cellStyle name="20% - Accent1 30 8" xfId="267"/>
    <cellStyle name="20% - Accent1 30 9" xfId="268"/>
    <cellStyle name="20% - Accent1 31" xfId="269"/>
    <cellStyle name="20% - Accent1 31 10" xfId="270"/>
    <cellStyle name="20% - Accent1 31 11" xfId="271"/>
    <cellStyle name="20% - Accent1 31 2" xfId="272"/>
    <cellStyle name="20% - Accent1 31 3" xfId="273"/>
    <cellStyle name="20% - Accent1 31 4" xfId="274"/>
    <cellStyle name="20% - Accent1 31 5" xfId="275"/>
    <cellStyle name="20% - Accent1 31 6" xfId="276"/>
    <cellStyle name="20% - Accent1 31 7" xfId="277"/>
    <cellStyle name="20% - Accent1 31 8" xfId="278"/>
    <cellStyle name="20% - Accent1 31 9" xfId="279"/>
    <cellStyle name="20% - Accent1 32" xfId="280"/>
    <cellStyle name="20% - Accent1 32 10" xfId="281"/>
    <cellStyle name="20% - Accent1 32 11" xfId="282"/>
    <cellStyle name="20% - Accent1 32 2" xfId="283"/>
    <cellStyle name="20% - Accent1 32 3" xfId="284"/>
    <cellStyle name="20% - Accent1 32 4" xfId="285"/>
    <cellStyle name="20% - Accent1 32 5" xfId="286"/>
    <cellStyle name="20% - Accent1 32 6" xfId="287"/>
    <cellStyle name="20% - Accent1 32 7" xfId="288"/>
    <cellStyle name="20% - Accent1 32 8" xfId="289"/>
    <cellStyle name="20% - Accent1 32 9" xfId="290"/>
    <cellStyle name="20% - Accent1 33" xfId="291"/>
    <cellStyle name="20% - Accent1 33 10" xfId="292"/>
    <cellStyle name="20% - Accent1 33 11" xfId="293"/>
    <cellStyle name="20% - Accent1 33 2" xfId="294"/>
    <cellStyle name="20% - Accent1 33 3" xfId="295"/>
    <cellStyle name="20% - Accent1 33 4" xfId="296"/>
    <cellStyle name="20% - Accent1 33 5" xfId="297"/>
    <cellStyle name="20% - Accent1 33 6" xfId="298"/>
    <cellStyle name="20% - Accent1 33 7" xfId="299"/>
    <cellStyle name="20% - Accent1 33 8" xfId="300"/>
    <cellStyle name="20% - Accent1 33 9" xfId="301"/>
    <cellStyle name="20% - Accent1 34" xfId="302"/>
    <cellStyle name="20% - Accent1 34 10" xfId="303"/>
    <cellStyle name="20% - Accent1 34 11" xfId="304"/>
    <cellStyle name="20% - Accent1 34 2" xfId="305"/>
    <cellStyle name="20% - Accent1 34 3" xfId="306"/>
    <cellStyle name="20% - Accent1 34 4" xfId="307"/>
    <cellStyle name="20% - Accent1 34 5" xfId="308"/>
    <cellStyle name="20% - Accent1 34 6" xfId="309"/>
    <cellStyle name="20% - Accent1 34 7" xfId="310"/>
    <cellStyle name="20% - Accent1 34 8" xfId="311"/>
    <cellStyle name="20% - Accent1 34 9" xfId="312"/>
    <cellStyle name="20% - Accent1 35" xfId="313"/>
    <cellStyle name="20% - Accent1 35 10" xfId="314"/>
    <cellStyle name="20% - Accent1 35 11" xfId="315"/>
    <cellStyle name="20% - Accent1 35 2" xfId="316"/>
    <cellStyle name="20% - Accent1 35 3" xfId="317"/>
    <cellStyle name="20% - Accent1 35 4" xfId="318"/>
    <cellStyle name="20% - Accent1 35 5" xfId="319"/>
    <cellStyle name="20% - Accent1 35 6" xfId="320"/>
    <cellStyle name="20% - Accent1 35 7" xfId="321"/>
    <cellStyle name="20% - Accent1 35 8" xfId="322"/>
    <cellStyle name="20% - Accent1 35 9" xfId="323"/>
    <cellStyle name="20% - Accent1 36" xfId="324"/>
    <cellStyle name="20% - Accent1 36 10" xfId="325"/>
    <cellStyle name="20% - Accent1 36 11" xfId="326"/>
    <cellStyle name="20% - Accent1 36 2" xfId="327"/>
    <cellStyle name="20% - Accent1 36 3" xfId="328"/>
    <cellStyle name="20% - Accent1 36 4" xfId="329"/>
    <cellStyle name="20% - Accent1 36 5" xfId="330"/>
    <cellStyle name="20% - Accent1 36 6" xfId="331"/>
    <cellStyle name="20% - Accent1 36 7" xfId="332"/>
    <cellStyle name="20% - Accent1 36 8" xfId="333"/>
    <cellStyle name="20% - Accent1 36 9" xfId="334"/>
    <cellStyle name="20% - Accent1 37" xfId="335"/>
    <cellStyle name="20% - Accent1 37 10" xfId="336"/>
    <cellStyle name="20% - Accent1 37 11" xfId="337"/>
    <cellStyle name="20% - Accent1 37 2" xfId="338"/>
    <cellStyle name="20% - Accent1 37 3" xfId="339"/>
    <cellStyle name="20% - Accent1 37 4" xfId="340"/>
    <cellStyle name="20% - Accent1 37 5" xfId="341"/>
    <cellStyle name="20% - Accent1 37 6" xfId="342"/>
    <cellStyle name="20% - Accent1 37 7" xfId="343"/>
    <cellStyle name="20% - Accent1 37 8" xfId="344"/>
    <cellStyle name="20% - Accent1 37 9" xfId="345"/>
    <cellStyle name="20% - Accent1 38" xfId="346"/>
    <cellStyle name="20% - Accent1 39" xfId="347"/>
    <cellStyle name="20% - Accent1 4" xfId="348"/>
    <cellStyle name="20% - Accent1 4 10" xfId="349"/>
    <cellStyle name="20% - Accent1 4 11" xfId="350"/>
    <cellStyle name="20% - Accent1 4 2" xfId="351"/>
    <cellStyle name="20% - Accent1 4 3" xfId="352"/>
    <cellStyle name="20% - Accent1 4 4" xfId="353"/>
    <cellStyle name="20% - Accent1 4 5" xfId="354"/>
    <cellStyle name="20% - Accent1 4 6" xfId="355"/>
    <cellStyle name="20% - Accent1 4 7" xfId="356"/>
    <cellStyle name="20% - Accent1 4 8" xfId="357"/>
    <cellStyle name="20% - Accent1 4 9" xfId="358"/>
    <cellStyle name="20% - Accent1 40" xfId="359"/>
    <cellStyle name="20% - Accent1 41" xfId="360"/>
    <cellStyle name="20% - Accent1 42" xfId="361"/>
    <cellStyle name="20% - Accent1 43" xfId="362"/>
    <cellStyle name="20% - Accent1 44" xfId="363"/>
    <cellStyle name="20% - Accent1 5" xfId="364"/>
    <cellStyle name="20% - Accent1 5 10" xfId="365"/>
    <cellStyle name="20% - Accent1 5 11" xfId="366"/>
    <cellStyle name="20% - Accent1 5 2" xfId="367"/>
    <cellStyle name="20% - Accent1 5 3" xfId="368"/>
    <cellStyle name="20% - Accent1 5 4" xfId="369"/>
    <cellStyle name="20% - Accent1 5 5" xfId="370"/>
    <cellStyle name="20% - Accent1 5 6" xfId="371"/>
    <cellStyle name="20% - Accent1 5 7" xfId="372"/>
    <cellStyle name="20% - Accent1 5 8" xfId="373"/>
    <cellStyle name="20% - Accent1 5 9" xfId="374"/>
    <cellStyle name="20% - Accent1 6" xfId="375"/>
    <cellStyle name="20% - Accent1 6 10" xfId="376"/>
    <cellStyle name="20% - Accent1 6 11" xfId="377"/>
    <cellStyle name="20% - Accent1 6 2" xfId="378"/>
    <cellStyle name="20% - Accent1 6 3" xfId="379"/>
    <cellStyle name="20% - Accent1 6 4" xfId="380"/>
    <cellStyle name="20% - Accent1 6 5" xfId="381"/>
    <cellStyle name="20% - Accent1 6 6" xfId="382"/>
    <cellStyle name="20% - Accent1 6 7" xfId="383"/>
    <cellStyle name="20% - Accent1 6 8" xfId="384"/>
    <cellStyle name="20% - Accent1 6 9" xfId="385"/>
    <cellStyle name="20% - Accent1 7" xfId="386"/>
    <cellStyle name="20% - Accent1 7 10" xfId="387"/>
    <cellStyle name="20% - Accent1 7 11" xfId="388"/>
    <cellStyle name="20% - Accent1 7 2" xfId="389"/>
    <cellStyle name="20% - Accent1 7 3" xfId="390"/>
    <cellStyle name="20% - Accent1 7 4" xfId="391"/>
    <cellStyle name="20% - Accent1 7 5" xfId="392"/>
    <cellStyle name="20% - Accent1 7 6" xfId="393"/>
    <cellStyle name="20% - Accent1 7 7" xfId="394"/>
    <cellStyle name="20% - Accent1 7 8" xfId="395"/>
    <cellStyle name="20% - Accent1 7 9" xfId="396"/>
    <cellStyle name="20% - Accent1 8" xfId="397"/>
    <cellStyle name="20% - Accent1 8 10" xfId="398"/>
    <cellStyle name="20% - Accent1 8 11" xfId="399"/>
    <cellStyle name="20% - Accent1 8 2" xfId="400"/>
    <cellStyle name="20% - Accent1 8 3" xfId="401"/>
    <cellStyle name="20% - Accent1 8 4" xfId="402"/>
    <cellStyle name="20% - Accent1 8 5" xfId="403"/>
    <cellStyle name="20% - Accent1 8 6" xfId="404"/>
    <cellStyle name="20% - Accent1 8 7" xfId="405"/>
    <cellStyle name="20% - Accent1 8 8" xfId="406"/>
    <cellStyle name="20% - Accent1 8 9" xfId="407"/>
    <cellStyle name="20% - Accent1 9" xfId="408"/>
    <cellStyle name="20% - Accent1 9 10" xfId="409"/>
    <cellStyle name="20% - Accent1 9 11" xfId="410"/>
    <cellStyle name="20% - Accent1 9 2" xfId="411"/>
    <cellStyle name="20% - Accent1 9 3" xfId="412"/>
    <cellStyle name="20% - Accent1 9 4" xfId="413"/>
    <cellStyle name="20% - Accent1 9 5" xfId="414"/>
    <cellStyle name="20% - Accent1 9 6" xfId="415"/>
    <cellStyle name="20% - Accent1 9 7" xfId="416"/>
    <cellStyle name="20% - Accent1 9 8" xfId="417"/>
    <cellStyle name="20% - Accent1 9 9" xfId="418"/>
    <cellStyle name="20% - Accent2" xfId="6589" builtinId="34" customBuiltin="1"/>
    <cellStyle name="20% - Accent2 10" xfId="419"/>
    <cellStyle name="20% - Accent2 10 10" xfId="420"/>
    <cellStyle name="20% - Accent2 10 11" xfId="421"/>
    <cellStyle name="20% - Accent2 10 2" xfId="422"/>
    <cellStyle name="20% - Accent2 10 3" xfId="423"/>
    <cellStyle name="20% - Accent2 10 4" xfId="424"/>
    <cellStyle name="20% - Accent2 10 5" xfId="425"/>
    <cellStyle name="20% - Accent2 10 6" xfId="426"/>
    <cellStyle name="20% - Accent2 10 7" xfId="427"/>
    <cellStyle name="20% - Accent2 10 8" xfId="428"/>
    <cellStyle name="20% - Accent2 10 9" xfId="429"/>
    <cellStyle name="20% - Accent2 11" xfId="430"/>
    <cellStyle name="20% - Accent2 11 10" xfId="431"/>
    <cellStyle name="20% - Accent2 11 11" xfId="432"/>
    <cellStyle name="20% - Accent2 11 2" xfId="433"/>
    <cellStyle name="20% - Accent2 11 3" xfId="434"/>
    <cellStyle name="20% - Accent2 11 4" xfId="435"/>
    <cellStyle name="20% - Accent2 11 5" xfId="436"/>
    <cellStyle name="20% - Accent2 11 6" xfId="437"/>
    <cellStyle name="20% - Accent2 11 7" xfId="438"/>
    <cellStyle name="20% - Accent2 11 8" xfId="439"/>
    <cellStyle name="20% - Accent2 11 9" xfId="440"/>
    <cellStyle name="20% - Accent2 12" xfId="441"/>
    <cellStyle name="20% - Accent2 12 10" xfId="442"/>
    <cellStyle name="20% - Accent2 12 11" xfId="443"/>
    <cellStyle name="20% - Accent2 12 2" xfId="444"/>
    <cellStyle name="20% - Accent2 12 3" xfId="445"/>
    <cellStyle name="20% - Accent2 12 4" xfId="446"/>
    <cellStyle name="20% - Accent2 12 5" xfId="447"/>
    <cellStyle name="20% - Accent2 12 6" xfId="448"/>
    <cellStyle name="20% - Accent2 12 7" xfId="449"/>
    <cellStyle name="20% - Accent2 12 8" xfId="450"/>
    <cellStyle name="20% - Accent2 12 9" xfId="451"/>
    <cellStyle name="20% - Accent2 13" xfId="452"/>
    <cellStyle name="20% - Accent2 13 10" xfId="453"/>
    <cellStyle name="20% - Accent2 13 11" xfId="454"/>
    <cellStyle name="20% - Accent2 13 2" xfId="455"/>
    <cellStyle name="20% - Accent2 13 3" xfId="456"/>
    <cellStyle name="20% - Accent2 13 4" xfId="457"/>
    <cellStyle name="20% - Accent2 13 5" xfId="458"/>
    <cellStyle name="20% - Accent2 13 6" xfId="459"/>
    <cellStyle name="20% - Accent2 13 7" xfId="460"/>
    <cellStyle name="20% - Accent2 13 8" xfId="461"/>
    <cellStyle name="20% - Accent2 13 9" xfId="462"/>
    <cellStyle name="20% - Accent2 14" xfId="463"/>
    <cellStyle name="20% - Accent2 14 10" xfId="464"/>
    <cellStyle name="20% - Accent2 14 11" xfId="465"/>
    <cellStyle name="20% - Accent2 14 2" xfId="466"/>
    <cellStyle name="20% - Accent2 14 3" xfId="467"/>
    <cellStyle name="20% - Accent2 14 4" xfId="468"/>
    <cellStyle name="20% - Accent2 14 5" xfId="469"/>
    <cellStyle name="20% - Accent2 14 6" xfId="470"/>
    <cellStyle name="20% - Accent2 14 7" xfId="471"/>
    <cellStyle name="20% - Accent2 14 8" xfId="472"/>
    <cellStyle name="20% - Accent2 14 9" xfId="473"/>
    <cellStyle name="20% - Accent2 15" xfId="474"/>
    <cellStyle name="20% - Accent2 15 10" xfId="475"/>
    <cellStyle name="20% - Accent2 15 11" xfId="476"/>
    <cellStyle name="20% - Accent2 15 2" xfId="477"/>
    <cellStyle name="20% - Accent2 15 3" xfId="478"/>
    <cellStyle name="20% - Accent2 15 4" xfId="479"/>
    <cellStyle name="20% - Accent2 15 5" xfId="480"/>
    <cellStyle name="20% - Accent2 15 6" xfId="481"/>
    <cellStyle name="20% - Accent2 15 7" xfId="482"/>
    <cellStyle name="20% - Accent2 15 8" xfId="483"/>
    <cellStyle name="20% - Accent2 15 9" xfId="484"/>
    <cellStyle name="20% - Accent2 16" xfId="485"/>
    <cellStyle name="20% - Accent2 16 10" xfId="486"/>
    <cellStyle name="20% - Accent2 16 11" xfId="487"/>
    <cellStyle name="20% - Accent2 16 2" xfId="488"/>
    <cellStyle name="20% - Accent2 16 3" xfId="489"/>
    <cellStyle name="20% - Accent2 16 4" xfId="490"/>
    <cellStyle name="20% - Accent2 16 5" xfId="491"/>
    <cellStyle name="20% - Accent2 16 6" xfId="492"/>
    <cellStyle name="20% - Accent2 16 7" xfId="493"/>
    <cellStyle name="20% - Accent2 16 8" xfId="494"/>
    <cellStyle name="20% - Accent2 16 9" xfId="495"/>
    <cellStyle name="20% - Accent2 17" xfId="496"/>
    <cellStyle name="20% - Accent2 17 10" xfId="497"/>
    <cellStyle name="20% - Accent2 17 11" xfId="498"/>
    <cellStyle name="20% - Accent2 17 2" xfId="499"/>
    <cellStyle name="20% - Accent2 17 3" xfId="500"/>
    <cellStyle name="20% - Accent2 17 4" xfId="501"/>
    <cellStyle name="20% - Accent2 17 5" xfId="502"/>
    <cellStyle name="20% - Accent2 17 6" xfId="503"/>
    <cellStyle name="20% - Accent2 17 7" xfId="504"/>
    <cellStyle name="20% - Accent2 17 8" xfId="505"/>
    <cellStyle name="20% - Accent2 17 9" xfId="506"/>
    <cellStyle name="20% - Accent2 18" xfId="507"/>
    <cellStyle name="20% - Accent2 18 10" xfId="508"/>
    <cellStyle name="20% - Accent2 18 11" xfId="509"/>
    <cellStyle name="20% - Accent2 18 2" xfId="510"/>
    <cellStyle name="20% - Accent2 18 3" xfId="511"/>
    <cellStyle name="20% - Accent2 18 4" xfId="512"/>
    <cellStyle name="20% - Accent2 18 5" xfId="513"/>
    <cellStyle name="20% - Accent2 18 6" xfId="514"/>
    <cellStyle name="20% - Accent2 18 7" xfId="515"/>
    <cellStyle name="20% - Accent2 18 8" xfId="516"/>
    <cellStyle name="20% - Accent2 18 9" xfId="517"/>
    <cellStyle name="20% - Accent2 19" xfId="518"/>
    <cellStyle name="20% - Accent2 19 10" xfId="519"/>
    <cellStyle name="20% - Accent2 19 11" xfId="520"/>
    <cellStyle name="20% - Accent2 19 2" xfId="521"/>
    <cellStyle name="20% - Accent2 19 3" xfId="522"/>
    <cellStyle name="20% - Accent2 19 4" xfId="523"/>
    <cellStyle name="20% - Accent2 19 5" xfId="524"/>
    <cellStyle name="20% - Accent2 19 6" xfId="525"/>
    <cellStyle name="20% - Accent2 19 7" xfId="526"/>
    <cellStyle name="20% - Accent2 19 8" xfId="527"/>
    <cellStyle name="20% - Accent2 19 9" xfId="528"/>
    <cellStyle name="20% - Accent2 2" xfId="529"/>
    <cellStyle name="20% - Accent2 2 10" xfId="530"/>
    <cellStyle name="20% - Accent2 2 11" xfId="531"/>
    <cellStyle name="20% - Accent2 2 2" xfId="532"/>
    <cellStyle name="20% - Accent2 2 3" xfId="533"/>
    <cellStyle name="20% - Accent2 2 4" xfId="534"/>
    <cellStyle name="20% - Accent2 2 5" xfId="535"/>
    <cellStyle name="20% - Accent2 2 6" xfId="536"/>
    <cellStyle name="20% - Accent2 2 7" xfId="537"/>
    <cellStyle name="20% - Accent2 2 8" xfId="538"/>
    <cellStyle name="20% - Accent2 2 9" xfId="539"/>
    <cellStyle name="20% - Accent2 20" xfId="540"/>
    <cellStyle name="20% - Accent2 20 10" xfId="541"/>
    <cellStyle name="20% - Accent2 20 11" xfId="542"/>
    <cellStyle name="20% - Accent2 20 2" xfId="543"/>
    <cellStyle name="20% - Accent2 20 3" xfId="544"/>
    <cellStyle name="20% - Accent2 20 4" xfId="545"/>
    <cellStyle name="20% - Accent2 20 5" xfId="546"/>
    <cellStyle name="20% - Accent2 20 6" xfId="547"/>
    <cellStyle name="20% - Accent2 20 7" xfId="548"/>
    <cellStyle name="20% - Accent2 20 8" xfId="549"/>
    <cellStyle name="20% - Accent2 20 9" xfId="550"/>
    <cellStyle name="20% - Accent2 21" xfId="551"/>
    <cellStyle name="20% - Accent2 21 10" xfId="552"/>
    <cellStyle name="20% - Accent2 21 11" xfId="553"/>
    <cellStyle name="20% - Accent2 21 2" xfId="554"/>
    <cellStyle name="20% - Accent2 21 3" xfId="555"/>
    <cellStyle name="20% - Accent2 21 4" xfId="556"/>
    <cellStyle name="20% - Accent2 21 5" xfId="557"/>
    <cellStyle name="20% - Accent2 21 6" xfId="558"/>
    <cellStyle name="20% - Accent2 21 7" xfId="559"/>
    <cellStyle name="20% - Accent2 21 8" xfId="560"/>
    <cellStyle name="20% - Accent2 21 9" xfId="561"/>
    <cellStyle name="20% - Accent2 22" xfId="562"/>
    <cellStyle name="20% - Accent2 22 10" xfId="563"/>
    <cellStyle name="20% - Accent2 22 11" xfId="564"/>
    <cellStyle name="20% - Accent2 22 2" xfId="565"/>
    <cellStyle name="20% - Accent2 22 3" xfId="566"/>
    <cellStyle name="20% - Accent2 22 4" xfId="567"/>
    <cellStyle name="20% - Accent2 22 5" xfId="568"/>
    <cellStyle name="20% - Accent2 22 6" xfId="569"/>
    <cellStyle name="20% - Accent2 22 7" xfId="570"/>
    <cellStyle name="20% - Accent2 22 8" xfId="571"/>
    <cellStyle name="20% - Accent2 22 9" xfId="572"/>
    <cellStyle name="20% - Accent2 23" xfId="573"/>
    <cellStyle name="20% - Accent2 23 10" xfId="574"/>
    <cellStyle name="20% - Accent2 23 11" xfId="575"/>
    <cellStyle name="20% - Accent2 23 2" xfId="576"/>
    <cellStyle name="20% - Accent2 23 3" xfId="577"/>
    <cellStyle name="20% - Accent2 23 4" xfId="578"/>
    <cellStyle name="20% - Accent2 23 5" xfId="579"/>
    <cellStyle name="20% - Accent2 23 6" xfId="580"/>
    <cellStyle name="20% - Accent2 23 7" xfId="581"/>
    <cellStyle name="20% - Accent2 23 8" xfId="582"/>
    <cellStyle name="20% - Accent2 23 9" xfId="583"/>
    <cellStyle name="20% - Accent2 24" xfId="584"/>
    <cellStyle name="20% - Accent2 24 10" xfId="585"/>
    <cellStyle name="20% - Accent2 24 11" xfId="586"/>
    <cellStyle name="20% - Accent2 24 2" xfId="587"/>
    <cellStyle name="20% - Accent2 24 3" xfId="588"/>
    <cellStyle name="20% - Accent2 24 4" xfId="589"/>
    <cellStyle name="20% - Accent2 24 5" xfId="590"/>
    <cellStyle name="20% - Accent2 24 6" xfId="591"/>
    <cellStyle name="20% - Accent2 24 7" xfId="592"/>
    <cellStyle name="20% - Accent2 24 8" xfId="593"/>
    <cellStyle name="20% - Accent2 24 9" xfId="594"/>
    <cellStyle name="20% - Accent2 25" xfId="595"/>
    <cellStyle name="20% - Accent2 25 10" xfId="596"/>
    <cellStyle name="20% - Accent2 25 11" xfId="597"/>
    <cellStyle name="20% - Accent2 25 2" xfId="598"/>
    <cellStyle name="20% - Accent2 25 3" xfId="599"/>
    <cellStyle name="20% - Accent2 25 4" xfId="600"/>
    <cellStyle name="20% - Accent2 25 5" xfId="601"/>
    <cellStyle name="20% - Accent2 25 6" xfId="602"/>
    <cellStyle name="20% - Accent2 25 7" xfId="603"/>
    <cellStyle name="20% - Accent2 25 8" xfId="604"/>
    <cellStyle name="20% - Accent2 25 9" xfId="605"/>
    <cellStyle name="20% - Accent2 26" xfId="606"/>
    <cellStyle name="20% - Accent2 26 10" xfId="607"/>
    <cellStyle name="20% - Accent2 26 11" xfId="608"/>
    <cellStyle name="20% - Accent2 26 2" xfId="609"/>
    <cellStyle name="20% - Accent2 26 3" xfId="610"/>
    <cellStyle name="20% - Accent2 26 4" xfId="611"/>
    <cellStyle name="20% - Accent2 26 5" xfId="612"/>
    <cellStyle name="20% - Accent2 26 6" xfId="613"/>
    <cellStyle name="20% - Accent2 26 7" xfId="614"/>
    <cellStyle name="20% - Accent2 26 8" xfId="615"/>
    <cellStyle name="20% - Accent2 26 9" xfId="616"/>
    <cellStyle name="20% - Accent2 27" xfId="617"/>
    <cellStyle name="20% - Accent2 27 10" xfId="618"/>
    <cellStyle name="20% - Accent2 27 11" xfId="619"/>
    <cellStyle name="20% - Accent2 27 2" xfId="620"/>
    <cellStyle name="20% - Accent2 27 3" xfId="621"/>
    <cellStyle name="20% - Accent2 27 4" xfId="622"/>
    <cellStyle name="20% - Accent2 27 5" xfId="623"/>
    <cellStyle name="20% - Accent2 27 6" xfId="624"/>
    <cellStyle name="20% - Accent2 27 7" xfId="625"/>
    <cellStyle name="20% - Accent2 27 8" xfId="626"/>
    <cellStyle name="20% - Accent2 27 9" xfId="627"/>
    <cellStyle name="20% - Accent2 28" xfId="628"/>
    <cellStyle name="20% - Accent2 28 10" xfId="629"/>
    <cellStyle name="20% - Accent2 28 11" xfId="630"/>
    <cellStyle name="20% - Accent2 28 2" xfId="631"/>
    <cellStyle name="20% - Accent2 28 3" xfId="632"/>
    <cellStyle name="20% - Accent2 28 4" xfId="633"/>
    <cellStyle name="20% - Accent2 28 5" xfId="634"/>
    <cellStyle name="20% - Accent2 28 6" xfId="635"/>
    <cellStyle name="20% - Accent2 28 7" xfId="636"/>
    <cellStyle name="20% - Accent2 28 8" xfId="637"/>
    <cellStyle name="20% - Accent2 28 9" xfId="638"/>
    <cellStyle name="20% - Accent2 29" xfId="639"/>
    <cellStyle name="20% - Accent2 29 10" xfId="640"/>
    <cellStyle name="20% - Accent2 29 11" xfId="641"/>
    <cellStyle name="20% - Accent2 29 2" xfId="642"/>
    <cellStyle name="20% - Accent2 29 3" xfId="643"/>
    <cellStyle name="20% - Accent2 29 4" xfId="644"/>
    <cellStyle name="20% - Accent2 29 5" xfId="645"/>
    <cellStyle name="20% - Accent2 29 6" xfId="646"/>
    <cellStyle name="20% - Accent2 29 7" xfId="647"/>
    <cellStyle name="20% - Accent2 29 8" xfId="648"/>
    <cellStyle name="20% - Accent2 29 9" xfId="649"/>
    <cellStyle name="20% - Accent2 3" xfId="650"/>
    <cellStyle name="20% - Accent2 3 10" xfId="651"/>
    <cellStyle name="20% - Accent2 3 11" xfId="652"/>
    <cellStyle name="20% - Accent2 3 2" xfId="653"/>
    <cellStyle name="20% - Accent2 3 3" xfId="654"/>
    <cellStyle name="20% - Accent2 3 4" xfId="655"/>
    <cellStyle name="20% - Accent2 3 5" xfId="656"/>
    <cellStyle name="20% - Accent2 3 6" xfId="657"/>
    <cellStyle name="20% - Accent2 3 7" xfId="658"/>
    <cellStyle name="20% - Accent2 3 8" xfId="659"/>
    <cellStyle name="20% - Accent2 3 9" xfId="660"/>
    <cellStyle name="20% - Accent2 30" xfId="661"/>
    <cellStyle name="20% - Accent2 30 10" xfId="662"/>
    <cellStyle name="20% - Accent2 30 11" xfId="663"/>
    <cellStyle name="20% - Accent2 30 2" xfId="664"/>
    <cellStyle name="20% - Accent2 30 3" xfId="665"/>
    <cellStyle name="20% - Accent2 30 4" xfId="666"/>
    <cellStyle name="20% - Accent2 30 5" xfId="667"/>
    <cellStyle name="20% - Accent2 30 6" xfId="668"/>
    <cellStyle name="20% - Accent2 30 7" xfId="669"/>
    <cellStyle name="20% - Accent2 30 8" xfId="670"/>
    <cellStyle name="20% - Accent2 30 9" xfId="671"/>
    <cellStyle name="20% - Accent2 31" xfId="672"/>
    <cellStyle name="20% - Accent2 31 10" xfId="673"/>
    <cellStyle name="20% - Accent2 31 11" xfId="674"/>
    <cellStyle name="20% - Accent2 31 2" xfId="675"/>
    <cellStyle name="20% - Accent2 31 3" xfId="676"/>
    <cellStyle name="20% - Accent2 31 4" xfId="677"/>
    <cellStyle name="20% - Accent2 31 5" xfId="678"/>
    <cellStyle name="20% - Accent2 31 6" xfId="679"/>
    <cellStyle name="20% - Accent2 31 7" xfId="680"/>
    <cellStyle name="20% - Accent2 31 8" xfId="681"/>
    <cellStyle name="20% - Accent2 31 9" xfId="682"/>
    <cellStyle name="20% - Accent2 32" xfId="683"/>
    <cellStyle name="20% - Accent2 32 10" xfId="684"/>
    <cellStyle name="20% - Accent2 32 11" xfId="685"/>
    <cellStyle name="20% - Accent2 32 2" xfId="686"/>
    <cellStyle name="20% - Accent2 32 3" xfId="687"/>
    <cellStyle name="20% - Accent2 32 4" xfId="688"/>
    <cellStyle name="20% - Accent2 32 5" xfId="689"/>
    <cellStyle name="20% - Accent2 32 6" xfId="690"/>
    <cellStyle name="20% - Accent2 32 7" xfId="691"/>
    <cellStyle name="20% - Accent2 32 8" xfId="692"/>
    <cellStyle name="20% - Accent2 32 9" xfId="693"/>
    <cellStyle name="20% - Accent2 33" xfId="694"/>
    <cellStyle name="20% - Accent2 33 10" xfId="695"/>
    <cellStyle name="20% - Accent2 33 11" xfId="696"/>
    <cellStyle name="20% - Accent2 33 2" xfId="697"/>
    <cellStyle name="20% - Accent2 33 3" xfId="698"/>
    <cellStyle name="20% - Accent2 33 4" xfId="699"/>
    <cellStyle name="20% - Accent2 33 5" xfId="700"/>
    <cellStyle name="20% - Accent2 33 6" xfId="701"/>
    <cellStyle name="20% - Accent2 33 7" xfId="702"/>
    <cellStyle name="20% - Accent2 33 8" xfId="703"/>
    <cellStyle name="20% - Accent2 33 9" xfId="704"/>
    <cellStyle name="20% - Accent2 34" xfId="705"/>
    <cellStyle name="20% - Accent2 34 10" xfId="706"/>
    <cellStyle name="20% - Accent2 34 11" xfId="707"/>
    <cellStyle name="20% - Accent2 34 2" xfId="708"/>
    <cellStyle name="20% - Accent2 34 3" xfId="709"/>
    <cellStyle name="20% - Accent2 34 4" xfId="710"/>
    <cellStyle name="20% - Accent2 34 5" xfId="711"/>
    <cellStyle name="20% - Accent2 34 6" xfId="712"/>
    <cellStyle name="20% - Accent2 34 7" xfId="713"/>
    <cellStyle name="20% - Accent2 34 8" xfId="714"/>
    <cellStyle name="20% - Accent2 34 9" xfId="715"/>
    <cellStyle name="20% - Accent2 35" xfId="716"/>
    <cellStyle name="20% - Accent2 35 10" xfId="717"/>
    <cellStyle name="20% - Accent2 35 11" xfId="718"/>
    <cellStyle name="20% - Accent2 35 2" xfId="719"/>
    <cellStyle name="20% - Accent2 35 3" xfId="720"/>
    <cellStyle name="20% - Accent2 35 4" xfId="721"/>
    <cellStyle name="20% - Accent2 35 5" xfId="722"/>
    <cellStyle name="20% - Accent2 35 6" xfId="723"/>
    <cellStyle name="20% - Accent2 35 7" xfId="724"/>
    <cellStyle name="20% - Accent2 35 8" xfId="725"/>
    <cellStyle name="20% - Accent2 35 9" xfId="726"/>
    <cellStyle name="20% - Accent2 36" xfId="727"/>
    <cellStyle name="20% - Accent2 36 10" xfId="728"/>
    <cellStyle name="20% - Accent2 36 11" xfId="729"/>
    <cellStyle name="20% - Accent2 36 2" xfId="730"/>
    <cellStyle name="20% - Accent2 36 3" xfId="731"/>
    <cellStyle name="20% - Accent2 36 4" xfId="732"/>
    <cellStyle name="20% - Accent2 36 5" xfId="733"/>
    <cellStyle name="20% - Accent2 36 6" xfId="734"/>
    <cellStyle name="20% - Accent2 36 7" xfId="735"/>
    <cellStyle name="20% - Accent2 36 8" xfId="736"/>
    <cellStyle name="20% - Accent2 36 9" xfId="737"/>
    <cellStyle name="20% - Accent2 37" xfId="738"/>
    <cellStyle name="20% - Accent2 37 10" xfId="739"/>
    <cellStyle name="20% - Accent2 37 11" xfId="740"/>
    <cellStyle name="20% - Accent2 37 2" xfId="741"/>
    <cellStyle name="20% - Accent2 37 3" xfId="742"/>
    <cellStyle name="20% - Accent2 37 4" xfId="743"/>
    <cellStyle name="20% - Accent2 37 5" xfId="744"/>
    <cellStyle name="20% - Accent2 37 6" xfId="745"/>
    <cellStyle name="20% - Accent2 37 7" xfId="746"/>
    <cellStyle name="20% - Accent2 37 8" xfId="747"/>
    <cellStyle name="20% - Accent2 37 9" xfId="748"/>
    <cellStyle name="20% - Accent2 38" xfId="749"/>
    <cellStyle name="20% - Accent2 39" xfId="750"/>
    <cellStyle name="20% - Accent2 4" xfId="751"/>
    <cellStyle name="20% - Accent2 4 10" xfId="752"/>
    <cellStyle name="20% - Accent2 4 11" xfId="753"/>
    <cellStyle name="20% - Accent2 4 2" xfId="754"/>
    <cellStyle name="20% - Accent2 4 3" xfId="755"/>
    <cellStyle name="20% - Accent2 4 4" xfId="756"/>
    <cellStyle name="20% - Accent2 4 5" xfId="757"/>
    <cellStyle name="20% - Accent2 4 6" xfId="758"/>
    <cellStyle name="20% - Accent2 4 7" xfId="759"/>
    <cellStyle name="20% - Accent2 4 8" xfId="760"/>
    <cellStyle name="20% - Accent2 4 9" xfId="761"/>
    <cellStyle name="20% - Accent2 40" xfId="762"/>
    <cellStyle name="20% - Accent2 41" xfId="763"/>
    <cellStyle name="20% - Accent2 42" xfId="764"/>
    <cellStyle name="20% - Accent2 43" xfId="765"/>
    <cellStyle name="20% - Accent2 44" xfId="766"/>
    <cellStyle name="20% - Accent2 5" xfId="767"/>
    <cellStyle name="20% - Accent2 5 10" xfId="768"/>
    <cellStyle name="20% - Accent2 5 11" xfId="769"/>
    <cellStyle name="20% - Accent2 5 2" xfId="770"/>
    <cellStyle name="20% - Accent2 5 3" xfId="771"/>
    <cellStyle name="20% - Accent2 5 4" xfId="772"/>
    <cellStyle name="20% - Accent2 5 5" xfId="773"/>
    <cellStyle name="20% - Accent2 5 6" xfId="774"/>
    <cellStyle name="20% - Accent2 5 7" xfId="775"/>
    <cellStyle name="20% - Accent2 5 8" xfId="776"/>
    <cellStyle name="20% - Accent2 5 9" xfId="777"/>
    <cellStyle name="20% - Accent2 6" xfId="778"/>
    <cellStyle name="20% - Accent2 6 10" xfId="779"/>
    <cellStyle name="20% - Accent2 6 11" xfId="780"/>
    <cellStyle name="20% - Accent2 6 2" xfId="781"/>
    <cellStyle name="20% - Accent2 6 3" xfId="782"/>
    <cellStyle name="20% - Accent2 6 4" xfId="783"/>
    <cellStyle name="20% - Accent2 6 5" xfId="784"/>
    <cellStyle name="20% - Accent2 6 6" xfId="785"/>
    <cellStyle name="20% - Accent2 6 7" xfId="786"/>
    <cellStyle name="20% - Accent2 6 8" xfId="787"/>
    <cellStyle name="20% - Accent2 6 9" xfId="788"/>
    <cellStyle name="20% - Accent2 7" xfId="789"/>
    <cellStyle name="20% - Accent2 7 10" xfId="790"/>
    <cellStyle name="20% - Accent2 7 11" xfId="791"/>
    <cellStyle name="20% - Accent2 7 2" xfId="792"/>
    <cellStyle name="20% - Accent2 7 3" xfId="793"/>
    <cellStyle name="20% - Accent2 7 4" xfId="794"/>
    <cellStyle name="20% - Accent2 7 5" xfId="795"/>
    <cellStyle name="20% - Accent2 7 6" xfId="796"/>
    <cellStyle name="20% - Accent2 7 7" xfId="797"/>
    <cellStyle name="20% - Accent2 7 8" xfId="798"/>
    <cellStyle name="20% - Accent2 7 9" xfId="799"/>
    <cellStyle name="20% - Accent2 8" xfId="800"/>
    <cellStyle name="20% - Accent2 8 10" xfId="801"/>
    <cellStyle name="20% - Accent2 8 11" xfId="802"/>
    <cellStyle name="20% - Accent2 8 2" xfId="803"/>
    <cellStyle name="20% - Accent2 8 3" xfId="804"/>
    <cellStyle name="20% - Accent2 8 4" xfId="805"/>
    <cellStyle name="20% - Accent2 8 5" xfId="806"/>
    <cellStyle name="20% - Accent2 8 6" xfId="807"/>
    <cellStyle name="20% - Accent2 8 7" xfId="808"/>
    <cellStyle name="20% - Accent2 8 8" xfId="809"/>
    <cellStyle name="20% - Accent2 8 9" xfId="810"/>
    <cellStyle name="20% - Accent2 9" xfId="811"/>
    <cellStyle name="20% - Accent2 9 10" xfId="812"/>
    <cellStyle name="20% - Accent2 9 11" xfId="813"/>
    <cellStyle name="20% - Accent2 9 2" xfId="814"/>
    <cellStyle name="20% - Accent2 9 3" xfId="815"/>
    <cellStyle name="20% - Accent2 9 4" xfId="816"/>
    <cellStyle name="20% - Accent2 9 5" xfId="817"/>
    <cellStyle name="20% - Accent2 9 6" xfId="818"/>
    <cellStyle name="20% - Accent2 9 7" xfId="819"/>
    <cellStyle name="20% - Accent2 9 8" xfId="820"/>
    <cellStyle name="20% - Accent2 9 9" xfId="821"/>
    <cellStyle name="20% - Accent3" xfId="6593" builtinId="38" customBuiltin="1"/>
    <cellStyle name="20% - Accent3 10" xfId="822"/>
    <cellStyle name="20% - Accent3 10 10" xfId="823"/>
    <cellStyle name="20% - Accent3 10 11" xfId="824"/>
    <cellStyle name="20% - Accent3 10 2" xfId="825"/>
    <cellStyle name="20% - Accent3 10 3" xfId="826"/>
    <cellStyle name="20% - Accent3 10 4" xfId="827"/>
    <cellStyle name="20% - Accent3 10 5" xfId="828"/>
    <cellStyle name="20% - Accent3 10 6" xfId="829"/>
    <cellStyle name="20% - Accent3 10 7" xfId="830"/>
    <cellStyle name="20% - Accent3 10 8" xfId="831"/>
    <cellStyle name="20% - Accent3 10 9" xfId="832"/>
    <cellStyle name="20% - Accent3 11" xfId="833"/>
    <cellStyle name="20% - Accent3 11 10" xfId="834"/>
    <cellStyle name="20% - Accent3 11 11" xfId="835"/>
    <cellStyle name="20% - Accent3 11 2" xfId="836"/>
    <cellStyle name="20% - Accent3 11 3" xfId="837"/>
    <cellStyle name="20% - Accent3 11 4" xfId="838"/>
    <cellStyle name="20% - Accent3 11 5" xfId="839"/>
    <cellStyle name="20% - Accent3 11 6" xfId="840"/>
    <cellStyle name="20% - Accent3 11 7" xfId="841"/>
    <cellStyle name="20% - Accent3 11 8" xfId="842"/>
    <cellStyle name="20% - Accent3 11 9" xfId="843"/>
    <cellStyle name="20% - Accent3 12" xfId="844"/>
    <cellStyle name="20% - Accent3 12 10" xfId="845"/>
    <cellStyle name="20% - Accent3 12 11" xfId="846"/>
    <cellStyle name="20% - Accent3 12 2" xfId="847"/>
    <cellStyle name="20% - Accent3 12 3" xfId="848"/>
    <cellStyle name="20% - Accent3 12 4" xfId="849"/>
    <cellStyle name="20% - Accent3 12 5" xfId="850"/>
    <cellStyle name="20% - Accent3 12 6" xfId="851"/>
    <cellStyle name="20% - Accent3 12 7" xfId="852"/>
    <cellStyle name="20% - Accent3 12 8" xfId="853"/>
    <cellStyle name="20% - Accent3 12 9" xfId="854"/>
    <cellStyle name="20% - Accent3 13" xfId="855"/>
    <cellStyle name="20% - Accent3 13 10" xfId="856"/>
    <cellStyle name="20% - Accent3 13 11" xfId="857"/>
    <cellStyle name="20% - Accent3 13 2" xfId="858"/>
    <cellStyle name="20% - Accent3 13 3" xfId="859"/>
    <cellStyle name="20% - Accent3 13 4" xfId="860"/>
    <cellStyle name="20% - Accent3 13 5" xfId="861"/>
    <cellStyle name="20% - Accent3 13 6" xfId="862"/>
    <cellStyle name="20% - Accent3 13 7" xfId="863"/>
    <cellStyle name="20% - Accent3 13 8" xfId="864"/>
    <cellStyle name="20% - Accent3 13 9" xfId="865"/>
    <cellStyle name="20% - Accent3 14" xfId="866"/>
    <cellStyle name="20% - Accent3 14 10" xfId="867"/>
    <cellStyle name="20% - Accent3 14 11" xfId="868"/>
    <cellStyle name="20% - Accent3 14 2" xfId="869"/>
    <cellStyle name="20% - Accent3 14 3" xfId="870"/>
    <cellStyle name="20% - Accent3 14 4" xfId="871"/>
    <cellStyle name="20% - Accent3 14 5" xfId="872"/>
    <cellStyle name="20% - Accent3 14 6" xfId="873"/>
    <cellStyle name="20% - Accent3 14 7" xfId="874"/>
    <cellStyle name="20% - Accent3 14 8" xfId="875"/>
    <cellStyle name="20% - Accent3 14 9" xfId="876"/>
    <cellStyle name="20% - Accent3 15" xfId="877"/>
    <cellStyle name="20% - Accent3 15 10" xfId="878"/>
    <cellStyle name="20% - Accent3 15 11" xfId="879"/>
    <cellStyle name="20% - Accent3 15 2" xfId="880"/>
    <cellStyle name="20% - Accent3 15 3" xfId="881"/>
    <cellStyle name="20% - Accent3 15 4" xfId="882"/>
    <cellStyle name="20% - Accent3 15 5" xfId="883"/>
    <cellStyle name="20% - Accent3 15 6" xfId="884"/>
    <cellStyle name="20% - Accent3 15 7" xfId="885"/>
    <cellStyle name="20% - Accent3 15 8" xfId="886"/>
    <cellStyle name="20% - Accent3 15 9" xfId="887"/>
    <cellStyle name="20% - Accent3 16" xfId="888"/>
    <cellStyle name="20% - Accent3 16 10" xfId="889"/>
    <cellStyle name="20% - Accent3 16 11" xfId="890"/>
    <cellStyle name="20% - Accent3 16 2" xfId="891"/>
    <cellStyle name="20% - Accent3 16 3" xfId="892"/>
    <cellStyle name="20% - Accent3 16 4" xfId="893"/>
    <cellStyle name="20% - Accent3 16 5" xfId="894"/>
    <cellStyle name="20% - Accent3 16 6" xfId="895"/>
    <cellStyle name="20% - Accent3 16 7" xfId="896"/>
    <cellStyle name="20% - Accent3 16 8" xfId="897"/>
    <cellStyle name="20% - Accent3 16 9" xfId="898"/>
    <cellStyle name="20% - Accent3 17" xfId="899"/>
    <cellStyle name="20% - Accent3 17 10" xfId="900"/>
    <cellStyle name="20% - Accent3 17 11" xfId="901"/>
    <cellStyle name="20% - Accent3 17 2" xfId="902"/>
    <cellStyle name="20% - Accent3 17 3" xfId="903"/>
    <cellStyle name="20% - Accent3 17 4" xfId="904"/>
    <cellStyle name="20% - Accent3 17 5" xfId="905"/>
    <cellStyle name="20% - Accent3 17 6" xfId="906"/>
    <cellStyle name="20% - Accent3 17 7" xfId="907"/>
    <cellStyle name="20% - Accent3 17 8" xfId="908"/>
    <cellStyle name="20% - Accent3 17 9" xfId="909"/>
    <cellStyle name="20% - Accent3 18" xfId="910"/>
    <cellStyle name="20% - Accent3 18 10" xfId="911"/>
    <cellStyle name="20% - Accent3 18 11" xfId="912"/>
    <cellStyle name="20% - Accent3 18 2" xfId="913"/>
    <cellStyle name="20% - Accent3 18 3" xfId="914"/>
    <cellStyle name="20% - Accent3 18 4" xfId="915"/>
    <cellStyle name="20% - Accent3 18 5" xfId="916"/>
    <cellStyle name="20% - Accent3 18 6" xfId="917"/>
    <cellStyle name="20% - Accent3 18 7" xfId="918"/>
    <cellStyle name="20% - Accent3 18 8" xfId="919"/>
    <cellStyle name="20% - Accent3 18 9" xfId="920"/>
    <cellStyle name="20% - Accent3 19" xfId="921"/>
    <cellStyle name="20% - Accent3 19 10" xfId="922"/>
    <cellStyle name="20% - Accent3 19 11" xfId="923"/>
    <cellStyle name="20% - Accent3 19 2" xfId="924"/>
    <cellStyle name="20% - Accent3 19 3" xfId="925"/>
    <cellStyle name="20% - Accent3 19 4" xfId="926"/>
    <cellStyle name="20% - Accent3 19 5" xfId="927"/>
    <cellStyle name="20% - Accent3 19 6" xfId="928"/>
    <cellStyle name="20% - Accent3 19 7" xfId="929"/>
    <cellStyle name="20% - Accent3 19 8" xfId="930"/>
    <cellStyle name="20% - Accent3 19 9" xfId="931"/>
    <cellStyle name="20% - Accent3 2" xfId="932"/>
    <cellStyle name="20% - Accent3 2 10" xfId="933"/>
    <cellStyle name="20% - Accent3 2 11" xfId="934"/>
    <cellStyle name="20% - Accent3 2 2" xfId="935"/>
    <cellStyle name="20% - Accent3 2 3" xfId="936"/>
    <cellStyle name="20% - Accent3 2 4" xfId="937"/>
    <cellStyle name="20% - Accent3 2 5" xfId="938"/>
    <cellStyle name="20% - Accent3 2 6" xfId="939"/>
    <cellStyle name="20% - Accent3 2 7" xfId="940"/>
    <cellStyle name="20% - Accent3 2 8" xfId="941"/>
    <cellStyle name="20% - Accent3 2 9" xfId="942"/>
    <cellStyle name="20% - Accent3 20" xfId="943"/>
    <cellStyle name="20% - Accent3 20 10" xfId="944"/>
    <cellStyle name="20% - Accent3 20 11" xfId="945"/>
    <cellStyle name="20% - Accent3 20 2" xfId="946"/>
    <cellStyle name="20% - Accent3 20 3" xfId="947"/>
    <cellStyle name="20% - Accent3 20 4" xfId="948"/>
    <cellStyle name="20% - Accent3 20 5" xfId="949"/>
    <cellStyle name="20% - Accent3 20 6" xfId="950"/>
    <cellStyle name="20% - Accent3 20 7" xfId="951"/>
    <cellStyle name="20% - Accent3 20 8" xfId="952"/>
    <cellStyle name="20% - Accent3 20 9" xfId="953"/>
    <cellStyle name="20% - Accent3 21" xfId="954"/>
    <cellStyle name="20% - Accent3 21 10" xfId="955"/>
    <cellStyle name="20% - Accent3 21 11" xfId="956"/>
    <cellStyle name="20% - Accent3 21 2" xfId="957"/>
    <cellStyle name="20% - Accent3 21 3" xfId="958"/>
    <cellStyle name="20% - Accent3 21 4" xfId="959"/>
    <cellStyle name="20% - Accent3 21 5" xfId="960"/>
    <cellStyle name="20% - Accent3 21 6" xfId="961"/>
    <cellStyle name="20% - Accent3 21 7" xfId="962"/>
    <cellStyle name="20% - Accent3 21 8" xfId="963"/>
    <cellStyle name="20% - Accent3 21 9" xfId="964"/>
    <cellStyle name="20% - Accent3 22" xfId="965"/>
    <cellStyle name="20% - Accent3 22 10" xfId="966"/>
    <cellStyle name="20% - Accent3 22 11" xfId="967"/>
    <cellStyle name="20% - Accent3 22 2" xfId="968"/>
    <cellStyle name="20% - Accent3 22 3" xfId="969"/>
    <cellStyle name="20% - Accent3 22 4" xfId="970"/>
    <cellStyle name="20% - Accent3 22 5" xfId="971"/>
    <cellStyle name="20% - Accent3 22 6" xfId="972"/>
    <cellStyle name="20% - Accent3 22 7" xfId="973"/>
    <cellStyle name="20% - Accent3 22 8" xfId="974"/>
    <cellStyle name="20% - Accent3 22 9" xfId="975"/>
    <cellStyle name="20% - Accent3 23" xfId="976"/>
    <cellStyle name="20% - Accent3 23 10" xfId="977"/>
    <cellStyle name="20% - Accent3 23 11" xfId="978"/>
    <cellStyle name="20% - Accent3 23 2" xfId="979"/>
    <cellStyle name="20% - Accent3 23 3" xfId="980"/>
    <cellStyle name="20% - Accent3 23 4" xfId="981"/>
    <cellStyle name="20% - Accent3 23 5" xfId="982"/>
    <cellStyle name="20% - Accent3 23 6" xfId="983"/>
    <cellStyle name="20% - Accent3 23 7" xfId="984"/>
    <cellStyle name="20% - Accent3 23 8" xfId="985"/>
    <cellStyle name="20% - Accent3 23 9" xfId="986"/>
    <cellStyle name="20% - Accent3 24" xfId="987"/>
    <cellStyle name="20% - Accent3 24 10" xfId="988"/>
    <cellStyle name="20% - Accent3 24 11" xfId="989"/>
    <cellStyle name="20% - Accent3 24 2" xfId="990"/>
    <cellStyle name="20% - Accent3 24 3" xfId="991"/>
    <cellStyle name="20% - Accent3 24 4" xfId="992"/>
    <cellStyle name="20% - Accent3 24 5" xfId="993"/>
    <cellStyle name="20% - Accent3 24 6" xfId="994"/>
    <cellStyle name="20% - Accent3 24 7" xfId="995"/>
    <cellStyle name="20% - Accent3 24 8" xfId="996"/>
    <cellStyle name="20% - Accent3 24 9" xfId="997"/>
    <cellStyle name="20% - Accent3 25" xfId="998"/>
    <cellStyle name="20% - Accent3 25 10" xfId="999"/>
    <cellStyle name="20% - Accent3 25 11" xfId="1000"/>
    <cellStyle name="20% - Accent3 25 2" xfId="1001"/>
    <cellStyle name="20% - Accent3 25 3" xfId="1002"/>
    <cellStyle name="20% - Accent3 25 4" xfId="1003"/>
    <cellStyle name="20% - Accent3 25 5" xfId="1004"/>
    <cellStyle name="20% - Accent3 25 6" xfId="1005"/>
    <cellStyle name="20% - Accent3 25 7" xfId="1006"/>
    <cellStyle name="20% - Accent3 25 8" xfId="1007"/>
    <cellStyle name="20% - Accent3 25 9" xfId="1008"/>
    <cellStyle name="20% - Accent3 26" xfId="1009"/>
    <cellStyle name="20% - Accent3 26 10" xfId="1010"/>
    <cellStyle name="20% - Accent3 26 11" xfId="1011"/>
    <cellStyle name="20% - Accent3 26 2" xfId="1012"/>
    <cellStyle name="20% - Accent3 26 3" xfId="1013"/>
    <cellStyle name="20% - Accent3 26 4" xfId="1014"/>
    <cellStyle name="20% - Accent3 26 5" xfId="1015"/>
    <cellStyle name="20% - Accent3 26 6" xfId="1016"/>
    <cellStyle name="20% - Accent3 26 7" xfId="1017"/>
    <cellStyle name="20% - Accent3 26 8" xfId="1018"/>
    <cellStyle name="20% - Accent3 26 9" xfId="1019"/>
    <cellStyle name="20% - Accent3 27" xfId="1020"/>
    <cellStyle name="20% - Accent3 27 10" xfId="1021"/>
    <cellStyle name="20% - Accent3 27 11" xfId="1022"/>
    <cellStyle name="20% - Accent3 27 2" xfId="1023"/>
    <cellStyle name="20% - Accent3 27 3" xfId="1024"/>
    <cellStyle name="20% - Accent3 27 4" xfId="1025"/>
    <cellStyle name="20% - Accent3 27 5" xfId="1026"/>
    <cellStyle name="20% - Accent3 27 6" xfId="1027"/>
    <cellStyle name="20% - Accent3 27 7" xfId="1028"/>
    <cellStyle name="20% - Accent3 27 8" xfId="1029"/>
    <cellStyle name="20% - Accent3 27 9" xfId="1030"/>
    <cellStyle name="20% - Accent3 28" xfId="1031"/>
    <cellStyle name="20% - Accent3 28 10" xfId="1032"/>
    <cellStyle name="20% - Accent3 28 11" xfId="1033"/>
    <cellStyle name="20% - Accent3 28 2" xfId="1034"/>
    <cellStyle name="20% - Accent3 28 3" xfId="1035"/>
    <cellStyle name="20% - Accent3 28 4" xfId="1036"/>
    <cellStyle name="20% - Accent3 28 5" xfId="1037"/>
    <cellStyle name="20% - Accent3 28 6" xfId="1038"/>
    <cellStyle name="20% - Accent3 28 7" xfId="1039"/>
    <cellStyle name="20% - Accent3 28 8" xfId="1040"/>
    <cellStyle name="20% - Accent3 28 9" xfId="1041"/>
    <cellStyle name="20% - Accent3 29" xfId="1042"/>
    <cellStyle name="20% - Accent3 29 10" xfId="1043"/>
    <cellStyle name="20% - Accent3 29 11" xfId="1044"/>
    <cellStyle name="20% - Accent3 29 2" xfId="1045"/>
    <cellStyle name="20% - Accent3 29 3" xfId="1046"/>
    <cellStyle name="20% - Accent3 29 4" xfId="1047"/>
    <cellStyle name="20% - Accent3 29 5" xfId="1048"/>
    <cellStyle name="20% - Accent3 29 6" xfId="1049"/>
    <cellStyle name="20% - Accent3 29 7" xfId="1050"/>
    <cellStyle name="20% - Accent3 29 8" xfId="1051"/>
    <cellStyle name="20% - Accent3 29 9" xfId="1052"/>
    <cellStyle name="20% - Accent3 3" xfId="1053"/>
    <cellStyle name="20% - Accent3 3 10" xfId="1054"/>
    <cellStyle name="20% - Accent3 3 11" xfId="1055"/>
    <cellStyle name="20% - Accent3 3 2" xfId="1056"/>
    <cellStyle name="20% - Accent3 3 3" xfId="1057"/>
    <cellStyle name="20% - Accent3 3 4" xfId="1058"/>
    <cellStyle name="20% - Accent3 3 5" xfId="1059"/>
    <cellStyle name="20% - Accent3 3 6" xfId="1060"/>
    <cellStyle name="20% - Accent3 3 7" xfId="1061"/>
    <cellStyle name="20% - Accent3 3 8" xfId="1062"/>
    <cellStyle name="20% - Accent3 3 9" xfId="1063"/>
    <cellStyle name="20% - Accent3 30" xfId="1064"/>
    <cellStyle name="20% - Accent3 30 10" xfId="1065"/>
    <cellStyle name="20% - Accent3 30 11" xfId="1066"/>
    <cellStyle name="20% - Accent3 30 2" xfId="1067"/>
    <cellStyle name="20% - Accent3 30 3" xfId="1068"/>
    <cellStyle name="20% - Accent3 30 4" xfId="1069"/>
    <cellStyle name="20% - Accent3 30 5" xfId="1070"/>
    <cellStyle name="20% - Accent3 30 6" xfId="1071"/>
    <cellStyle name="20% - Accent3 30 7" xfId="1072"/>
    <cellStyle name="20% - Accent3 30 8" xfId="1073"/>
    <cellStyle name="20% - Accent3 30 9" xfId="1074"/>
    <cellStyle name="20% - Accent3 31" xfId="1075"/>
    <cellStyle name="20% - Accent3 31 10" xfId="1076"/>
    <cellStyle name="20% - Accent3 31 11" xfId="1077"/>
    <cellStyle name="20% - Accent3 31 2" xfId="1078"/>
    <cellStyle name="20% - Accent3 31 3" xfId="1079"/>
    <cellStyle name="20% - Accent3 31 4" xfId="1080"/>
    <cellStyle name="20% - Accent3 31 5" xfId="1081"/>
    <cellStyle name="20% - Accent3 31 6" xfId="1082"/>
    <cellStyle name="20% - Accent3 31 7" xfId="1083"/>
    <cellStyle name="20% - Accent3 31 8" xfId="1084"/>
    <cellStyle name="20% - Accent3 31 9" xfId="1085"/>
    <cellStyle name="20% - Accent3 32" xfId="1086"/>
    <cellStyle name="20% - Accent3 32 10" xfId="1087"/>
    <cellStyle name="20% - Accent3 32 11" xfId="1088"/>
    <cellStyle name="20% - Accent3 32 2" xfId="1089"/>
    <cellStyle name="20% - Accent3 32 3" xfId="1090"/>
    <cellStyle name="20% - Accent3 32 4" xfId="1091"/>
    <cellStyle name="20% - Accent3 32 5" xfId="1092"/>
    <cellStyle name="20% - Accent3 32 6" xfId="1093"/>
    <cellStyle name="20% - Accent3 32 7" xfId="1094"/>
    <cellStyle name="20% - Accent3 32 8" xfId="1095"/>
    <cellStyle name="20% - Accent3 32 9" xfId="1096"/>
    <cellStyle name="20% - Accent3 33" xfId="1097"/>
    <cellStyle name="20% - Accent3 33 10" xfId="1098"/>
    <cellStyle name="20% - Accent3 33 11" xfId="1099"/>
    <cellStyle name="20% - Accent3 33 2" xfId="1100"/>
    <cellStyle name="20% - Accent3 33 3" xfId="1101"/>
    <cellStyle name="20% - Accent3 33 4" xfId="1102"/>
    <cellStyle name="20% - Accent3 33 5" xfId="1103"/>
    <cellStyle name="20% - Accent3 33 6" xfId="1104"/>
    <cellStyle name="20% - Accent3 33 7" xfId="1105"/>
    <cellStyle name="20% - Accent3 33 8" xfId="1106"/>
    <cellStyle name="20% - Accent3 33 9" xfId="1107"/>
    <cellStyle name="20% - Accent3 34" xfId="1108"/>
    <cellStyle name="20% - Accent3 34 10" xfId="1109"/>
    <cellStyle name="20% - Accent3 34 11" xfId="1110"/>
    <cellStyle name="20% - Accent3 34 2" xfId="1111"/>
    <cellStyle name="20% - Accent3 34 3" xfId="1112"/>
    <cellStyle name="20% - Accent3 34 4" xfId="1113"/>
    <cellStyle name="20% - Accent3 34 5" xfId="1114"/>
    <cellStyle name="20% - Accent3 34 6" xfId="1115"/>
    <cellStyle name="20% - Accent3 34 7" xfId="1116"/>
    <cellStyle name="20% - Accent3 34 8" xfId="1117"/>
    <cellStyle name="20% - Accent3 34 9" xfId="1118"/>
    <cellStyle name="20% - Accent3 35" xfId="1119"/>
    <cellStyle name="20% - Accent3 35 10" xfId="1120"/>
    <cellStyle name="20% - Accent3 35 11" xfId="1121"/>
    <cellStyle name="20% - Accent3 35 2" xfId="1122"/>
    <cellStyle name="20% - Accent3 35 3" xfId="1123"/>
    <cellStyle name="20% - Accent3 35 4" xfId="1124"/>
    <cellStyle name="20% - Accent3 35 5" xfId="1125"/>
    <cellStyle name="20% - Accent3 35 6" xfId="1126"/>
    <cellStyle name="20% - Accent3 35 7" xfId="1127"/>
    <cellStyle name="20% - Accent3 35 8" xfId="1128"/>
    <cellStyle name="20% - Accent3 35 9" xfId="1129"/>
    <cellStyle name="20% - Accent3 36" xfId="1130"/>
    <cellStyle name="20% - Accent3 36 10" xfId="1131"/>
    <cellStyle name="20% - Accent3 36 11" xfId="1132"/>
    <cellStyle name="20% - Accent3 36 2" xfId="1133"/>
    <cellStyle name="20% - Accent3 36 3" xfId="1134"/>
    <cellStyle name="20% - Accent3 36 4" xfId="1135"/>
    <cellStyle name="20% - Accent3 36 5" xfId="1136"/>
    <cellStyle name="20% - Accent3 36 6" xfId="1137"/>
    <cellStyle name="20% - Accent3 36 7" xfId="1138"/>
    <cellStyle name="20% - Accent3 36 8" xfId="1139"/>
    <cellStyle name="20% - Accent3 36 9" xfId="1140"/>
    <cellStyle name="20% - Accent3 37" xfId="1141"/>
    <cellStyle name="20% - Accent3 37 10" xfId="1142"/>
    <cellStyle name="20% - Accent3 37 11" xfId="1143"/>
    <cellStyle name="20% - Accent3 37 2" xfId="1144"/>
    <cellStyle name="20% - Accent3 37 3" xfId="1145"/>
    <cellStyle name="20% - Accent3 37 4" xfId="1146"/>
    <cellStyle name="20% - Accent3 37 5" xfId="1147"/>
    <cellStyle name="20% - Accent3 37 6" xfId="1148"/>
    <cellStyle name="20% - Accent3 37 7" xfId="1149"/>
    <cellStyle name="20% - Accent3 37 8" xfId="1150"/>
    <cellStyle name="20% - Accent3 37 9" xfId="1151"/>
    <cellStyle name="20% - Accent3 38" xfId="1152"/>
    <cellStyle name="20% - Accent3 39" xfId="1153"/>
    <cellStyle name="20% - Accent3 4" xfId="1154"/>
    <cellStyle name="20% - Accent3 4 10" xfId="1155"/>
    <cellStyle name="20% - Accent3 4 11" xfId="1156"/>
    <cellStyle name="20% - Accent3 4 2" xfId="1157"/>
    <cellStyle name="20% - Accent3 4 3" xfId="1158"/>
    <cellStyle name="20% - Accent3 4 4" xfId="1159"/>
    <cellStyle name="20% - Accent3 4 5" xfId="1160"/>
    <cellStyle name="20% - Accent3 4 6" xfId="1161"/>
    <cellStyle name="20% - Accent3 4 7" xfId="1162"/>
    <cellStyle name="20% - Accent3 4 8" xfId="1163"/>
    <cellStyle name="20% - Accent3 4 9" xfId="1164"/>
    <cellStyle name="20% - Accent3 40" xfId="1165"/>
    <cellStyle name="20% - Accent3 41" xfId="1166"/>
    <cellStyle name="20% - Accent3 42" xfId="1167"/>
    <cellStyle name="20% - Accent3 43" xfId="1168"/>
    <cellStyle name="20% - Accent3 44" xfId="1169"/>
    <cellStyle name="20% - Accent3 5" xfId="1170"/>
    <cellStyle name="20% - Accent3 5 10" xfId="1171"/>
    <cellStyle name="20% - Accent3 5 11" xfId="1172"/>
    <cellStyle name="20% - Accent3 5 2" xfId="1173"/>
    <cellStyle name="20% - Accent3 5 3" xfId="1174"/>
    <cellStyle name="20% - Accent3 5 4" xfId="1175"/>
    <cellStyle name="20% - Accent3 5 5" xfId="1176"/>
    <cellStyle name="20% - Accent3 5 6" xfId="1177"/>
    <cellStyle name="20% - Accent3 5 7" xfId="1178"/>
    <cellStyle name="20% - Accent3 5 8" xfId="1179"/>
    <cellStyle name="20% - Accent3 5 9" xfId="1180"/>
    <cellStyle name="20% - Accent3 6" xfId="1181"/>
    <cellStyle name="20% - Accent3 6 10" xfId="1182"/>
    <cellStyle name="20% - Accent3 6 11" xfId="1183"/>
    <cellStyle name="20% - Accent3 6 2" xfId="1184"/>
    <cellStyle name="20% - Accent3 6 3" xfId="1185"/>
    <cellStyle name="20% - Accent3 6 4" xfId="1186"/>
    <cellStyle name="20% - Accent3 6 5" xfId="1187"/>
    <cellStyle name="20% - Accent3 6 6" xfId="1188"/>
    <cellStyle name="20% - Accent3 6 7" xfId="1189"/>
    <cellStyle name="20% - Accent3 6 8" xfId="1190"/>
    <cellStyle name="20% - Accent3 6 9" xfId="1191"/>
    <cellStyle name="20% - Accent3 7" xfId="1192"/>
    <cellStyle name="20% - Accent3 7 10" xfId="1193"/>
    <cellStyle name="20% - Accent3 7 11" xfId="1194"/>
    <cellStyle name="20% - Accent3 7 2" xfId="1195"/>
    <cellStyle name="20% - Accent3 7 3" xfId="1196"/>
    <cellStyle name="20% - Accent3 7 4" xfId="1197"/>
    <cellStyle name="20% - Accent3 7 5" xfId="1198"/>
    <cellStyle name="20% - Accent3 7 6" xfId="1199"/>
    <cellStyle name="20% - Accent3 7 7" xfId="1200"/>
    <cellStyle name="20% - Accent3 7 8" xfId="1201"/>
    <cellStyle name="20% - Accent3 7 9" xfId="1202"/>
    <cellStyle name="20% - Accent3 8" xfId="1203"/>
    <cellStyle name="20% - Accent3 8 10" xfId="1204"/>
    <cellStyle name="20% - Accent3 8 11" xfId="1205"/>
    <cellStyle name="20% - Accent3 8 2" xfId="1206"/>
    <cellStyle name="20% - Accent3 8 3" xfId="1207"/>
    <cellStyle name="20% - Accent3 8 4" xfId="1208"/>
    <cellStyle name="20% - Accent3 8 5" xfId="1209"/>
    <cellStyle name="20% - Accent3 8 6" xfId="1210"/>
    <cellStyle name="20% - Accent3 8 7" xfId="1211"/>
    <cellStyle name="20% - Accent3 8 8" xfId="1212"/>
    <cellStyle name="20% - Accent3 8 9" xfId="1213"/>
    <cellStyle name="20% - Accent3 9" xfId="1214"/>
    <cellStyle name="20% - Accent3 9 10" xfId="1215"/>
    <cellStyle name="20% - Accent3 9 11" xfId="1216"/>
    <cellStyle name="20% - Accent3 9 2" xfId="1217"/>
    <cellStyle name="20% - Accent3 9 3" xfId="1218"/>
    <cellStyle name="20% - Accent3 9 4" xfId="1219"/>
    <cellStyle name="20% - Accent3 9 5" xfId="1220"/>
    <cellStyle name="20% - Accent3 9 6" xfId="1221"/>
    <cellStyle name="20% - Accent3 9 7" xfId="1222"/>
    <cellStyle name="20% - Accent3 9 8" xfId="1223"/>
    <cellStyle name="20% - Accent3 9 9" xfId="1224"/>
    <cellStyle name="20% - Accent4" xfId="6597" builtinId="42" customBuiltin="1"/>
    <cellStyle name="20% - Accent4 10" xfId="1225"/>
    <cellStyle name="20% - Accent4 10 10" xfId="1226"/>
    <cellStyle name="20% - Accent4 10 11" xfId="1227"/>
    <cellStyle name="20% - Accent4 10 2" xfId="1228"/>
    <cellStyle name="20% - Accent4 10 3" xfId="1229"/>
    <cellStyle name="20% - Accent4 10 4" xfId="1230"/>
    <cellStyle name="20% - Accent4 10 5" xfId="1231"/>
    <cellStyle name="20% - Accent4 10 6" xfId="1232"/>
    <cellStyle name="20% - Accent4 10 7" xfId="1233"/>
    <cellStyle name="20% - Accent4 10 8" xfId="1234"/>
    <cellStyle name="20% - Accent4 10 9" xfId="1235"/>
    <cellStyle name="20% - Accent4 11" xfId="1236"/>
    <cellStyle name="20% - Accent4 11 10" xfId="1237"/>
    <cellStyle name="20% - Accent4 11 11" xfId="1238"/>
    <cellStyle name="20% - Accent4 11 2" xfId="1239"/>
    <cellStyle name="20% - Accent4 11 3" xfId="1240"/>
    <cellStyle name="20% - Accent4 11 4" xfId="1241"/>
    <cellStyle name="20% - Accent4 11 5" xfId="1242"/>
    <cellStyle name="20% - Accent4 11 6" xfId="1243"/>
    <cellStyle name="20% - Accent4 11 7" xfId="1244"/>
    <cellStyle name="20% - Accent4 11 8" xfId="1245"/>
    <cellStyle name="20% - Accent4 11 9" xfId="1246"/>
    <cellStyle name="20% - Accent4 12" xfId="1247"/>
    <cellStyle name="20% - Accent4 12 10" xfId="1248"/>
    <cellStyle name="20% - Accent4 12 11" xfId="1249"/>
    <cellStyle name="20% - Accent4 12 2" xfId="1250"/>
    <cellStyle name="20% - Accent4 12 3" xfId="1251"/>
    <cellStyle name="20% - Accent4 12 4" xfId="1252"/>
    <cellStyle name="20% - Accent4 12 5" xfId="1253"/>
    <cellStyle name="20% - Accent4 12 6" xfId="1254"/>
    <cellStyle name="20% - Accent4 12 7" xfId="1255"/>
    <cellStyle name="20% - Accent4 12 8" xfId="1256"/>
    <cellStyle name="20% - Accent4 12 9" xfId="1257"/>
    <cellStyle name="20% - Accent4 13" xfId="1258"/>
    <cellStyle name="20% - Accent4 13 10" xfId="1259"/>
    <cellStyle name="20% - Accent4 13 11" xfId="1260"/>
    <cellStyle name="20% - Accent4 13 2" xfId="1261"/>
    <cellStyle name="20% - Accent4 13 3" xfId="1262"/>
    <cellStyle name="20% - Accent4 13 4" xfId="1263"/>
    <cellStyle name="20% - Accent4 13 5" xfId="1264"/>
    <cellStyle name="20% - Accent4 13 6" xfId="1265"/>
    <cellStyle name="20% - Accent4 13 7" xfId="1266"/>
    <cellStyle name="20% - Accent4 13 8" xfId="1267"/>
    <cellStyle name="20% - Accent4 13 9" xfId="1268"/>
    <cellStyle name="20% - Accent4 14" xfId="1269"/>
    <cellStyle name="20% - Accent4 14 10" xfId="1270"/>
    <cellStyle name="20% - Accent4 14 11" xfId="1271"/>
    <cellStyle name="20% - Accent4 14 2" xfId="1272"/>
    <cellStyle name="20% - Accent4 14 3" xfId="1273"/>
    <cellStyle name="20% - Accent4 14 4" xfId="1274"/>
    <cellStyle name="20% - Accent4 14 5" xfId="1275"/>
    <cellStyle name="20% - Accent4 14 6" xfId="1276"/>
    <cellStyle name="20% - Accent4 14 7" xfId="1277"/>
    <cellStyle name="20% - Accent4 14 8" xfId="1278"/>
    <cellStyle name="20% - Accent4 14 9" xfId="1279"/>
    <cellStyle name="20% - Accent4 15" xfId="1280"/>
    <cellStyle name="20% - Accent4 15 10" xfId="1281"/>
    <cellStyle name="20% - Accent4 15 11" xfId="1282"/>
    <cellStyle name="20% - Accent4 15 2" xfId="1283"/>
    <cellStyle name="20% - Accent4 15 3" xfId="1284"/>
    <cellStyle name="20% - Accent4 15 4" xfId="1285"/>
    <cellStyle name="20% - Accent4 15 5" xfId="1286"/>
    <cellStyle name="20% - Accent4 15 6" xfId="1287"/>
    <cellStyle name="20% - Accent4 15 7" xfId="1288"/>
    <cellStyle name="20% - Accent4 15 8" xfId="1289"/>
    <cellStyle name="20% - Accent4 15 9" xfId="1290"/>
    <cellStyle name="20% - Accent4 16" xfId="1291"/>
    <cellStyle name="20% - Accent4 16 10" xfId="1292"/>
    <cellStyle name="20% - Accent4 16 11" xfId="1293"/>
    <cellStyle name="20% - Accent4 16 2" xfId="1294"/>
    <cellStyle name="20% - Accent4 16 3" xfId="1295"/>
    <cellStyle name="20% - Accent4 16 4" xfId="1296"/>
    <cellStyle name="20% - Accent4 16 5" xfId="1297"/>
    <cellStyle name="20% - Accent4 16 6" xfId="1298"/>
    <cellStyle name="20% - Accent4 16 7" xfId="1299"/>
    <cellStyle name="20% - Accent4 16 8" xfId="1300"/>
    <cellStyle name="20% - Accent4 16 9" xfId="1301"/>
    <cellStyle name="20% - Accent4 17" xfId="1302"/>
    <cellStyle name="20% - Accent4 17 10" xfId="1303"/>
    <cellStyle name="20% - Accent4 17 11" xfId="1304"/>
    <cellStyle name="20% - Accent4 17 2" xfId="1305"/>
    <cellStyle name="20% - Accent4 17 3" xfId="1306"/>
    <cellStyle name="20% - Accent4 17 4" xfId="1307"/>
    <cellStyle name="20% - Accent4 17 5" xfId="1308"/>
    <cellStyle name="20% - Accent4 17 6" xfId="1309"/>
    <cellStyle name="20% - Accent4 17 7" xfId="1310"/>
    <cellStyle name="20% - Accent4 17 8" xfId="1311"/>
    <cellStyle name="20% - Accent4 17 9" xfId="1312"/>
    <cellStyle name="20% - Accent4 18" xfId="1313"/>
    <cellStyle name="20% - Accent4 18 10" xfId="1314"/>
    <cellStyle name="20% - Accent4 18 11" xfId="1315"/>
    <cellStyle name="20% - Accent4 18 2" xfId="1316"/>
    <cellStyle name="20% - Accent4 18 3" xfId="1317"/>
    <cellStyle name="20% - Accent4 18 4" xfId="1318"/>
    <cellStyle name="20% - Accent4 18 5" xfId="1319"/>
    <cellStyle name="20% - Accent4 18 6" xfId="1320"/>
    <cellStyle name="20% - Accent4 18 7" xfId="1321"/>
    <cellStyle name="20% - Accent4 18 8" xfId="1322"/>
    <cellStyle name="20% - Accent4 18 9" xfId="1323"/>
    <cellStyle name="20% - Accent4 19" xfId="1324"/>
    <cellStyle name="20% - Accent4 19 10" xfId="1325"/>
    <cellStyle name="20% - Accent4 19 11" xfId="1326"/>
    <cellStyle name="20% - Accent4 19 2" xfId="1327"/>
    <cellStyle name="20% - Accent4 19 3" xfId="1328"/>
    <cellStyle name="20% - Accent4 19 4" xfId="1329"/>
    <cellStyle name="20% - Accent4 19 5" xfId="1330"/>
    <cellStyle name="20% - Accent4 19 6" xfId="1331"/>
    <cellStyle name="20% - Accent4 19 7" xfId="1332"/>
    <cellStyle name="20% - Accent4 19 8" xfId="1333"/>
    <cellStyle name="20% - Accent4 19 9" xfId="1334"/>
    <cellStyle name="20% - Accent4 2" xfId="1335"/>
    <cellStyle name="20% - Accent4 2 10" xfId="1336"/>
    <cellStyle name="20% - Accent4 2 11" xfId="1337"/>
    <cellStyle name="20% - Accent4 2 2" xfId="1338"/>
    <cellStyle name="20% - Accent4 2 3" xfId="1339"/>
    <cellStyle name="20% - Accent4 2 4" xfId="1340"/>
    <cellStyle name="20% - Accent4 2 5" xfId="1341"/>
    <cellStyle name="20% - Accent4 2 6" xfId="1342"/>
    <cellStyle name="20% - Accent4 2 7" xfId="1343"/>
    <cellStyle name="20% - Accent4 2 8" xfId="1344"/>
    <cellStyle name="20% - Accent4 2 9" xfId="1345"/>
    <cellStyle name="20% - Accent4 20" xfId="1346"/>
    <cellStyle name="20% - Accent4 20 10" xfId="1347"/>
    <cellStyle name="20% - Accent4 20 11" xfId="1348"/>
    <cellStyle name="20% - Accent4 20 2" xfId="1349"/>
    <cellStyle name="20% - Accent4 20 3" xfId="1350"/>
    <cellStyle name="20% - Accent4 20 4" xfId="1351"/>
    <cellStyle name="20% - Accent4 20 5" xfId="1352"/>
    <cellStyle name="20% - Accent4 20 6" xfId="1353"/>
    <cellStyle name="20% - Accent4 20 7" xfId="1354"/>
    <cellStyle name="20% - Accent4 20 8" xfId="1355"/>
    <cellStyle name="20% - Accent4 20 9" xfId="1356"/>
    <cellStyle name="20% - Accent4 21" xfId="1357"/>
    <cellStyle name="20% - Accent4 21 10" xfId="1358"/>
    <cellStyle name="20% - Accent4 21 11" xfId="1359"/>
    <cellStyle name="20% - Accent4 21 2" xfId="1360"/>
    <cellStyle name="20% - Accent4 21 3" xfId="1361"/>
    <cellStyle name="20% - Accent4 21 4" xfId="1362"/>
    <cellStyle name="20% - Accent4 21 5" xfId="1363"/>
    <cellStyle name="20% - Accent4 21 6" xfId="1364"/>
    <cellStyle name="20% - Accent4 21 7" xfId="1365"/>
    <cellStyle name="20% - Accent4 21 8" xfId="1366"/>
    <cellStyle name="20% - Accent4 21 9" xfId="1367"/>
    <cellStyle name="20% - Accent4 22" xfId="1368"/>
    <cellStyle name="20% - Accent4 22 10" xfId="1369"/>
    <cellStyle name="20% - Accent4 22 11" xfId="1370"/>
    <cellStyle name="20% - Accent4 22 2" xfId="1371"/>
    <cellStyle name="20% - Accent4 22 3" xfId="1372"/>
    <cellStyle name="20% - Accent4 22 4" xfId="1373"/>
    <cellStyle name="20% - Accent4 22 5" xfId="1374"/>
    <cellStyle name="20% - Accent4 22 6" xfId="1375"/>
    <cellStyle name="20% - Accent4 22 7" xfId="1376"/>
    <cellStyle name="20% - Accent4 22 8" xfId="1377"/>
    <cellStyle name="20% - Accent4 22 9" xfId="1378"/>
    <cellStyle name="20% - Accent4 23" xfId="1379"/>
    <cellStyle name="20% - Accent4 23 10" xfId="1380"/>
    <cellStyle name="20% - Accent4 23 11" xfId="1381"/>
    <cellStyle name="20% - Accent4 23 2" xfId="1382"/>
    <cellStyle name="20% - Accent4 23 3" xfId="1383"/>
    <cellStyle name="20% - Accent4 23 4" xfId="1384"/>
    <cellStyle name="20% - Accent4 23 5" xfId="1385"/>
    <cellStyle name="20% - Accent4 23 6" xfId="1386"/>
    <cellStyle name="20% - Accent4 23 7" xfId="1387"/>
    <cellStyle name="20% - Accent4 23 8" xfId="1388"/>
    <cellStyle name="20% - Accent4 23 9" xfId="1389"/>
    <cellStyle name="20% - Accent4 24" xfId="1390"/>
    <cellStyle name="20% - Accent4 24 10" xfId="1391"/>
    <cellStyle name="20% - Accent4 24 11" xfId="1392"/>
    <cellStyle name="20% - Accent4 24 2" xfId="1393"/>
    <cellStyle name="20% - Accent4 24 3" xfId="1394"/>
    <cellStyle name="20% - Accent4 24 4" xfId="1395"/>
    <cellStyle name="20% - Accent4 24 5" xfId="1396"/>
    <cellStyle name="20% - Accent4 24 6" xfId="1397"/>
    <cellStyle name="20% - Accent4 24 7" xfId="1398"/>
    <cellStyle name="20% - Accent4 24 8" xfId="1399"/>
    <cellStyle name="20% - Accent4 24 9" xfId="1400"/>
    <cellStyle name="20% - Accent4 25" xfId="1401"/>
    <cellStyle name="20% - Accent4 25 10" xfId="1402"/>
    <cellStyle name="20% - Accent4 25 11" xfId="1403"/>
    <cellStyle name="20% - Accent4 25 2" xfId="1404"/>
    <cellStyle name="20% - Accent4 25 3" xfId="1405"/>
    <cellStyle name="20% - Accent4 25 4" xfId="1406"/>
    <cellStyle name="20% - Accent4 25 5" xfId="1407"/>
    <cellStyle name="20% - Accent4 25 6" xfId="1408"/>
    <cellStyle name="20% - Accent4 25 7" xfId="1409"/>
    <cellStyle name="20% - Accent4 25 8" xfId="1410"/>
    <cellStyle name="20% - Accent4 25 9" xfId="1411"/>
    <cellStyle name="20% - Accent4 26" xfId="1412"/>
    <cellStyle name="20% - Accent4 26 10" xfId="1413"/>
    <cellStyle name="20% - Accent4 26 11" xfId="1414"/>
    <cellStyle name="20% - Accent4 26 2" xfId="1415"/>
    <cellStyle name="20% - Accent4 26 3" xfId="1416"/>
    <cellStyle name="20% - Accent4 26 4" xfId="1417"/>
    <cellStyle name="20% - Accent4 26 5" xfId="1418"/>
    <cellStyle name="20% - Accent4 26 6" xfId="1419"/>
    <cellStyle name="20% - Accent4 26 7" xfId="1420"/>
    <cellStyle name="20% - Accent4 26 8" xfId="1421"/>
    <cellStyle name="20% - Accent4 26 9" xfId="1422"/>
    <cellStyle name="20% - Accent4 27" xfId="1423"/>
    <cellStyle name="20% - Accent4 27 10" xfId="1424"/>
    <cellStyle name="20% - Accent4 27 11" xfId="1425"/>
    <cellStyle name="20% - Accent4 27 2" xfId="1426"/>
    <cellStyle name="20% - Accent4 27 3" xfId="1427"/>
    <cellStyle name="20% - Accent4 27 4" xfId="1428"/>
    <cellStyle name="20% - Accent4 27 5" xfId="1429"/>
    <cellStyle name="20% - Accent4 27 6" xfId="1430"/>
    <cellStyle name="20% - Accent4 27 7" xfId="1431"/>
    <cellStyle name="20% - Accent4 27 8" xfId="1432"/>
    <cellStyle name="20% - Accent4 27 9" xfId="1433"/>
    <cellStyle name="20% - Accent4 28" xfId="1434"/>
    <cellStyle name="20% - Accent4 28 10" xfId="1435"/>
    <cellStyle name="20% - Accent4 28 11" xfId="1436"/>
    <cellStyle name="20% - Accent4 28 2" xfId="1437"/>
    <cellStyle name="20% - Accent4 28 3" xfId="1438"/>
    <cellStyle name="20% - Accent4 28 4" xfId="1439"/>
    <cellStyle name="20% - Accent4 28 5" xfId="1440"/>
    <cellStyle name="20% - Accent4 28 6" xfId="1441"/>
    <cellStyle name="20% - Accent4 28 7" xfId="1442"/>
    <cellStyle name="20% - Accent4 28 8" xfId="1443"/>
    <cellStyle name="20% - Accent4 28 9" xfId="1444"/>
    <cellStyle name="20% - Accent4 29" xfId="1445"/>
    <cellStyle name="20% - Accent4 29 10" xfId="1446"/>
    <cellStyle name="20% - Accent4 29 11" xfId="1447"/>
    <cellStyle name="20% - Accent4 29 2" xfId="1448"/>
    <cellStyle name="20% - Accent4 29 3" xfId="1449"/>
    <cellStyle name="20% - Accent4 29 4" xfId="1450"/>
    <cellStyle name="20% - Accent4 29 5" xfId="1451"/>
    <cellStyle name="20% - Accent4 29 6" xfId="1452"/>
    <cellStyle name="20% - Accent4 29 7" xfId="1453"/>
    <cellStyle name="20% - Accent4 29 8" xfId="1454"/>
    <cellStyle name="20% - Accent4 29 9" xfId="1455"/>
    <cellStyle name="20% - Accent4 3" xfId="1456"/>
    <cellStyle name="20% - Accent4 3 10" xfId="1457"/>
    <cellStyle name="20% - Accent4 3 11" xfId="1458"/>
    <cellStyle name="20% - Accent4 3 2" xfId="1459"/>
    <cellStyle name="20% - Accent4 3 3" xfId="1460"/>
    <cellStyle name="20% - Accent4 3 4" xfId="1461"/>
    <cellStyle name="20% - Accent4 3 5" xfId="1462"/>
    <cellStyle name="20% - Accent4 3 6" xfId="1463"/>
    <cellStyle name="20% - Accent4 3 7" xfId="1464"/>
    <cellStyle name="20% - Accent4 3 8" xfId="1465"/>
    <cellStyle name="20% - Accent4 3 9" xfId="1466"/>
    <cellStyle name="20% - Accent4 30" xfId="1467"/>
    <cellStyle name="20% - Accent4 30 10" xfId="1468"/>
    <cellStyle name="20% - Accent4 30 11" xfId="1469"/>
    <cellStyle name="20% - Accent4 30 2" xfId="1470"/>
    <cellStyle name="20% - Accent4 30 3" xfId="1471"/>
    <cellStyle name="20% - Accent4 30 4" xfId="1472"/>
    <cellStyle name="20% - Accent4 30 5" xfId="1473"/>
    <cellStyle name="20% - Accent4 30 6" xfId="1474"/>
    <cellStyle name="20% - Accent4 30 7" xfId="1475"/>
    <cellStyle name="20% - Accent4 30 8" xfId="1476"/>
    <cellStyle name="20% - Accent4 30 9" xfId="1477"/>
    <cellStyle name="20% - Accent4 31" xfId="1478"/>
    <cellStyle name="20% - Accent4 31 10" xfId="1479"/>
    <cellStyle name="20% - Accent4 31 11" xfId="1480"/>
    <cellStyle name="20% - Accent4 31 2" xfId="1481"/>
    <cellStyle name="20% - Accent4 31 3" xfId="1482"/>
    <cellStyle name="20% - Accent4 31 4" xfId="1483"/>
    <cellStyle name="20% - Accent4 31 5" xfId="1484"/>
    <cellStyle name="20% - Accent4 31 6" xfId="1485"/>
    <cellStyle name="20% - Accent4 31 7" xfId="1486"/>
    <cellStyle name="20% - Accent4 31 8" xfId="1487"/>
    <cellStyle name="20% - Accent4 31 9" xfId="1488"/>
    <cellStyle name="20% - Accent4 32" xfId="1489"/>
    <cellStyle name="20% - Accent4 32 10" xfId="1490"/>
    <cellStyle name="20% - Accent4 32 11" xfId="1491"/>
    <cellStyle name="20% - Accent4 32 2" xfId="1492"/>
    <cellStyle name="20% - Accent4 32 3" xfId="1493"/>
    <cellStyle name="20% - Accent4 32 4" xfId="1494"/>
    <cellStyle name="20% - Accent4 32 5" xfId="1495"/>
    <cellStyle name="20% - Accent4 32 6" xfId="1496"/>
    <cellStyle name="20% - Accent4 32 7" xfId="1497"/>
    <cellStyle name="20% - Accent4 32 8" xfId="1498"/>
    <cellStyle name="20% - Accent4 32 9" xfId="1499"/>
    <cellStyle name="20% - Accent4 33" xfId="1500"/>
    <cellStyle name="20% - Accent4 33 10" xfId="1501"/>
    <cellStyle name="20% - Accent4 33 11" xfId="1502"/>
    <cellStyle name="20% - Accent4 33 2" xfId="1503"/>
    <cellStyle name="20% - Accent4 33 3" xfId="1504"/>
    <cellStyle name="20% - Accent4 33 4" xfId="1505"/>
    <cellStyle name="20% - Accent4 33 5" xfId="1506"/>
    <cellStyle name="20% - Accent4 33 6" xfId="1507"/>
    <cellStyle name="20% - Accent4 33 7" xfId="1508"/>
    <cellStyle name="20% - Accent4 33 8" xfId="1509"/>
    <cellStyle name="20% - Accent4 33 9" xfId="1510"/>
    <cellStyle name="20% - Accent4 34" xfId="1511"/>
    <cellStyle name="20% - Accent4 34 10" xfId="1512"/>
    <cellStyle name="20% - Accent4 34 11" xfId="1513"/>
    <cellStyle name="20% - Accent4 34 2" xfId="1514"/>
    <cellStyle name="20% - Accent4 34 3" xfId="1515"/>
    <cellStyle name="20% - Accent4 34 4" xfId="1516"/>
    <cellStyle name="20% - Accent4 34 5" xfId="1517"/>
    <cellStyle name="20% - Accent4 34 6" xfId="1518"/>
    <cellStyle name="20% - Accent4 34 7" xfId="1519"/>
    <cellStyle name="20% - Accent4 34 8" xfId="1520"/>
    <cellStyle name="20% - Accent4 34 9" xfId="1521"/>
    <cellStyle name="20% - Accent4 35" xfId="1522"/>
    <cellStyle name="20% - Accent4 35 10" xfId="1523"/>
    <cellStyle name="20% - Accent4 35 11" xfId="1524"/>
    <cellStyle name="20% - Accent4 35 2" xfId="1525"/>
    <cellStyle name="20% - Accent4 35 3" xfId="1526"/>
    <cellStyle name="20% - Accent4 35 4" xfId="1527"/>
    <cellStyle name="20% - Accent4 35 5" xfId="1528"/>
    <cellStyle name="20% - Accent4 35 6" xfId="1529"/>
    <cellStyle name="20% - Accent4 35 7" xfId="1530"/>
    <cellStyle name="20% - Accent4 35 8" xfId="1531"/>
    <cellStyle name="20% - Accent4 35 9" xfId="1532"/>
    <cellStyle name="20% - Accent4 36" xfId="1533"/>
    <cellStyle name="20% - Accent4 36 10" xfId="1534"/>
    <cellStyle name="20% - Accent4 36 11" xfId="1535"/>
    <cellStyle name="20% - Accent4 36 2" xfId="1536"/>
    <cellStyle name="20% - Accent4 36 3" xfId="1537"/>
    <cellStyle name="20% - Accent4 36 4" xfId="1538"/>
    <cellStyle name="20% - Accent4 36 5" xfId="1539"/>
    <cellStyle name="20% - Accent4 36 6" xfId="1540"/>
    <cellStyle name="20% - Accent4 36 7" xfId="1541"/>
    <cellStyle name="20% - Accent4 36 8" xfId="1542"/>
    <cellStyle name="20% - Accent4 36 9" xfId="1543"/>
    <cellStyle name="20% - Accent4 37" xfId="1544"/>
    <cellStyle name="20% - Accent4 37 10" xfId="1545"/>
    <cellStyle name="20% - Accent4 37 11" xfId="1546"/>
    <cellStyle name="20% - Accent4 37 2" xfId="1547"/>
    <cellStyle name="20% - Accent4 37 3" xfId="1548"/>
    <cellStyle name="20% - Accent4 37 4" xfId="1549"/>
    <cellStyle name="20% - Accent4 37 5" xfId="1550"/>
    <cellStyle name="20% - Accent4 37 6" xfId="1551"/>
    <cellStyle name="20% - Accent4 37 7" xfId="1552"/>
    <cellStyle name="20% - Accent4 37 8" xfId="1553"/>
    <cellStyle name="20% - Accent4 37 9" xfId="1554"/>
    <cellStyle name="20% - Accent4 38" xfId="1555"/>
    <cellStyle name="20% - Accent4 39" xfId="1556"/>
    <cellStyle name="20% - Accent4 4" xfId="1557"/>
    <cellStyle name="20% - Accent4 4 10" xfId="1558"/>
    <cellStyle name="20% - Accent4 4 11" xfId="1559"/>
    <cellStyle name="20% - Accent4 4 2" xfId="1560"/>
    <cellStyle name="20% - Accent4 4 3" xfId="1561"/>
    <cellStyle name="20% - Accent4 4 4" xfId="1562"/>
    <cellStyle name="20% - Accent4 4 5" xfId="1563"/>
    <cellStyle name="20% - Accent4 4 6" xfId="1564"/>
    <cellStyle name="20% - Accent4 4 7" xfId="1565"/>
    <cellStyle name="20% - Accent4 4 8" xfId="1566"/>
    <cellStyle name="20% - Accent4 4 9" xfId="1567"/>
    <cellStyle name="20% - Accent4 40" xfId="1568"/>
    <cellStyle name="20% - Accent4 41" xfId="1569"/>
    <cellStyle name="20% - Accent4 42" xfId="1570"/>
    <cellStyle name="20% - Accent4 43" xfId="1571"/>
    <cellStyle name="20% - Accent4 44" xfId="1572"/>
    <cellStyle name="20% - Accent4 5" xfId="1573"/>
    <cellStyle name="20% - Accent4 5 10" xfId="1574"/>
    <cellStyle name="20% - Accent4 5 11" xfId="1575"/>
    <cellStyle name="20% - Accent4 5 2" xfId="1576"/>
    <cellStyle name="20% - Accent4 5 3" xfId="1577"/>
    <cellStyle name="20% - Accent4 5 4" xfId="1578"/>
    <cellStyle name="20% - Accent4 5 5" xfId="1579"/>
    <cellStyle name="20% - Accent4 5 6" xfId="1580"/>
    <cellStyle name="20% - Accent4 5 7" xfId="1581"/>
    <cellStyle name="20% - Accent4 5 8" xfId="1582"/>
    <cellStyle name="20% - Accent4 5 9" xfId="1583"/>
    <cellStyle name="20% - Accent4 6" xfId="1584"/>
    <cellStyle name="20% - Accent4 6 10" xfId="1585"/>
    <cellStyle name="20% - Accent4 6 11" xfId="1586"/>
    <cellStyle name="20% - Accent4 6 2" xfId="1587"/>
    <cellStyle name="20% - Accent4 6 3" xfId="1588"/>
    <cellStyle name="20% - Accent4 6 4" xfId="1589"/>
    <cellStyle name="20% - Accent4 6 5" xfId="1590"/>
    <cellStyle name="20% - Accent4 6 6" xfId="1591"/>
    <cellStyle name="20% - Accent4 6 7" xfId="1592"/>
    <cellStyle name="20% - Accent4 6 8" xfId="1593"/>
    <cellStyle name="20% - Accent4 6 9" xfId="1594"/>
    <cellStyle name="20% - Accent4 7" xfId="1595"/>
    <cellStyle name="20% - Accent4 7 10" xfId="1596"/>
    <cellStyle name="20% - Accent4 7 11" xfId="1597"/>
    <cellStyle name="20% - Accent4 7 2" xfId="1598"/>
    <cellStyle name="20% - Accent4 7 3" xfId="1599"/>
    <cellStyle name="20% - Accent4 7 4" xfId="1600"/>
    <cellStyle name="20% - Accent4 7 5" xfId="1601"/>
    <cellStyle name="20% - Accent4 7 6" xfId="1602"/>
    <cellStyle name="20% - Accent4 7 7" xfId="1603"/>
    <cellStyle name="20% - Accent4 7 8" xfId="1604"/>
    <cellStyle name="20% - Accent4 7 9" xfId="1605"/>
    <cellStyle name="20% - Accent4 8" xfId="1606"/>
    <cellStyle name="20% - Accent4 8 10" xfId="1607"/>
    <cellStyle name="20% - Accent4 8 11" xfId="1608"/>
    <cellStyle name="20% - Accent4 8 2" xfId="1609"/>
    <cellStyle name="20% - Accent4 8 3" xfId="1610"/>
    <cellStyle name="20% - Accent4 8 4" xfId="1611"/>
    <cellStyle name="20% - Accent4 8 5" xfId="1612"/>
    <cellStyle name="20% - Accent4 8 6" xfId="1613"/>
    <cellStyle name="20% - Accent4 8 7" xfId="1614"/>
    <cellStyle name="20% - Accent4 8 8" xfId="1615"/>
    <cellStyle name="20% - Accent4 8 9" xfId="1616"/>
    <cellStyle name="20% - Accent4 9" xfId="1617"/>
    <cellStyle name="20% - Accent4 9 10" xfId="1618"/>
    <cellStyle name="20% - Accent4 9 11" xfId="1619"/>
    <cellStyle name="20% - Accent4 9 2" xfId="1620"/>
    <cellStyle name="20% - Accent4 9 3" xfId="1621"/>
    <cellStyle name="20% - Accent4 9 4" xfId="1622"/>
    <cellStyle name="20% - Accent4 9 5" xfId="1623"/>
    <cellStyle name="20% - Accent4 9 6" xfId="1624"/>
    <cellStyle name="20% - Accent4 9 7" xfId="1625"/>
    <cellStyle name="20% - Accent4 9 8" xfId="1626"/>
    <cellStyle name="20% - Accent4 9 9" xfId="1627"/>
    <cellStyle name="20% - Accent5" xfId="6601" builtinId="46" customBuiltin="1"/>
    <cellStyle name="20% - Accent5 10" xfId="1628"/>
    <cellStyle name="20% - Accent5 10 10" xfId="1629"/>
    <cellStyle name="20% - Accent5 10 11" xfId="1630"/>
    <cellStyle name="20% - Accent5 10 2" xfId="1631"/>
    <cellStyle name="20% - Accent5 10 3" xfId="1632"/>
    <cellStyle name="20% - Accent5 10 4" xfId="1633"/>
    <cellStyle name="20% - Accent5 10 5" xfId="1634"/>
    <cellStyle name="20% - Accent5 10 6" xfId="1635"/>
    <cellStyle name="20% - Accent5 10 7" xfId="1636"/>
    <cellStyle name="20% - Accent5 10 8" xfId="1637"/>
    <cellStyle name="20% - Accent5 10 9" xfId="1638"/>
    <cellStyle name="20% - Accent5 11" xfId="1639"/>
    <cellStyle name="20% - Accent5 11 10" xfId="1640"/>
    <cellStyle name="20% - Accent5 11 11" xfId="1641"/>
    <cellStyle name="20% - Accent5 11 2" xfId="1642"/>
    <cellStyle name="20% - Accent5 11 3" xfId="1643"/>
    <cellStyle name="20% - Accent5 11 4" xfId="1644"/>
    <cellStyle name="20% - Accent5 11 5" xfId="1645"/>
    <cellStyle name="20% - Accent5 11 6" xfId="1646"/>
    <cellStyle name="20% - Accent5 11 7" xfId="1647"/>
    <cellStyle name="20% - Accent5 11 8" xfId="1648"/>
    <cellStyle name="20% - Accent5 11 9" xfId="1649"/>
    <cellStyle name="20% - Accent5 12" xfId="1650"/>
    <cellStyle name="20% - Accent5 12 10" xfId="1651"/>
    <cellStyle name="20% - Accent5 12 11" xfId="1652"/>
    <cellStyle name="20% - Accent5 12 2" xfId="1653"/>
    <cellStyle name="20% - Accent5 12 3" xfId="1654"/>
    <cellStyle name="20% - Accent5 12 4" xfId="1655"/>
    <cellStyle name="20% - Accent5 12 5" xfId="1656"/>
    <cellStyle name="20% - Accent5 12 6" xfId="1657"/>
    <cellStyle name="20% - Accent5 12 7" xfId="1658"/>
    <cellStyle name="20% - Accent5 12 8" xfId="1659"/>
    <cellStyle name="20% - Accent5 12 9" xfId="1660"/>
    <cellStyle name="20% - Accent5 13" xfId="1661"/>
    <cellStyle name="20% - Accent5 13 10" xfId="1662"/>
    <cellStyle name="20% - Accent5 13 11" xfId="1663"/>
    <cellStyle name="20% - Accent5 13 2" xfId="1664"/>
    <cellStyle name="20% - Accent5 13 3" xfId="1665"/>
    <cellStyle name="20% - Accent5 13 4" xfId="1666"/>
    <cellStyle name="20% - Accent5 13 5" xfId="1667"/>
    <cellStyle name="20% - Accent5 13 6" xfId="1668"/>
    <cellStyle name="20% - Accent5 13 7" xfId="1669"/>
    <cellStyle name="20% - Accent5 13 8" xfId="1670"/>
    <cellStyle name="20% - Accent5 13 9" xfId="1671"/>
    <cellStyle name="20% - Accent5 14" xfId="1672"/>
    <cellStyle name="20% - Accent5 14 10" xfId="1673"/>
    <cellStyle name="20% - Accent5 14 11" xfId="1674"/>
    <cellStyle name="20% - Accent5 14 2" xfId="1675"/>
    <cellStyle name="20% - Accent5 14 3" xfId="1676"/>
    <cellStyle name="20% - Accent5 14 4" xfId="1677"/>
    <cellStyle name="20% - Accent5 14 5" xfId="1678"/>
    <cellStyle name="20% - Accent5 14 6" xfId="1679"/>
    <cellStyle name="20% - Accent5 14 7" xfId="1680"/>
    <cellStyle name="20% - Accent5 14 8" xfId="1681"/>
    <cellStyle name="20% - Accent5 14 9" xfId="1682"/>
    <cellStyle name="20% - Accent5 15" xfId="1683"/>
    <cellStyle name="20% - Accent5 15 10" xfId="1684"/>
    <cellStyle name="20% - Accent5 15 11" xfId="1685"/>
    <cellStyle name="20% - Accent5 15 2" xfId="1686"/>
    <cellStyle name="20% - Accent5 15 3" xfId="1687"/>
    <cellStyle name="20% - Accent5 15 4" xfId="1688"/>
    <cellStyle name="20% - Accent5 15 5" xfId="1689"/>
    <cellStyle name="20% - Accent5 15 6" xfId="1690"/>
    <cellStyle name="20% - Accent5 15 7" xfId="1691"/>
    <cellStyle name="20% - Accent5 15 8" xfId="1692"/>
    <cellStyle name="20% - Accent5 15 9" xfId="1693"/>
    <cellStyle name="20% - Accent5 16" xfId="1694"/>
    <cellStyle name="20% - Accent5 16 10" xfId="1695"/>
    <cellStyle name="20% - Accent5 16 11" xfId="1696"/>
    <cellStyle name="20% - Accent5 16 2" xfId="1697"/>
    <cellStyle name="20% - Accent5 16 3" xfId="1698"/>
    <cellStyle name="20% - Accent5 16 4" xfId="1699"/>
    <cellStyle name="20% - Accent5 16 5" xfId="1700"/>
    <cellStyle name="20% - Accent5 16 6" xfId="1701"/>
    <cellStyle name="20% - Accent5 16 7" xfId="1702"/>
    <cellStyle name="20% - Accent5 16 8" xfId="1703"/>
    <cellStyle name="20% - Accent5 16 9" xfId="1704"/>
    <cellStyle name="20% - Accent5 17" xfId="1705"/>
    <cellStyle name="20% - Accent5 17 10" xfId="1706"/>
    <cellStyle name="20% - Accent5 17 11" xfId="1707"/>
    <cellStyle name="20% - Accent5 17 2" xfId="1708"/>
    <cellStyle name="20% - Accent5 17 3" xfId="1709"/>
    <cellStyle name="20% - Accent5 17 4" xfId="1710"/>
    <cellStyle name="20% - Accent5 17 5" xfId="1711"/>
    <cellStyle name="20% - Accent5 17 6" xfId="1712"/>
    <cellStyle name="20% - Accent5 17 7" xfId="1713"/>
    <cellStyle name="20% - Accent5 17 8" xfId="1714"/>
    <cellStyle name="20% - Accent5 17 9" xfId="1715"/>
    <cellStyle name="20% - Accent5 18" xfId="1716"/>
    <cellStyle name="20% - Accent5 18 10" xfId="1717"/>
    <cellStyle name="20% - Accent5 18 11" xfId="1718"/>
    <cellStyle name="20% - Accent5 18 2" xfId="1719"/>
    <cellStyle name="20% - Accent5 18 3" xfId="1720"/>
    <cellStyle name="20% - Accent5 18 4" xfId="1721"/>
    <cellStyle name="20% - Accent5 18 5" xfId="1722"/>
    <cellStyle name="20% - Accent5 18 6" xfId="1723"/>
    <cellStyle name="20% - Accent5 18 7" xfId="1724"/>
    <cellStyle name="20% - Accent5 18 8" xfId="1725"/>
    <cellStyle name="20% - Accent5 18 9" xfId="1726"/>
    <cellStyle name="20% - Accent5 19" xfId="1727"/>
    <cellStyle name="20% - Accent5 19 10" xfId="1728"/>
    <cellStyle name="20% - Accent5 19 11" xfId="1729"/>
    <cellStyle name="20% - Accent5 19 2" xfId="1730"/>
    <cellStyle name="20% - Accent5 19 3" xfId="1731"/>
    <cellStyle name="20% - Accent5 19 4" xfId="1732"/>
    <cellStyle name="20% - Accent5 19 5" xfId="1733"/>
    <cellStyle name="20% - Accent5 19 6" xfId="1734"/>
    <cellStyle name="20% - Accent5 19 7" xfId="1735"/>
    <cellStyle name="20% - Accent5 19 8" xfId="1736"/>
    <cellStyle name="20% - Accent5 19 9" xfId="1737"/>
    <cellStyle name="20% - Accent5 2" xfId="1738"/>
    <cellStyle name="20% - Accent5 2 10" xfId="1739"/>
    <cellStyle name="20% - Accent5 2 11" xfId="1740"/>
    <cellStyle name="20% - Accent5 2 2" xfId="1741"/>
    <cellStyle name="20% - Accent5 2 3" xfId="1742"/>
    <cellStyle name="20% - Accent5 2 4" xfId="1743"/>
    <cellStyle name="20% - Accent5 2 5" xfId="1744"/>
    <cellStyle name="20% - Accent5 2 6" xfId="1745"/>
    <cellStyle name="20% - Accent5 2 7" xfId="1746"/>
    <cellStyle name="20% - Accent5 2 8" xfId="1747"/>
    <cellStyle name="20% - Accent5 2 9" xfId="1748"/>
    <cellStyle name="20% - Accent5 20" xfId="1749"/>
    <cellStyle name="20% - Accent5 20 10" xfId="1750"/>
    <cellStyle name="20% - Accent5 20 11" xfId="1751"/>
    <cellStyle name="20% - Accent5 20 2" xfId="1752"/>
    <cellStyle name="20% - Accent5 20 3" xfId="1753"/>
    <cellStyle name="20% - Accent5 20 4" xfId="1754"/>
    <cellStyle name="20% - Accent5 20 5" xfId="1755"/>
    <cellStyle name="20% - Accent5 20 6" xfId="1756"/>
    <cellStyle name="20% - Accent5 20 7" xfId="1757"/>
    <cellStyle name="20% - Accent5 20 8" xfId="1758"/>
    <cellStyle name="20% - Accent5 20 9" xfId="1759"/>
    <cellStyle name="20% - Accent5 21" xfId="1760"/>
    <cellStyle name="20% - Accent5 21 10" xfId="1761"/>
    <cellStyle name="20% - Accent5 21 11" xfId="1762"/>
    <cellStyle name="20% - Accent5 21 2" xfId="1763"/>
    <cellStyle name="20% - Accent5 21 3" xfId="1764"/>
    <cellStyle name="20% - Accent5 21 4" xfId="1765"/>
    <cellStyle name="20% - Accent5 21 5" xfId="1766"/>
    <cellStyle name="20% - Accent5 21 6" xfId="1767"/>
    <cellStyle name="20% - Accent5 21 7" xfId="1768"/>
    <cellStyle name="20% - Accent5 21 8" xfId="1769"/>
    <cellStyle name="20% - Accent5 21 9" xfId="1770"/>
    <cellStyle name="20% - Accent5 22" xfId="1771"/>
    <cellStyle name="20% - Accent5 22 10" xfId="1772"/>
    <cellStyle name="20% - Accent5 22 11" xfId="1773"/>
    <cellStyle name="20% - Accent5 22 2" xfId="1774"/>
    <cellStyle name="20% - Accent5 22 3" xfId="1775"/>
    <cellStyle name="20% - Accent5 22 4" xfId="1776"/>
    <cellStyle name="20% - Accent5 22 5" xfId="1777"/>
    <cellStyle name="20% - Accent5 22 6" xfId="1778"/>
    <cellStyle name="20% - Accent5 22 7" xfId="1779"/>
    <cellStyle name="20% - Accent5 22 8" xfId="1780"/>
    <cellStyle name="20% - Accent5 22 9" xfId="1781"/>
    <cellStyle name="20% - Accent5 23" xfId="1782"/>
    <cellStyle name="20% - Accent5 23 10" xfId="1783"/>
    <cellStyle name="20% - Accent5 23 11" xfId="1784"/>
    <cellStyle name="20% - Accent5 23 2" xfId="1785"/>
    <cellStyle name="20% - Accent5 23 3" xfId="1786"/>
    <cellStyle name="20% - Accent5 23 4" xfId="1787"/>
    <cellStyle name="20% - Accent5 23 5" xfId="1788"/>
    <cellStyle name="20% - Accent5 23 6" xfId="1789"/>
    <cellStyle name="20% - Accent5 23 7" xfId="1790"/>
    <cellStyle name="20% - Accent5 23 8" xfId="1791"/>
    <cellStyle name="20% - Accent5 23 9" xfId="1792"/>
    <cellStyle name="20% - Accent5 24" xfId="1793"/>
    <cellStyle name="20% - Accent5 24 10" xfId="1794"/>
    <cellStyle name="20% - Accent5 24 11" xfId="1795"/>
    <cellStyle name="20% - Accent5 24 2" xfId="1796"/>
    <cellStyle name="20% - Accent5 24 3" xfId="1797"/>
    <cellStyle name="20% - Accent5 24 4" xfId="1798"/>
    <cellStyle name="20% - Accent5 24 5" xfId="1799"/>
    <cellStyle name="20% - Accent5 24 6" xfId="1800"/>
    <cellStyle name="20% - Accent5 24 7" xfId="1801"/>
    <cellStyle name="20% - Accent5 24 8" xfId="1802"/>
    <cellStyle name="20% - Accent5 24 9" xfId="1803"/>
    <cellStyle name="20% - Accent5 25" xfId="1804"/>
    <cellStyle name="20% - Accent5 25 10" xfId="1805"/>
    <cellStyle name="20% - Accent5 25 11" xfId="1806"/>
    <cellStyle name="20% - Accent5 25 2" xfId="1807"/>
    <cellStyle name="20% - Accent5 25 3" xfId="1808"/>
    <cellStyle name="20% - Accent5 25 4" xfId="1809"/>
    <cellStyle name="20% - Accent5 25 5" xfId="1810"/>
    <cellStyle name="20% - Accent5 25 6" xfId="1811"/>
    <cellStyle name="20% - Accent5 25 7" xfId="1812"/>
    <cellStyle name="20% - Accent5 25 8" xfId="1813"/>
    <cellStyle name="20% - Accent5 25 9" xfId="1814"/>
    <cellStyle name="20% - Accent5 26" xfId="1815"/>
    <cellStyle name="20% - Accent5 26 10" xfId="1816"/>
    <cellStyle name="20% - Accent5 26 11" xfId="1817"/>
    <cellStyle name="20% - Accent5 26 2" xfId="1818"/>
    <cellStyle name="20% - Accent5 26 3" xfId="1819"/>
    <cellStyle name="20% - Accent5 26 4" xfId="1820"/>
    <cellStyle name="20% - Accent5 26 5" xfId="1821"/>
    <cellStyle name="20% - Accent5 26 6" xfId="1822"/>
    <cellStyle name="20% - Accent5 26 7" xfId="1823"/>
    <cellStyle name="20% - Accent5 26 8" xfId="1824"/>
    <cellStyle name="20% - Accent5 26 9" xfId="1825"/>
    <cellStyle name="20% - Accent5 27" xfId="1826"/>
    <cellStyle name="20% - Accent5 27 10" xfId="1827"/>
    <cellStyle name="20% - Accent5 27 11" xfId="1828"/>
    <cellStyle name="20% - Accent5 27 2" xfId="1829"/>
    <cellStyle name="20% - Accent5 27 3" xfId="1830"/>
    <cellStyle name="20% - Accent5 27 4" xfId="1831"/>
    <cellStyle name="20% - Accent5 27 5" xfId="1832"/>
    <cellStyle name="20% - Accent5 27 6" xfId="1833"/>
    <cellStyle name="20% - Accent5 27 7" xfId="1834"/>
    <cellStyle name="20% - Accent5 27 8" xfId="1835"/>
    <cellStyle name="20% - Accent5 27 9" xfId="1836"/>
    <cellStyle name="20% - Accent5 28" xfId="1837"/>
    <cellStyle name="20% - Accent5 28 10" xfId="1838"/>
    <cellStyle name="20% - Accent5 28 11" xfId="1839"/>
    <cellStyle name="20% - Accent5 28 2" xfId="1840"/>
    <cellStyle name="20% - Accent5 28 3" xfId="1841"/>
    <cellStyle name="20% - Accent5 28 4" xfId="1842"/>
    <cellStyle name="20% - Accent5 28 5" xfId="1843"/>
    <cellStyle name="20% - Accent5 28 6" xfId="1844"/>
    <cellStyle name="20% - Accent5 28 7" xfId="1845"/>
    <cellStyle name="20% - Accent5 28 8" xfId="1846"/>
    <cellStyle name="20% - Accent5 28 9" xfId="1847"/>
    <cellStyle name="20% - Accent5 29" xfId="1848"/>
    <cellStyle name="20% - Accent5 29 10" xfId="1849"/>
    <cellStyle name="20% - Accent5 29 11" xfId="1850"/>
    <cellStyle name="20% - Accent5 29 2" xfId="1851"/>
    <cellStyle name="20% - Accent5 29 3" xfId="1852"/>
    <cellStyle name="20% - Accent5 29 4" xfId="1853"/>
    <cellStyle name="20% - Accent5 29 5" xfId="1854"/>
    <cellStyle name="20% - Accent5 29 6" xfId="1855"/>
    <cellStyle name="20% - Accent5 29 7" xfId="1856"/>
    <cellStyle name="20% - Accent5 29 8" xfId="1857"/>
    <cellStyle name="20% - Accent5 29 9" xfId="1858"/>
    <cellStyle name="20% - Accent5 3" xfId="1859"/>
    <cellStyle name="20% - Accent5 3 10" xfId="1860"/>
    <cellStyle name="20% - Accent5 3 11" xfId="1861"/>
    <cellStyle name="20% - Accent5 3 2" xfId="1862"/>
    <cellStyle name="20% - Accent5 3 3" xfId="1863"/>
    <cellStyle name="20% - Accent5 3 4" xfId="1864"/>
    <cellStyle name="20% - Accent5 3 5" xfId="1865"/>
    <cellStyle name="20% - Accent5 3 6" xfId="1866"/>
    <cellStyle name="20% - Accent5 3 7" xfId="1867"/>
    <cellStyle name="20% - Accent5 3 8" xfId="1868"/>
    <cellStyle name="20% - Accent5 3 9" xfId="1869"/>
    <cellStyle name="20% - Accent5 30" xfId="1870"/>
    <cellStyle name="20% - Accent5 30 10" xfId="1871"/>
    <cellStyle name="20% - Accent5 30 11" xfId="1872"/>
    <cellStyle name="20% - Accent5 30 2" xfId="1873"/>
    <cellStyle name="20% - Accent5 30 3" xfId="1874"/>
    <cellStyle name="20% - Accent5 30 4" xfId="1875"/>
    <cellStyle name="20% - Accent5 30 5" xfId="1876"/>
    <cellStyle name="20% - Accent5 30 6" xfId="1877"/>
    <cellStyle name="20% - Accent5 30 7" xfId="1878"/>
    <cellStyle name="20% - Accent5 30 8" xfId="1879"/>
    <cellStyle name="20% - Accent5 30 9" xfId="1880"/>
    <cellStyle name="20% - Accent5 31" xfId="1881"/>
    <cellStyle name="20% - Accent5 31 10" xfId="1882"/>
    <cellStyle name="20% - Accent5 31 11" xfId="1883"/>
    <cellStyle name="20% - Accent5 31 2" xfId="1884"/>
    <cellStyle name="20% - Accent5 31 3" xfId="1885"/>
    <cellStyle name="20% - Accent5 31 4" xfId="1886"/>
    <cellStyle name="20% - Accent5 31 5" xfId="1887"/>
    <cellStyle name="20% - Accent5 31 6" xfId="1888"/>
    <cellStyle name="20% - Accent5 31 7" xfId="1889"/>
    <cellStyle name="20% - Accent5 31 8" xfId="1890"/>
    <cellStyle name="20% - Accent5 31 9" xfId="1891"/>
    <cellStyle name="20% - Accent5 32" xfId="1892"/>
    <cellStyle name="20% - Accent5 32 10" xfId="1893"/>
    <cellStyle name="20% - Accent5 32 11" xfId="1894"/>
    <cellStyle name="20% - Accent5 32 2" xfId="1895"/>
    <cellStyle name="20% - Accent5 32 3" xfId="1896"/>
    <cellStyle name="20% - Accent5 32 4" xfId="1897"/>
    <cellStyle name="20% - Accent5 32 5" xfId="1898"/>
    <cellStyle name="20% - Accent5 32 6" xfId="1899"/>
    <cellStyle name="20% - Accent5 32 7" xfId="1900"/>
    <cellStyle name="20% - Accent5 32 8" xfId="1901"/>
    <cellStyle name="20% - Accent5 32 9" xfId="1902"/>
    <cellStyle name="20% - Accent5 33" xfId="1903"/>
    <cellStyle name="20% - Accent5 33 10" xfId="1904"/>
    <cellStyle name="20% - Accent5 33 11" xfId="1905"/>
    <cellStyle name="20% - Accent5 33 2" xfId="1906"/>
    <cellStyle name="20% - Accent5 33 3" xfId="1907"/>
    <cellStyle name="20% - Accent5 33 4" xfId="1908"/>
    <cellStyle name="20% - Accent5 33 5" xfId="1909"/>
    <cellStyle name="20% - Accent5 33 6" xfId="1910"/>
    <cellStyle name="20% - Accent5 33 7" xfId="1911"/>
    <cellStyle name="20% - Accent5 33 8" xfId="1912"/>
    <cellStyle name="20% - Accent5 33 9" xfId="1913"/>
    <cellStyle name="20% - Accent5 34" xfId="1914"/>
    <cellStyle name="20% - Accent5 34 10" xfId="1915"/>
    <cellStyle name="20% - Accent5 34 11" xfId="1916"/>
    <cellStyle name="20% - Accent5 34 2" xfId="1917"/>
    <cellStyle name="20% - Accent5 34 3" xfId="1918"/>
    <cellStyle name="20% - Accent5 34 4" xfId="1919"/>
    <cellStyle name="20% - Accent5 34 5" xfId="1920"/>
    <cellStyle name="20% - Accent5 34 6" xfId="1921"/>
    <cellStyle name="20% - Accent5 34 7" xfId="1922"/>
    <cellStyle name="20% - Accent5 34 8" xfId="1923"/>
    <cellStyle name="20% - Accent5 34 9" xfId="1924"/>
    <cellStyle name="20% - Accent5 35" xfId="1925"/>
    <cellStyle name="20% - Accent5 35 10" xfId="1926"/>
    <cellStyle name="20% - Accent5 35 11" xfId="1927"/>
    <cellStyle name="20% - Accent5 35 2" xfId="1928"/>
    <cellStyle name="20% - Accent5 35 3" xfId="1929"/>
    <cellStyle name="20% - Accent5 35 4" xfId="1930"/>
    <cellStyle name="20% - Accent5 35 5" xfId="1931"/>
    <cellStyle name="20% - Accent5 35 6" xfId="1932"/>
    <cellStyle name="20% - Accent5 35 7" xfId="1933"/>
    <cellStyle name="20% - Accent5 35 8" xfId="1934"/>
    <cellStyle name="20% - Accent5 35 9" xfId="1935"/>
    <cellStyle name="20% - Accent5 36" xfId="1936"/>
    <cellStyle name="20% - Accent5 36 10" xfId="1937"/>
    <cellStyle name="20% - Accent5 36 11" xfId="1938"/>
    <cellStyle name="20% - Accent5 36 2" xfId="1939"/>
    <cellStyle name="20% - Accent5 36 3" xfId="1940"/>
    <cellStyle name="20% - Accent5 36 4" xfId="1941"/>
    <cellStyle name="20% - Accent5 36 5" xfId="1942"/>
    <cellStyle name="20% - Accent5 36 6" xfId="1943"/>
    <cellStyle name="20% - Accent5 36 7" xfId="1944"/>
    <cellStyle name="20% - Accent5 36 8" xfId="1945"/>
    <cellStyle name="20% - Accent5 36 9" xfId="1946"/>
    <cellStyle name="20% - Accent5 37" xfId="1947"/>
    <cellStyle name="20% - Accent5 37 10" xfId="1948"/>
    <cellStyle name="20% - Accent5 37 11" xfId="1949"/>
    <cellStyle name="20% - Accent5 37 2" xfId="1950"/>
    <cellStyle name="20% - Accent5 37 3" xfId="1951"/>
    <cellStyle name="20% - Accent5 37 4" xfId="1952"/>
    <cellStyle name="20% - Accent5 37 5" xfId="1953"/>
    <cellStyle name="20% - Accent5 37 6" xfId="1954"/>
    <cellStyle name="20% - Accent5 37 7" xfId="1955"/>
    <cellStyle name="20% - Accent5 37 8" xfId="1956"/>
    <cellStyle name="20% - Accent5 37 9" xfId="1957"/>
    <cellStyle name="20% - Accent5 38" xfId="1958"/>
    <cellStyle name="20% - Accent5 39" xfId="1959"/>
    <cellStyle name="20% - Accent5 4" xfId="1960"/>
    <cellStyle name="20% - Accent5 4 10" xfId="1961"/>
    <cellStyle name="20% - Accent5 4 11" xfId="1962"/>
    <cellStyle name="20% - Accent5 4 2" xfId="1963"/>
    <cellStyle name="20% - Accent5 4 3" xfId="1964"/>
    <cellStyle name="20% - Accent5 4 4" xfId="1965"/>
    <cellStyle name="20% - Accent5 4 5" xfId="1966"/>
    <cellStyle name="20% - Accent5 4 6" xfId="1967"/>
    <cellStyle name="20% - Accent5 4 7" xfId="1968"/>
    <cellStyle name="20% - Accent5 4 8" xfId="1969"/>
    <cellStyle name="20% - Accent5 4 9" xfId="1970"/>
    <cellStyle name="20% - Accent5 40" xfId="1971"/>
    <cellStyle name="20% - Accent5 41" xfId="1972"/>
    <cellStyle name="20% - Accent5 42" xfId="1973"/>
    <cellStyle name="20% - Accent5 43" xfId="1974"/>
    <cellStyle name="20% - Accent5 44" xfId="1975"/>
    <cellStyle name="20% - Accent5 5" xfId="1976"/>
    <cellStyle name="20% - Accent5 5 10" xfId="1977"/>
    <cellStyle name="20% - Accent5 5 11" xfId="1978"/>
    <cellStyle name="20% - Accent5 5 2" xfId="1979"/>
    <cellStyle name="20% - Accent5 5 3" xfId="1980"/>
    <cellStyle name="20% - Accent5 5 4" xfId="1981"/>
    <cellStyle name="20% - Accent5 5 5" xfId="1982"/>
    <cellStyle name="20% - Accent5 5 6" xfId="1983"/>
    <cellStyle name="20% - Accent5 5 7" xfId="1984"/>
    <cellStyle name="20% - Accent5 5 8" xfId="1985"/>
    <cellStyle name="20% - Accent5 5 9" xfId="1986"/>
    <cellStyle name="20% - Accent5 6" xfId="1987"/>
    <cellStyle name="20% - Accent5 6 10" xfId="1988"/>
    <cellStyle name="20% - Accent5 6 11" xfId="1989"/>
    <cellStyle name="20% - Accent5 6 2" xfId="1990"/>
    <cellStyle name="20% - Accent5 6 3" xfId="1991"/>
    <cellStyle name="20% - Accent5 6 4" xfId="1992"/>
    <cellStyle name="20% - Accent5 6 5" xfId="1993"/>
    <cellStyle name="20% - Accent5 6 6" xfId="1994"/>
    <cellStyle name="20% - Accent5 6 7" xfId="1995"/>
    <cellStyle name="20% - Accent5 6 8" xfId="1996"/>
    <cellStyle name="20% - Accent5 6 9" xfId="1997"/>
    <cellStyle name="20% - Accent5 7" xfId="1998"/>
    <cellStyle name="20% - Accent5 7 10" xfId="1999"/>
    <cellStyle name="20% - Accent5 7 11" xfId="2000"/>
    <cellStyle name="20% - Accent5 7 2" xfId="2001"/>
    <cellStyle name="20% - Accent5 7 3" xfId="2002"/>
    <cellStyle name="20% - Accent5 7 4" xfId="2003"/>
    <cellStyle name="20% - Accent5 7 5" xfId="2004"/>
    <cellStyle name="20% - Accent5 7 6" xfId="2005"/>
    <cellStyle name="20% - Accent5 7 7" xfId="2006"/>
    <cellStyle name="20% - Accent5 7 8" xfId="2007"/>
    <cellStyle name="20% - Accent5 7 9" xfId="2008"/>
    <cellStyle name="20% - Accent5 8" xfId="2009"/>
    <cellStyle name="20% - Accent5 8 10" xfId="2010"/>
    <cellStyle name="20% - Accent5 8 11" xfId="2011"/>
    <cellStyle name="20% - Accent5 8 2" xfId="2012"/>
    <cellStyle name="20% - Accent5 8 3" xfId="2013"/>
    <cellStyle name="20% - Accent5 8 4" xfId="2014"/>
    <cellStyle name="20% - Accent5 8 5" xfId="2015"/>
    <cellStyle name="20% - Accent5 8 6" xfId="2016"/>
    <cellStyle name="20% - Accent5 8 7" xfId="2017"/>
    <cellStyle name="20% - Accent5 8 8" xfId="2018"/>
    <cellStyle name="20% - Accent5 8 9" xfId="2019"/>
    <cellStyle name="20% - Accent5 9" xfId="2020"/>
    <cellStyle name="20% - Accent5 9 10" xfId="2021"/>
    <cellStyle name="20% - Accent5 9 11" xfId="2022"/>
    <cellStyle name="20% - Accent5 9 2" xfId="2023"/>
    <cellStyle name="20% - Accent5 9 3" xfId="2024"/>
    <cellStyle name="20% - Accent5 9 4" xfId="2025"/>
    <cellStyle name="20% - Accent5 9 5" xfId="2026"/>
    <cellStyle name="20% - Accent5 9 6" xfId="2027"/>
    <cellStyle name="20% - Accent5 9 7" xfId="2028"/>
    <cellStyle name="20% - Accent5 9 8" xfId="2029"/>
    <cellStyle name="20% - Accent5 9 9" xfId="2030"/>
    <cellStyle name="20% - Accent6" xfId="6605" builtinId="50" customBuiltin="1"/>
    <cellStyle name="20% - Accent6 10" xfId="2031"/>
    <cellStyle name="20% - Accent6 10 10" xfId="2032"/>
    <cellStyle name="20% - Accent6 10 11" xfId="2033"/>
    <cellStyle name="20% - Accent6 10 2" xfId="2034"/>
    <cellStyle name="20% - Accent6 10 3" xfId="2035"/>
    <cellStyle name="20% - Accent6 10 4" xfId="2036"/>
    <cellStyle name="20% - Accent6 10 5" xfId="2037"/>
    <cellStyle name="20% - Accent6 10 6" xfId="2038"/>
    <cellStyle name="20% - Accent6 10 7" xfId="2039"/>
    <cellStyle name="20% - Accent6 10 8" xfId="2040"/>
    <cellStyle name="20% - Accent6 10 9" xfId="2041"/>
    <cellStyle name="20% - Accent6 11" xfId="2042"/>
    <cellStyle name="20% - Accent6 11 10" xfId="2043"/>
    <cellStyle name="20% - Accent6 11 11" xfId="2044"/>
    <cellStyle name="20% - Accent6 11 2" xfId="2045"/>
    <cellStyle name="20% - Accent6 11 3" xfId="2046"/>
    <cellStyle name="20% - Accent6 11 4" xfId="2047"/>
    <cellStyle name="20% - Accent6 11 5" xfId="2048"/>
    <cellStyle name="20% - Accent6 11 6" xfId="2049"/>
    <cellStyle name="20% - Accent6 11 7" xfId="2050"/>
    <cellStyle name="20% - Accent6 11 8" xfId="2051"/>
    <cellStyle name="20% - Accent6 11 9" xfId="2052"/>
    <cellStyle name="20% - Accent6 12" xfId="2053"/>
    <cellStyle name="20% - Accent6 12 10" xfId="2054"/>
    <cellStyle name="20% - Accent6 12 11" xfId="2055"/>
    <cellStyle name="20% - Accent6 12 2" xfId="2056"/>
    <cellStyle name="20% - Accent6 12 3" xfId="2057"/>
    <cellStyle name="20% - Accent6 12 4" xfId="2058"/>
    <cellStyle name="20% - Accent6 12 5" xfId="2059"/>
    <cellStyle name="20% - Accent6 12 6" xfId="2060"/>
    <cellStyle name="20% - Accent6 12 7" xfId="2061"/>
    <cellStyle name="20% - Accent6 12 8" xfId="2062"/>
    <cellStyle name="20% - Accent6 12 9" xfId="2063"/>
    <cellStyle name="20% - Accent6 13" xfId="2064"/>
    <cellStyle name="20% - Accent6 13 10" xfId="2065"/>
    <cellStyle name="20% - Accent6 13 11" xfId="2066"/>
    <cellStyle name="20% - Accent6 13 2" xfId="2067"/>
    <cellStyle name="20% - Accent6 13 3" xfId="2068"/>
    <cellStyle name="20% - Accent6 13 4" xfId="2069"/>
    <cellStyle name="20% - Accent6 13 5" xfId="2070"/>
    <cellStyle name="20% - Accent6 13 6" xfId="2071"/>
    <cellStyle name="20% - Accent6 13 7" xfId="2072"/>
    <cellStyle name="20% - Accent6 13 8" xfId="2073"/>
    <cellStyle name="20% - Accent6 13 9" xfId="2074"/>
    <cellStyle name="20% - Accent6 14" xfId="2075"/>
    <cellStyle name="20% - Accent6 14 10" xfId="2076"/>
    <cellStyle name="20% - Accent6 14 11" xfId="2077"/>
    <cellStyle name="20% - Accent6 14 2" xfId="2078"/>
    <cellStyle name="20% - Accent6 14 3" xfId="2079"/>
    <cellStyle name="20% - Accent6 14 4" xfId="2080"/>
    <cellStyle name="20% - Accent6 14 5" xfId="2081"/>
    <cellStyle name="20% - Accent6 14 6" xfId="2082"/>
    <cellStyle name="20% - Accent6 14 7" xfId="2083"/>
    <cellStyle name="20% - Accent6 14 8" xfId="2084"/>
    <cellStyle name="20% - Accent6 14 9" xfId="2085"/>
    <cellStyle name="20% - Accent6 15" xfId="2086"/>
    <cellStyle name="20% - Accent6 15 10" xfId="2087"/>
    <cellStyle name="20% - Accent6 15 11" xfId="2088"/>
    <cellStyle name="20% - Accent6 15 2" xfId="2089"/>
    <cellStyle name="20% - Accent6 15 3" xfId="2090"/>
    <cellStyle name="20% - Accent6 15 4" xfId="2091"/>
    <cellStyle name="20% - Accent6 15 5" xfId="2092"/>
    <cellStyle name="20% - Accent6 15 6" xfId="2093"/>
    <cellStyle name="20% - Accent6 15 7" xfId="2094"/>
    <cellStyle name="20% - Accent6 15 8" xfId="2095"/>
    <cellStyle name="20% - Accent6 15 9" xfId="2096"/>
    <cellStyle name="20% - Accent6 16" xfId="2097"/>
    <cellStyle name="20% - Accent6 16 10" xfId="2098"/>
    <cellStyle name="20% - Accent6 16 11" xfId="2099"/>
    <cellStyle name="20% - Accent6 16 2" xfId="2100"/>
    <cellStyle name="20% - Accent6 16 3" xfId="2101"/>
    <cellStyle name="20% - Accent6 16 4" xfId="2102"/>
    <cellStyle name="20% - Accent6 16 5" xfId="2103"/>
    <cellStyle name="20% - Accent6 16 6" xfId="2104"/>
    <cellStyle name="20% - Accent6 16 7" xfId="2105"/>
    <cellStyle name="20% - Accent6 16 8" xfId="2106"/>
    <cellStyle name="20% - Accent6 16 9" xfId="2107"/>
    <cellStyle name="20% - Accent6 17" xfId="2108"/>
    <cellStyle name="20% - Accent6 17 10" xfId="2109"/>
    <cellStyle name="20% - Accent6 17 11" xfId="2110"/>
    <cellStyle name="20% - Accent6 17 2" xfId="2111"/>
    <cellStyle name="20% - Accent6 17 3" xfId="2112"/>
    <cellStyle name="20% - Accent6 17 4" xfId="2113"/>
    <cellStyle name="20% - Accent6 17 5" xfId="2114"/>
    <cellStyle name="20% - Accent6 17 6" xfId="2115"/>
    <cellStyle name="20% - Accent6 17 7" xfId="2116"/>
    <cellStyle name="20% - Accent6 17 8" xfId="2117"/>
    <cellStyle name="20% - Accent6 17 9" xfId="2118"/>
    <cellStyle name="20% - Accent6 18" xfId="2119"/>
    <cellStyle name="20% - Accent6 18 10" xfId="2120"/>
    <cellStyle name="20% - Accent6 18 11" xfId="2121"/>
    <cellStyle name="20% - Accent6 18 2" xfId="2122"/>
    <cellStyle name="20% - Accent6 18 3" xfId="2123"/>
    <cellStyle name="20% - Accent6 18 4" xfId="2124"/>
    <cellStyle name="20% - Accent6 18 5" xfId="2125"/>
    <cellStyle name="20% - Accent6 18 6" xfId="2126"/>
    <cellStyle name="20% - Accent6 18 7" xfId="2127"/>
    <cellStyle name="20% - Accent6 18 8" xfId="2128"/>
    <cellStyle name="20% - Accent6 18 9" xfId="2129"/>
    <cellStyle name="20% - Accent6 19" xfId="2130"/>
    <cellStyle name="20% - Accent6 19 10" xfId="2131"/>
    <cellStyle name="20% - Accent6 19 11" xfId="2132"/>
    <cellStyle name="20% - Accent6 19 2" xfId="2133"/>
    <cellStyle name="20% - Accent6 19 3" xfId="2134"/>
    <cellStyle name="20% - Accent6 19 4" xfId="2135"/>
    <cellStyle name="20% - Accent6 19 5" xfId="2136"/>
    <cellStyle name="20% - Accent6 19 6" xfId="2137"/>
    <cellStyle name="20% - Accent6 19 7" xfId="2138"/>
    <cellStyle name="20% - Accent6 19 8" xfId="2139"/>
    <cellStyle name="20% - Accent6 19 9" xfId="2140"/>
    <cellStyle name="20% - Accent6 2" xfId="2141"/>
    <cellStyle name="20% - Accent6 2 10" xfId="2142"/>
    <cellStyle name="20% - Accent6 2 11" xfId="2143"/>
    <cellStyle name="20% - Accent6 2 2" xfId="2144"/>
    <cellStyle name="20% - Accent6 2 3" xfId="2145"/>
    <cellStyle name="20% - Accent6 2 4" xfId="2146"/>
    <cellStyle name="20% - Accent6 2 5" xfId="2147"/>
    <cellStyle name="20% - Accent6 2 6" xfId="2148"/>
    <cellStyle name="20% - Accent6 2 7" xfId="2149"/>
    <cellStyle name="20% - Accent6 2 8" xfId="2150"/>
    <cellStyle name="20% - Accent6 2 9" xfId="2151"/>
    <cellStyle name="20% - Accent6 20" xfId="2152"/>
    <cellStyle name="20% - Accent6 20 10" xfId="2153"/>
    <cellStyle name="20% - Accent6 20 11" xfId="2154"/>
    <cellStyle name="20% - Accent6 20 2" xfId="2155"/>
    <cellStyle name="20% - Accent6 20 3" xfId="2156"/>
    <cellStyle name="20% - Accent6 20 4" xfId="2157"/>
    <cellStyle name="20% - Accent6 20 5" xfId="2158"/>
    <cellStyle name="20% - Accent6 20 6" xfId="2159"/>
    <cellStyle name="20% - Accent6 20 7" xfId="2160"/>
    <cellStyle name="20% - Accent6 20 8" xfId="2161"/>
    <cellStyle name="20% - Accent6 20 9" xfId="2162"/>
    <cellStyle name="20% - Accent6 21" xfId="2163"/>
    <cellStyle name="20% - Accent6 21 10" xfId="2164"/>
    <cellStyle name="20% - Accent6 21 11" xfId="2165"/>
    <cellStyle name="20% - Accent6 21 2" xfId="2166"/>
    <cellStyle name="20% - Accent6 21 3" xfId="2167"/>
    <cellStyle name="20% - Accent6 21 4" xfId="2168"/>
    <cellStyle name="20% - Accent6 21 5" xfId="2169"/>
    <cellStyle name="20% - Accent6 21 6" xfId="2170"/>
    <cellStyle name="20% - Accent6 21 7" xfId="2171"/>
    <cellStyle name="20% - Accent6 21 8" xfId="2172"/>
    <cellStyle name="20% - Accent6 21 9" xfId="2173"/>
    <cellStyle name="20% - Accent6 22" xfId="2174"/>
    <cellStyle name="20% - Accent6 22 10" xfId="2175"/>
    <cellStyle name="20% - Accent6 22 11" xfId="2176"/>
    <cellStyle name="20% - Accent6 22 2" xfId="2177"/>
    <cellStyle name="20% - Accent6 22 3" xfId="2178"/>
    <cellStyle name="20% - Accent6 22 4" xfId="2179"/>
    <cellStyle name="20% - Accent6 22 5" xfId="2180"/>
    <cellStyle name="20% - Accent6 22 6" xfId="2181"/>
    <cellStyle name="20% - Accent6 22 7" xfId="2182"/>
    <cellStyle name="20% - Accent6 22 8" xfId="2183"/>
    <cellStyle name="20% - Accent6 22 9" xfId="2184"/>
    <cellStyle name="20% - Accent6 23" xfId="2185"/>
    <cellStyle name="20% - Accent6 23 10" xfId="2186"/>
    <cellStyle name="20% - Accent6 23 11" xfId="2187"/>
    <cellStyle name="20% - Accent6 23 2" xfId="2188"/>
    <cellStyle name="20% - Accent6 23 3" xfId="2189"/>
    <cellStyle name="20% - Accent6 23 4" xfId="2190"/>
    <cellStyle name="20% - Accent6 23 5" xfId="2191"/>
    <cellStyle name="20% - Accent6 23 6" xfId="2192"/>
    <cellStyle name="20% - Accent6 23 7" xfId="2193"/>
    <cellStyle name="20% - Accent6 23 8" xfId="2194"/>
    <cellStyle name="20% - Accent6 23 9" xfId="2195"/>
    <cellStyle name="20% - Accent6 24" xfId="2196"/>
    <cellStyle name="20% - Accent6 24 10" xfId="2197"/>
    <cellStyle name="20% - Accent6 24 11" xfId="2198"/>
    <cellStyle name="20% - Accent6 24 2" xfId="2199"/>
    <cellStyle name="20% - Accent6 24 3" xfId="2200"/>
    <cellStyle name="20% - Accent6 24 4" xfId="2201"/>
    <cellStyle name="20% - Accent6 24 5" xfId="2202"/>
    <cellStyle name="20% - Accent6 24 6" xfId="2203"/>
    <cellStyle name="20% - Accent6 24 7" xfId="2204"/>
    <cellStyle name="20% - Accent6 24 8" xfId="2205"/>
    <cellStyle name="20% - Accent6 24 9" xfId="2206"/>
    <cellStyle name="20% - Accent6 25" xfId="2207"/>
    <cellStyle name="20% - Accent6 25 10" xfId="2208"/>
    <cellStyle name="20% - Accent6 25 11" xfId="2209"/>
    <cellStyle name="20% - Accent6 25 2" xfId="2210"/>
    <cellStyle name="20% - Accent6 25 3" xfId="2211"/>
    <cellStyle name="20% - Accent6 25 4" xfId="2212"/>
    <cellStyle name="20% - Accent6 25 5" xfId="2213"/>
    <cellStyle name="20% - Accent6 25 6" xfId="2214"/>
    <cellStyle name="20% - Accent6 25 7" xfId="2215"/>
    <cellStyle name="20% - Accent6 25 8" xfId="2216"/>
    <cellStyle name="20% - Accent6 25 9" xfId="2217"/>
    <cellStyle name="20% - Accent6 26" xfId="2218"/>
    <cellStyle name="20% - Accent6 26 10" xfId="2219"/>
    <cellStyle name="20% - Accent6 26 11" xfId="2220"/>
    <cellStyle name="20% - Accent6 26 2" xfId="2221"/>
    <cellStyle name="20% - Accent6 26 3" xfId="2222"/>
    <cellStyle name="20% - Accent6 26 4" xfId="2223"/>
    <cellStyle name="20% - Accent6 26 5" xfId="2224"/>
    <cellStyle name="20% - Accent6 26 6" xfId="2225"/>
    <cellStyle name="20% - Accent6 26 7" xfId="2226"/>
    <cellStyle name="20% - Accent6 26 8" xfId="2227"/>
    <cellStyle name="20% - Accent6 26 9" xfId="2228"/>
    <cellStyle name="20% - Accent6 27" xfId="2229"/>
    <cellStyle name="20% - Accent6 27 10" xfId="2230"/>
    <cellStyle name="20% - Accent6 27 11" xfId="2231"/>
    <cellStyle name="20% - Accent6 27 2" xfId="2232"/>
    <cellStyle name="20% - Accent6 27 3" xfId="2233"/>
    <cellStyle name="20% - Accent6 27 4" xfId="2234"/>
    <cellStyle name="20% - Accent6 27 5" xfId="2235"/>
    <cellStyle name="20% - Accent6 27 6" xfId="2236"/>
    <cellStyle name="20% - Accent6 27 7" xfId="2237"/>
    <cellStyle name="20% - Accent6 27 8" xfId="2238"/>
    <cellStyle name="20% - Accent6 27 9" xfId="2239"/>
    <cellStyle name="20% - Accent6 28" xfId="2240"/>
    <cellStyle name="20% - Accent6 28 10" xfId="2241"/>
    <cellStyle name="20% - Accent6 28 11" xfId="2242"/>
    <cellStyle name="20% - Accent6 28 2" xfId="2243"/>
    <cellStyle name="20% - Accent6 28 3" xfId="2244"/>
    <cellStyle name="20% - Accent6 28 4" xfId="2245"/>
    <cellStyle name="20% - Accent6 28 5" xfId="2246"/>
    <cellStyle name="20% - Accent6 28 6" xfId="2247"/>
    <cellStyle name="20% - Accent6 28 7" xfId="2248"/>
    <cellStyle name="20% - Accent6 28 8" xfId="2249"/>
    <cellStyle name="20% - Accent6 28 9" xfId="2250"/>
    <cellStyle name="20% - Accent6 29" xfId="2251"/>
    <cellStyle name="20% - Accent6 29 10" xfId="2252"/>
    <cellStyle name="20% - Accent6 29 11" xfId="2253"/>
    <cellStyle name="20% - Accent6 29 2" xfId="2254"/>
    <cellStyle name="20% - Accent6 29 3" xfId="2255"/>
    <cellStyle name="20% - Accent6 29 4" xfId="2256"/>
    <cellStyle name="20% - Accent6 29 5" xfId="2257"/>
    <cellStyle name="20% - Accent6 29 6" xfId="2258"/>
    <cellStyle name="20% - Accent6 29 7" xfId="2259"/>
    <cellStyle name="20% - Accent6 29 8" xfId="2260"/>
    <cellStyle name="20% - Accent6 29 9" xfId="2261"/>
    <cellStyle name="20% - Accent6 3" xfId="2262"/>
    <cellStyle name="20% - Accent6 3 10" xfId="2263"/>
    <cellStyle name="20% - Accent6 3 11" xfId="2264"/>
    <cellStyle name="20% - Accent6 3 2" xfId="2265"/>
    <cellStyle name="20% - Accent6 3 3" xfId="2266"/>
    <cellStyle name="20% - Accent6 3 4" xfId="2267"/>
    <cellStyle name="20% - Accent6 3 5" xfId="2268"/>
    <cellStyle name="20% - Accent6 3 6" xfId="2269"/>
    <cellStyle name="20% - Accent6 3 7" xfId="2270"/>
    <cellStyle name="20% - Accent6 3 8" xfId="2271"/>
    <cellStyle name="20% - Accent6 3 9" xfId="2272"/>
    <cellStyle name="20% - Accent6 30" xfId="2273"/>
    <cellStyle name="20% - Accent6 30 10" xfId="2274"/>
    <cellStyle name="20% - Accent6 30 11" xfId="2275"/>
    <cellStyle name="20% - Accent6 30 2" xfId="2276"/>
    <cellStyle name="20% - Accent6 30 3" xfId="2277"/>
    <cellStyle name="20% - Accent6 30 4" xfId="2278"/>
    <cellStyle name="20% - Accent6 30 5" xfId="2279"/>
    <cellStyle name="20% - Accent6 30 6" xfId="2280"/>
    <cellStyle name="20% - Accent6 30 7" xfId="2281"/>
    <cellStyle name="20% - Accent6 30 8" xfId="2282"/>
    <cellStyle name="20% - Accent6 30 9" xfId="2283"/>
    <cellStyle name="20% - Accent6 31" xfId="2284"/>
    <cellStyle name="20% - Accent6 31 10" xfId="2285"/>
    <cellStyle name="20% - Accent6 31 11" xfId="2286"/>
    <cellStyle name="20% - Accent6 31 2" xfId="2287"/>
    <cellStyle name="20% - Accent6 31 3" xfId="2288"/>
    <cellStyle name="20% - Accent6 31 4" xfId="2289"/>
    <cellStyle name="20% - Accent6 31 5" xfId="2290"/>
    <cellStyle name="20% - Accent6 31 6" xfId="2291"/>
    <cellStyle name="20% - Accent6 31 7" xfId="2292"/>
    <cellStyle name="20% - Accent6 31 8" xfId="2293"/>
    <cellStyle name="20% - Accent6 31 9" xfId="2294"/>
    <cellStyle name="20% - Accent6 32" xfId="2295"/>
    <cellStyle name="20% - Accent6 32 10" xfId="2296"/>
    <cellStyle name="20% - Accent6 32 11" xfId="2297"/>
    <cellStyle name="20% - Accent6 32 2" xfId="2298"/>
    <cellStyle name="20% - Accent6 32 3" xfId="2299"/>
    <cellStyle name="20% - Accent6 32 4" xfId="2300"/>
    <cellStyle name="20% - Accent6 32 5" xfId="2301"/>
    <cellStyle name="20% - Accent6 32 6" xfId="2302"/>
    <cellStyle name="20% - Accent6 32 7" xfId="2303"/>
    <cellStyle name="20% - Accent6 32 8" xfId="2304"/>
    <cellStyle name="20% - Accent6 32 9" xfId="2305"/>
    <cellStyle name="20% - Accent6 33" xfId="2306"/>
    <cellStyle name="20% - Accent6 33 10" xfId="2307"/>
    <cellStyle name="20% - Accent6 33 11" xfId="2308"/>
    <cellStyle name="20% - Accent6 33 2" xfId="2309"/>
    <cellStyle name="20% - Accent6 33 3" xfId="2310"/>
    <cellStyle name="20% - Accent6 33 4" xfId="2311"/>
    <cellStyle name="20% - Accent6 33 5" xfId="2312"/>
    <cellStyle name="20% - Accent6 33 6" xfId="2313"/>
    <cellStyle name="20% - Accent6 33 7" xfId="2314"/>
    <cellStyle name="20% - Accent6 33 8" xfId="2315"/>
    <cellStyle name="20% - Accent6 33 9" xfId="2316"/>
    <cellStyle name="20% - Accent6 34" xfId="2317"/>
    <cellStyle name="20% - Accent6 34 10" xfId="2318"/>
    <cellStyle name="20% - Accent6 34 11" xfId="2319"/>
    <cellStyle name="20% - Accent6 34 2" xfId="2320"/>
    <cellStyle name="20% - Accent6 34 3" xfId="2321"/>
    <cellStyle name="20% - Accent6 34 4" xfId="2322"/>
    <cellStyle name="20% - Accent6 34 5" xfId="2323"/>
    <cellStyle name="20% - Accent6 34 6" xfId="2324"/>
    <cellStyle name="20% - Accent6 34 7" xfId="2325"/>
    <cellStyle name="20% - Accent6 34 8" xfId="2326"/>
    <cellStyle name="20% - Accent6 34 9" xfId="2327"/>
    <cellStyle name="20% - Accent6 35" xfId="2328"/>
    <cellStyle name="20% - Accent6 35 10" xfId="2329"/>
    <cellStyle name="20% - Accent6 35 11" xfId="2330"/>
    <cellStyle name="20% - Accent6 35 2" xfId="2331"/>
    <cellStyle name="20% - Accent6 35 3" xfId="2332"/>
    <cellStyle name="20% - Accent6 35 4" xfId="2333"/>
    <cellStyle name="20% - Accent6 35 5" xfId="2334"/>
    <cellStyle name="20% - Accent6 35 6" xfId="2335"/>
    <cellStyle name="20% - Accent6 35 7" xfId="2336"/>
    <cellStyle name="20% - Accent6 35 8" xfId="2337"/>
    <cellStyle name="20% - Accent6 35 9" xfId="2338"/>
    <cellStyle name="20% - Accent6 36" xfId="2339"/>
    <cellStyle name="20% - Accent6 36 10" xfId="2340"/>
    <cellStyle name="20% - Accent6 36 11" xfId="2341"/>
    <cellStyle name="20% - Accent6 36 2" xfId="2342"/>
    <cellStyle name="20% - Accent6 36 3" xfId="2343"/>
    <cellStyle name="20% - Accent6 36 4" xfId="2344"/>
    <cellStyle name="20% - Accent6 36 5" xfId="2345"/>
    <cellStyle name="20% - Accent6 36 6" xfId="2346"/>
    <cellStyle name="20% - Accent6 36 7" xfId="2347"/>
    <cellStyle name="20% - Accent6 36 8" xfId="2348"/>
    <cellStyle name="20% - Accent6 36 9" xfId="2349"/>
    <cellStyle name="20% - Accent6 37" xfId="2350"/>
    <cellStyle name="20% - Accent6 37 10" xfId="2351"/>
    <cellStyle name="20% - Accent6 37 11" xfId="2352"/>
    <cellStyle name="20% - Accent6 37 2" xfId="2353"/>
    <cellStyle name="20% - Accent6 37 3" xfId="2354"/>
    <cellStyle name="20% - Accent6 37 4" xfId="2355"/>
    <cellStyle name="20% - Accent6 37 5" xfId="2356"/>
    <cellStyle name="20% - Accent6 37 6" xfId="2357"/>
    <cellStyle name="20% - Accent6 37 7" xfId="2358"/>
    <cellStyle name="20% - Accent6 37 8" xfId="2359"/>
    <cellStyle name="20% - Accent6 37 9" xfId="2360"/>
    <cellStyle name="20% - Accent6 38" xfId="2361"/>
    <cellStyle name="20% - Accent6 39" xfId="2362"/>
    <cellStyle name="20% - Accent6 4" xfId="2363"/>
    <cellStyle name="20% - Accent6 4 10" xfId="2364"/>
    <cellStyle name="20% - Accent6 4 11" xfId="2365"/>
    <cellStyle name="20% - Accent6 4 2" xfId="2366"/>
    <cellStyle name="20% - Accent6 4 3" xfId="2367"/>
    <cellStyle name="20% - Accent6 4 4" xfId="2368"/>
    <cellStyle name="20% - Accent6 4 5" xfId="2369"/>
    <cellStyle name="20% - Accent6 4 6" xfId="2370"/>
    <cellStyle name="20% - Accent6 4 7" xfId="2371"/>
    <cellStyle name="20% - Accent6 4 8" xfId="2372"/>
    <cellStyle name="20% - Accent6 4 9" xfId="2373"/>
    <cellStyle name="20% - Accent6 40" xfId="2374"/>
    <cellStyle name="20% - Accent6 41" xfId="2375"/>
    <cellStyle name="20% - Accent6 42" xfId="2376"/>
    <cellStyle name="20% - Accent6 43" xfId="2377"/>
    <cellStyle name="20% - Accent6 44" xfId="2378"/>
    <cellStyle name="20% - Accent6 5" xfId="2379"/>
    <cellStyle name="20% - Accent6 5 10" xfId="2380"/>
    <cellStyle name="20% - Accent6 5 11" xfId="2381"/>
    <cellStyle name="20% - Accent6 5 2" xfId="2382"/>
    <cellStyle name="20% - Accent6 5 3" xfId="2383"/>
    <cellStyle name="20% - Accent6 5 4" xfId="2384"/>
    <cellStyle name="20% - Accent6 5 5" xfId="2385"/>
    <cellStyle name="20% - Accent6 5 6" xfId="2386"/>
    <cellStyle name="20% - Accent6 5 7" xfId="2387"/>
    <cellStyle name="20% - Accent6 5 8" xfId="2388"/>
    <cellStyle name="20% - Accent6 5 9" xfId="2389"/>
    <cellStyle name="20% - Accent6 6" xfId="2390"/>
    <cellStyle name="20% - Accent6 6 10" xfId="2391"/>
    <cellStyle name="20% - Accent6 6 11" xfId="2392"/>
    <cellStyle name="20% - Accent6 6 2" xfId="2393"/>
    <cellStyle name="20% - Accent6 6 3" xfId="2394"/>
    <cellStyle name="20% - Accent6 6 4" xfId="2395"/>
    <cellStyle name="20% - Accent6 6 5" xfId="2396"/>
    <cellStyle name="20% - Accent6 6 6" xfId="2397"/>
    <cellStyle name="20% - Accent6 6 7" xfId="2398"/>
    <cellStyle name="20% - Accent6 6 8" xfId="2399"/>
    <cellStyle name="20% - Accent6 6 9" xfId="2400"/>
    <cellStyle name="20% - Accent6 7" xfId="2401"/>
    <cellStyle name="20% - Accent6 7 10" xfId="2402"/>
    <cellStyle name="20% - Accent6 7 11" xfId="2403"/>
    <cellStyle name="20% - Accent6 7 2" xfId="2404"/>
    <cellStyle name="20% - Accent6 7 3" xfId="2405"/>
    <cellStyle name="20% - Accent6 7 4" xfId="2406"/>
    <cellStyle name="20% - Accent6 7 5" xfId="2407"/>
    <cellStyle name="20% - Accent6 7 6" xfId="2408"/>
    <cellStyle name="20% - Accent6 7 7" xfId="2409"/>
    <cellStyle name="20% - Accent6 7 8" xfId="2410"/>
    <cellStyle name="20% - Accent6 7 9" xfId="2411"/>
    <cellStyle name="20% - Accent6 8" xfId="2412"/>
    <cellStyle name="20% - Accent6 8 10" xfId="2413"/>
    <cellStyle name="20% - Accent6 8 11" xfId="2414"/>
    <cellStyle name="20% - Accent6 8 2" xfId="2415"/>
    <cellStyle name="20% - Accent6 8 3" xfId="2416"/>
    <cellStyle name="20% - Accent6 8 4" xfId="2417"/>
    <cellStyle name="20% - Accent6 8 5" xfId="2418"/>
    <cellStyle name="20% - Accent6 8 6" xfId="2419"/>
    <cellStyle name="20% - Accent6 8 7" xfId="2420"/>
    <cellStyle name="20% - Accent6 8 8" xfId="2421"/>
    <cellStyle name="20% - Accent6 8 9" xfId="2422"/>
    <cellStyle name="20% - Accent6 9" xfId="2423"/>
    <cellStyle name="20% - Accent6 9 10" xfId="2424"/>
    <cellStyle name="20% - Accent6 9 11" xfId="2425"/>
    <cellStyle name="20% - Accent6 9 2" xfId="2426"/>
    <cellStyle name="20% - Accent6 9 3" xfId="2427"/>
    <cellStyle name="20% - Accent6 9 4" xfId="2428"/>
    <cellStyle name="20% - Accent6 9 5" xfId="2429"/>
    <cellStyle name="20% - Accent6 9 6" xfId="2430"/>
    <cellStyle name="20% - Accent6 9 7" xfId="2431"/>
    <cellStyle name="20% - Accent6 9 8" xfId="2432"/>
    <cellStyle name="20% - Accent6 9 9" xfId="2433"/>
    <cellStyle name="40% - Accent1" xfId="6586" builtinId="31" customBuiltin="1"/>
    <cellStyle name="40% - Accent1 10" xfId="2434"/>
    <cellStyle name="40% - Accent1 10 10" xfId="2435"/>
    <cellStyle name="40% - Accent1 10 11" xfId="2436"/>
    <cellStyle name="40% - Accent1 10 2" xfId="2437"/>
    <cellStyle name="40% - Accent1 10 3" xfId="2438"/>
    <cellStyle name="40% - Accent1 10 4" xfId="2439"/>
    <cellStyle name="40% - Accent1 10 5" xfId="2440"/>
    <cellStyle name="40% - Accent1 10 6" xfId="2441"/>
    <cellStyle name="40% - Accent1 10 7" xfId="2442"/>
    <cellStyle name="40% - Accent1 10 8" xfId="2443"/>
    <cellStyle name="40% - Accent1 10 9" xfId="2444"/>
    <cellStyle name="40% - Accent1 11" xfId="2445"/>
    <cellStyle name="40% - Accent1 11 10" xfId="2446"/>
    <cellStyle name="40% - Accent1 11 11" xfId="2447"/>
    <cellStyle name="40% - Accent1 11 2" xfId="2448"/>
    <cellStyle name="40% - Accent1 11 3" xfId="2449"/>
    <cellStyle name="40% - Accent1 11 4" xfId="2450"/>
    <cellStyle name="40% - Accent1 11 5" xfId="2451"/>
    <cellStyle name="40% - Accent1 11 6" xfId="2452"/>
    <cellStyle name="40% - Accent1 11 7" xfId="2453"/>
    <cellStyle name="40% - Accent1 11 8" xfId="2454"/>
    <cellStyle name="40% - Accent1 11 9" xfId="2455"/>
    <cellStyle name="40% - Accent1 12" xfId="2456"/>
    <cellStyle name="40% - Accent1 12 10" xfId="2457"/>
    <cellStyle name="40% - Accent1 12 11" xfId="2458"/>
    <cellStyle name="40% - Accent1 12 2" xfId="2459"/>
    <cellStyle name="40% - Accent1 12 3" xfId="2460"/>
    <cellStyle name="40% - Accent1 12 4" xfId="2461"/>
    <cellStyle name="40% - Accent1 12 5" xfId="2462"/>
    <cellStyle name="40% - Accent1 12 6" xfId="2463"/>
    <cellStyle name="40% - Accent1 12 7" xfId="2464"/>
    <cellStyle name="40% - Accent1 12 8" xfId="2465"/>
    <cellStyle name="40% - Accent1 12 9" xfId="2466"/>
    <cellStyle name="40% - Accent1 13" xfId="2467"/>
    <cellStyle name="40% - Accent1 13 10" xfId="2468"/>
    <cellStyle name="40% - Accent1 13 11" xfId="2469"/>
    <cellStyle name="40% - Accent1 13 2" xfId="2470"/>
    <cellStyle name="40% - Accent1 13 3" xfId="2471"/>
    <cellStyle name="40% - Accent1 13 4" xfId="2472"/>
    <cellStyle name="40% - Accent1 13 5" xfId="2473"/>
    <cellStyle name="40% - Accent1 13 6" xfId="2474"/>
    <cellStyle name="40% - Accent1 13 7" xfId="2475"/>
    <cellStyle name="40% - Accent1 13 8" xfId="2476"/>
    <cellStyle name="40% - Accent1 13 9" xfId="2477"/>
    <cellStyle name="40% - Accent1 14" xfId="2478"/>
    <cellStyle name="40% - Accent1 14 10" xfId="2479"/>
    <cellStyle name="40% - Accent1 14 11" xfId="2480"/>
    <cellStyle name="40% - Accent1 14 2" xfId="2481"/>
    <cellStyle name="40% - Accent1 14 3" xfId="2482"/>
    <cellStyle name="40% - Accent1 14 4" xfId="2483"/>
    <cellStyle name="40% - Accent1 14 5" xfId="2484"/>
    <cellStyle name="40% - Accent1 14 6" xfId="2485"/>
    <cellStyle name="40% - Accent1 14 7" xfId="2486"/>
    <cellStyle name="40% - Accent1 14 8" xfId="2487"/>
    <cellStyle name="40% - Accent1 14 9" xfId="2488"/>
    <cellStyle name="40% - Accent1 15" xfId="2489"/>
    <cellStyle name="40% - Accent1 15 10" xfId="2490"/>
    <cellStyle name="40% - Accent1 15 11" xfId="2491"/>
    <cellStyle name="40% - Accent1 15 2" xfId="2492"/>
    <cellStyle name="40% - Accent1 15 3" xfId="2493"/>
    <cellStyle name="40% - Accent1 15 4" xfId="2494"/>
    <cellStyle name="40% - Accent1 15 5" xfId="2495"/>
    <cellStyle name="40% - Accent1 15 6" xfId="2496"/>
    <cellStyle name="40% - Accent1 15 7" xfId="2497"/>
    <cellStyle name="40% - Accent1 15 8" xfId="2498"/>
    <cellStyle name="40% - Accent1 15 9" xfId="2499"/>
    <cellStyle name="40% - Accent1 16" xfId="2500"/>
    <cellStyle name="40% - Accent1 16 10" xfId="2501"/>
    <cellStyle name="40% - Accent1 16 11" xfId="2502"/>
    <cellStyle name="40% - Accent1 16 2" xfId="2503"/>
    <cellStyle name="40% - Accent1 16 3" xfId="2504"/>
    <cellStyle name="40% - Accent1 16 4" xfId="2505"/>
    <cellStyle name="40% - Accent1 16 5" xfId="2506"/>
    <cellStyle name="40% - Accent1 16 6" xfId="2507"/>
    <cellStyle name="40% - Accent1 16 7" xfId="2508"/>
    <cellStyle name="40% - Accent1 16 8" xfId="2509"/>
    <cellStyle name="40% - Accent1 16 9" xfId="2510"/>
    <cellStyle name="40% - Accent1 17" xfId="2511"/>
    <cellStyle name="40% - Accent1 17 10" xfId="2512"/>
    <cellStyle name="40% - Accent1 17 11" xfId="2513"/>
    <cellStyle name="40% - Accent1 17 2" xfId="2514"/>
    <cellStyle name="40% - Accent1 17 3" xfId="2515"/>
    <cellStyle name="40% - Accent1 17 4" xfId="2516"/>
    <cellStyle name="40% - Accent1 17 5" xfId="2517"/>
    <cellStyle name="40% - Accent1 17 6" xfId="2518"/>
    <cellStyle name="40% - Accent1 17 7" xfId="2519"/>
    <cellStyle name="40% - Accent1 17 8" xfId="2520"/>
    <cellStyle name="40% - Accent1 17 9" xfId="2521"/>
    <cellStyle name="40% - Accent1 18" xfId="2522"/>
    <cellStyle name="40% - Accent1 18 10" xfId="2523"/>
    <cellStyle name="40% - Accent1 18 11" xfId="2524"/>
    <cellStyle name="40% - Accent1 18 2" xfId="2525"/>
    <cellStyle name="40% - Accent1 18 3" xfId="2526"/>
    <cellStyle name="40% - Accent1 18 4" xfId="2527"/>
    <cellStyle name="40% - Accent1 18 5" xfId="2528"/>
    <cellStyle name="40% - Accent1 18 6" xfId="2529"/>
    <cellStyle name="40% - Accent1 18 7" xfId="2530"/>
    <cellStyle name="40% - Accent1 18 8" xfId="2531"/>
    <cellStyle name="40% - Accent1 18 9" xfId="2532"/>
    <cellStyle name="40% - Accent1 19" xfId="2533"/>
    <cellStyle name="40% - Accent1 19 10" xfId="2534"/>
    <cellStyle name="40% - Accent1 19 11" xfId="2535"/>
    <cellStyle name="40% - Accent1 19 2" xfId="2536"/>
    <cellStyle name="40% - Accent1 19 3" xfId="2537"/>
    <cellStyle name="40% - Accent1 19 4" xfId="2538"/>
    <cellStyle name="40% - Accent1 19 5" xfId="2539"/>
    <cellStyle name="40% - Accent1 19 6" xfId="2540"/>
    <cellStyle name="40% - Accent1 19 7" xfId="2541"/>
    <cellStyle name="40% - Accent1 19 8" xfId="2542"/>
    <cellStyle name="40% - Accent1 19 9" xfId="2543"/>
    <cellStyle name="40% - Accent1 2" xfId="2544"/>
    <cellStyle name="40% - Accent1 2 10" xfId="2545"/>
    <cellStyle name="40% - Accent1 2 11" xfId="2546"/>
    <cellStyle name="40% - Accent1 2 2" xfId="2547"/>
    <cellStyle name="40% - Accent1 2 3" xfId="2548"/>
    <cellStyle name="40% - Accent1 2 4" xfId="2549"/>
    <cellStyle name="40% - Accent1 2 5" xfId="2550"/>
    <cellStyle name="40% - Accent1 2 6" xfId="2551"/>
    <cellStyle name="40% - Accent1 2 7" xfId="2552"/>
    <cellStyle name="40% - Accent1 2 8" xfId="2553"/>
    <cellStyle name="40% - Accent1 2 9" xfId="2554"/>
    <cellStyle name="40% - Accent1 20" xfId="2555"/>
    <cellStyle name="40% - Accent1 20 10" xfId="2556"/>
    <cellStyle name="40% - Accent1 20 11" xfId="2557"/>
    <cellStyle name="40% - Accent1 20 2" xfId="2558"/>
    <cellStyle name="40% - Accent1 20 3" xfId="2559"/>
    <cellStyle name="40% - Accent1 20 4" xfId="2560"/>
    <cellStyle name="40% - Accent1 20 5" xfId="2561"/>
    <cellStyle name="40% - Accent1 20 6" xfId="2562"/>
    <cellStyle name="40% - Accent1 20 7" xfId="2563"/>
    <cellStyle name="40% - Accent1 20 8" xfId="2564"/>
    <cellStyle name="40% - Accent1 20 9" xfId="2565"/>
    <cellStyle name="40% - Accent1 21" xfId="2566"/>
    <cellStyle name="40% - Accent1 21 10" xfId="2567"/>
    <cellStyle name="40% - Accent1 21 11" xfId="2568"/>
    <cellStyle name="40% - Accent1 21 2" xfId="2569"/>
    <cellStyle name="40% - Accent1 21 3" xfId="2570"/>
    <cellStyle name="40% - Accent1 21 4" xfId="2571"/>
    <cellStyle name="40% - Accent1 21 5" xfId="2572"/>
    <cellStyle name="40% - Accent1 21 6" xfId="2573"/>
    <cellStyle name="40% - Accent1 21 7" xfId="2574"/>
    <cellStyle name="40% - Accent1 21 8" xfId="2575"/>
    <cellStyle name="40% - Accent1 21 9" xfId="2576"/>
    <cellStyle name="40% - Accent1 22" xfId="2577"/>
    <cellStyle name="40% - Accent1 22 10" xfId="2578"/>
    <cellStyle name="40% - Accent1 22 11" xfId="2579"/>
    <cellStyle name="40% - Accent1 22 2" xfId="2580"/>
    <cellStyle name="40% - Accent1 22 3" xfId="2581"/>
    <cellStyle name="40% - Accent1 22 4" xfId="2582"/>
    <cellStyle name="40% - Accent1 22 5" xfId="2583"/>
    <cellStyle name="40% - Accent1 22 6" xfId="2584"/>
    <cellStyle name="40% - Accent1 22 7" xfId="2585"/>
    <cellStyle name="40% - Accent1 22 8" xfId="2586"/>
    <cellStyle name="40% - Accent1 22 9" xfId="2587"/>
    <cellStyle name="40% - Accent1 23" xfId="2588"/>
    <cellStyle name="40% - Accent1 23 10" xfId="2589"/>
    <cellStyle name="40% - Accent1 23 11" xfId="2590"/>
    <cellStyle name="40% - Accent1 23 2" xfId="2591"/>
    <cellStyle name="40% - Accent1 23 3" xfId="2592"/>
    <cellStyle name="40% - Accent1 23 4" xfId="2593"/>
    <cellStyle name="40% - Accent1 23 5" xfId="2594"/>
    <cellStyle name="40% - Accent1 23 6" xfId="2595"/>
    <cellStyle name="40% - Accent1 23 7" xfId="2596"/>
    <cellStyle name="40% - Accent1 23 8" xfId="2597"/>
    <cellStyle name="40% - Accent1 23 9" xfId="2598"/>
    <cellStyle name="40% - Accent1 24" xfId="2599"/>
    <cellStyle name="40% - Accent1 24 10" xfId="2600"/>
    <cellStyle name="40% - Accent1 24 11" xfId="2601"/>
    <cellStyle name="40% - Accent1 24 2" xfId="2602"/>
    <cellStyle name="40% - Accent1 24 3" xfId="2603"/>
    <cellStyle name="40% - Accent1 24 4" xfId="2604"/>
    <cellStyle name="40% - Accent1 24 5" xfId="2605"/>
    <cellStyle name="40% - Accent1 24 6" xfId="2606"/>
    <cellStyle name="40% - Accent1 24 7" xfId="2607"/>
    <cellStyle name="40% - Accent1 24 8" xfId="2608"/>
    <cellStyle name="40% - Accent1 24 9" xfId="2609"/>
    <cellStyle name="40% - Accent1 25" xfId="2610"/>
    <cellStyle name="40% - Accent1 25 10" xfId="2611"/>
    <cellStyle name="40% - Accent1 25 11" xfId="2612"/>
    <cellStyle name="40% - Accent1 25 2" xfId="2613"/>
    <cellStyle name="40% - Accent1 25 3" xfId="2614"/>
    <cellStyle name="40% - Accent1 25 4" xfId="2615"/>
    <cellStyle name="40% - Accent1 25 5" xfId="2616"/>
    <cellStyle name="40% - Accent1 25 6" xfId="2617"/>
    <cellStyle name="40% - Accent1 25 7" xfId="2618"/>
    <cellStyle name="40% - Accent1 25 8" xfId="2619"/>
    <cellStyle name="40% - Accent1 25 9" xfId="2620"/>
    <cellStyle name="40% - Accent1 26" xfId="2621"/>
    <cellStyle name="40% - Accent1 26 10" xfId="2622"/>
    <cellStyle name="40% - Accent1 26 11" xfId="2623"/>
    <cellStyle name="40% - Accent1 26 2" xfId="2624"/>
    <cellStyle name="40% - Accent1 26 3" xfId="2625"/>
    <cellStyle name="40% - Accent1 26 4" xfId="2626"/>
    <cellStyle name="40% - Accent1 26 5" xfId="2627"/>
    <cellStyle name="40% - Accent1 26 6" xfId="2628"/>
    <cellStyle name="40% - Accent1 26 7" xfId="2629"/>
    <cellStyle name="40% - Accent1 26 8" xfId="2630"/>
    <cellStyle name="40% - Accent1 26 9" xfId="2631"/>
    <cellStyle name="40% - Accent1 27" xfId="2632"/>
    <cellStyle name="40% - Accent1 27 10" xfId="2633"/>
    <cellStyle name="40% - Accent1 27 11" xfId="2634"/>
    <cellStyle name="40% - Accent1 27 2" xfId="2635"/>
    <cellStyle name="40% - Accent1 27 3" xfId="2636"/>
    <cellStyle name="40% - Accent1 27 4" xfId="2637"/>
    <cellStyle name="40% - Accent1 27 5" xfId="2638"/>
    <cellStyle name="40% - Accent1 27 6" xfId="2639"/>
    <cellStyle name="40% - Accent1 27 7" xfId="2640"/>
    <cellStyle name="40% - Accent1 27 8" xfId="2641"/>
    <cellStyle name="40% - Accent1 27 9" xfId="2642"/>
    <cellStyle name="40% - Accent1 28" xfId="2643"/>
    <cellStyle name="40% - Accent1 28 10" xfId="2644"/>
    <cellStyle name="40% - Accent1 28 11" xfId="2645"/>
    <cellStyle name="40% - Accent1 28 2" xfId="2646"/>
    <cellStyle name="40% - Accent1 28 3" xfId="2647"/>
    <cellStyle name="40% - Accent1 28 4" xfId="2648"/>
    <cellStyle name="40% - Accent1 28 5" xfId="2649"/>
    <cellStyle name="40% - Accent1 28 6" xfId="2650"/>
    <cellStyle name="40% - Accent1 28 7" xfId="2651"/>
    <cellStyle name="40% - Accent1 28 8" xfId="2652"/>
    <cellStyle name="40% - Accent1 28 9" xfId="2653"/>
    <cellStyle name="40% - Accent1 29" xfId="2654"/>
    <cellStyle name="40% - Accent1 29 10" xfId="2655"/>
    <cellStyle name="40% - Accent1 29 11" xfId="2656"/>
    <cellStyle name="40% - Accent1 29 2" xfId="2657"/>
    <cellStyle name="40% - Accent1 29 3" xfId="2658"/>
    <cellStyle name="40% - Accent1 29 4" xfId="2659"/>
    <cellStyle name="40% - Accent1 29 5" xfId="2660"/>
    <cellStyle name="40% - Accent1 29 6" xfId="2661"/>
    <cellStyle name="40% - Accent1 29 7" xfId="2662"/>
    <cellStyle name="40% - Accent1 29 8" xfId="2663"/>
    <cellStyle name="40% - Accent1 29 9" xfId="2664"/>
    <cellStyle name="40% - Accent1 3" xfId="2665"/>
    <cellStyle name="40% - Accent1 3 10" xfId="2666"/>
    <cellStyle name="40% - Accent1 3 11" xfId="2667"/>
    <cellStyle name="40% - Accent1 3 2" xfId="2668"/>
    <cellStyle name="40% - Accent1 3 3" xfId="2669"/>
    <cellStyle name="40% - Accent1 3 4" xfId="2670"/>
    <cellStyle name="40% - Accent1 3 5" xfId="2671"/>
    <cellStyle name="40% - Accent1 3 6" xfId="2672"/>
    <cellStyle name="40% - Accent1 3 7" xfId="2673"/>
    <cellStyle name="40% - Accent1 3 8" xfId="2674"/>
    <cellStyle name="40% - Accent1 3 9" xfId="2675"/>
    <cellStyle name="40% - Accent1 30" xfId="2676"/>
    <cellStyle name="40% - Accent1 30 10" xfId="2677"/>
    <cellStyle name="40% - Accent1 30 11" xfId="2678"/>
    <cellStyle name="40% - Accent1 30 2" xfId="2679"/>
    <cellStyle name="40% - Accent1 30 3" xfId="2680"/>
    <cellStyle name="40% - Accent1 30 4" xfId="2681"/>
    <cellStyle name="40% - Accent1 30 5" xfId="2682"/>
    <cellStyle name="40% - Accent1 30 6" xfId="2683"/>
    <cellStyle name="40% - Accent1 30 7" xfId="2684"/>
    <cellStyle name="40% - Accent1 30 8" xfId="2685"/>
    <cellStyle name="40% - Accent1 30 9" xfId="2686"/>
    <cellStyle name="40% - Accent1 31" xfId="2687"/>
    <cellStyle name="40% - Accent1 31 10" xfId="2688"/>
    <cellStyle name="40% - Accent1 31 11" xfId="2689"/>
    <cellStyle name="40% - Accent1 31 2" xfId="2690"/>
    <cellStyle name="40% - Accent1 31 3" xfId="2691"/>
    <cellStyle name="40% - Accent1 31 4" xfId="2692"/>
    <cellStyle name="40% - Accent1 31 5" xfId="2693"/>
    <cellStyle name="40% - Accent1 31 6" xfId="2694"/>
    <cellStyle name="40% - Accent1 31 7" xfId="2695"/>
    <cellStyle name="40% - Accent1 31 8" xfId="2696"/>
    <cellStyle name="40% - Accent1 31 9" xfId="2697"/>
    <cellStyle name="40% - Accent1 32" xfId="2698"/>
    <cellStyle name="40% - Accent1 32 10" xfId="2699"/>
    <cellStyle name="40% - Accent1 32 11" xfId="2700"/>
    <cellStyle name="40% - Accent1 32 2" xfId="2701"/>
    <cellStyle name="40% - Accent1 32 3" xfId="2702"/>
    <cellStyle name="40% - Accent1 32 4" xfId="2703"/>
    <cellStyle name="40% - Accent1 32 5" xfId="2704"/>
    <cellStyle name="40% - Accent1 32 6" xfId="2705"/>
    <cellStyle name="40% - Accent1 32 7" xfId="2706"/>
    <cellStyle name="40% - Accent1 32 8" xfId="2707"/>
    <cellStyle name="40% - Accent1 32 9" xfId="2708"/>
    <cellStyle name="40% - Accent1 33" xfId="2709"/>
    <cellStyle name="40% - Accent1 33 10" xfId="2710"/>
    <cellStyle name="40% - Accent1 33 11" xfId="2711"/>
    <cellStyle name="40% - Accent1 33 2" xfId="2712"/>
    <cellStyle name="40% - Accent1 33 3" xfId="2713"/>
    <cellStyle name="40% - Accent1 33 4" xfId="2714"/>
    <cellStyle name="40% - Accent1 33 5" xfId="2715"/>
    <cellStyle name="40% - Accent1 33 6" xfId="2716"/>
    <cellStyle name="40% - Accent1 33 7" xfId="2717"/>
    <cellStyle name="40% - Accent1 33 8" xfId="2718"/>
    <cellStyle name="40% - Accent1 33 9" xfId="2719"/>
    <cellStyle name="40% - Accent1 34" xfId="2720"/>
    <cellStyle name="40% - Accent1 34 10" xfId="2721"/>
    <cellStyle name="40% - Accent1 34 11" xfId="2722"/>
    <cellStyle name="40% - Accent1 34 2" xfId="2723"/>
    <cellStyle name="40% - Accent1 34 3" xfId="2724"/>
    <cellStyle name="40% - Accent1 34 4" xfId="2725"/>
    <cellStyle name="40% - Accent1 34 5" xfId="2726"/>
    <cellStyle name="40% - Accent1 34 6" xfId="2727"/>
    <cellStyle name="40% - Accent1 34 7" xfId="2728"/>
    <cellStyle name="40% - Accent1 34 8" xfId="2729"/>
    <cellStyle name="40% - Accent1 34 9" xfId="2730"/>
    <cellStyle name="40% - Accent1 35" xfId="2731"/>
    <cellStyle name="40% - Accent1 35 10" xfId="2732"/>
    <cellStyle name="40% - Accent1 35 11" xfId="2733"/>
    <cellStyle name="40% - Accent1 35 2" xfId="2734"/>
    <cellStyle name="40% - Accent1 35 3" xfId="2735"/>
    <cellStyle name="40% - Accent1 35 4" xfId="2736"/>
    <cellStyle name="40% - Accent1 35 5" xfId="2737"/>
    <cellStyle name="40% - Accent1 35 6" xfId="2738"/>
    <cellStyle name="40% - Accent1 35 7" xfId="2739"/>
    <cellStyle name="40% - Accent1 35 8" xfId="2740"/>
    <cellStyle name="40% - Accent1 35 9" xfId="2741"/>
    <cellStyle name="40% - Accent1 36" xfId="2742"/>
    <cellStyle name="40% - Accent1 36 10" xfId="2743"/>
    <cellStyle name="40% - Accent1 36 11" xfId="2744"/>
    <cellStyle name="40% - Accent1 36 2" xfId="2745"/>
    <cellStyle name="40% - Accent1 36 3" xfId="2746"/>
    <cellStyle name="40% - Accent1 36 4" xfId="2747"/>
    <cellStyle name="40% - Accent1 36 5" xfId="2748"/>
    <cellStyle name="40% - Accent1 36 6" xfId="2749"/>
    <cellStyle name="40% - Accent1 36 7" xfId="2750"/>
    <cellStyle name="40% - Accent1 36 8" xfId="2751"/>
    <cellStyle name="40% - Accent1 36 9" xfId="2752"/>
    <cellStyle name="40% - Accent1 37" xfId="2753"/>
    <cellStyle name="40% - Accent1 37 10" xfId="2754"/>
    <cellStyle name="40% - Accent1 37 11" xfId="2755"/>
    <cellStyle name="40% - Accent1 37 2" xfId="2756"/>
    <cellStyle name="40% - Accent1 37 3" xfId="2757"/>
    <cellStyle name="40% - Accent1 37 4" xfId="2758"/>
    <cellStyle name="40% - Accent1 37 5" xfId="2759"/>
    <cellStyle name="40% - Accent1 37 6" xfId="2760"/>
    <cellStyle name="40% - Accent1 37 7" xfId="2761"/>
    <cellStyle name="40% - Accent1 37 8" xfId="2762"/>
    <cellStyle name="40% - Accent1 37 9" xfId="2763"/>
    <cellStyle name="40% - Accent1 38" xfId="2764"/>
    <cellStyle name="40% - Accent1 39" xfId="2765"/>
    <cellStyle name="40% - Accent1 4" xfId="2766"/>
    <cellStyle name="40% - Accent1 4 10" xfId="2767"/>
    <cellStyle name="40% - Accent1 4 11" xfId="2768"/>
    <cellStyle name="40% - Accent1 4 2" xfId="2769"/>
    <cellStyle name="40% - Accent1 4 3" xfId="2770"/>
    <cellStyle name="40% - Accent1 4 4" xfId="2771"/>
    <cellStyle name="40% - Accent1 4 5" xfId="2772"/>
    <cellStyle name="40% - Accent1 4 6" xfId="2773"/>
    <cellStyle name="40% - Accent1 4 7" xfId="2774"/>
    <cellStyle name="40% - Accent1 4 8" xfId="2775"/>
    <cellStyle name="40% - Accent1 4 9" xfId="2776"/>
    <cellStyle name="40% - Accent1 40" xfId="2777"/>
    <cellStyle name="40% - Accent1 41" xfId="2778"/>
    <cellStyle name="40% - Accent1 42" xfId="2779"/>
    <cellStyle name="40% - Accent1 43" xfId="2780"/>
    <cellStyle name="40% - Accent1 44" xfId="2781"/>
    <cellStyle name="40% - Accent1 5" xfId="2782"/>
    <cellStyle name="40% - Accent1 5 10" xfId="2783"/>
    <cellStyle name="40% - Accent1 5 11" xfId="2784"/>
    <cellStyle name="40% - Accent1 5 2" xfId="2785"/>
    <cellStyle name="40% - Accent1 5 3" xfId="2786"/>
    <cellStyle name="40% - Accent1 5 4" xfId="2787"/>
    <cellStyle name="40% - Accent1 5 5" xfId="2788"/>
    <cellStyle name="40% - Accent1 5 6" xfId="2789"/>
    <cellStyle name="40% - Accent1 5 7" xfId="2790"/>
    <cellStyle name="40% - Accent1 5 8" xfId="2791"/>
    <cellStyle name="40% - Accent1 5 9" xfId="2792"/>
    <cellStyle name="40% - Accent1 6" xfId="2793"/>
    <cellStyle name="40% - Accent1 6 10" xfId="2794"/>
    <cellStyle name="40% - Accent1 6 11" xfId="2795"/>
    <cellStyle name="40% - Accent1 6 2" xfId="2796"/>
    <cellStyle name="40% - Accent1 6 3" xfId="2797"/>
    <cellStyle name="40% - Accent1 6 4" xfId="2798"/>
    <cellStyle name="40% - Accent1 6 5" xfId="2799"/>
    <cellStyle name="40% - Accent1 6 6" xfId="2800"/>
    <cellStyle name="40% - Accent1 6 7" xfId="2801"/>
    <cellStyle name="40% - Accent1 6 8" xfId="2802"/>
    <cellStyle name="40% - Accent1 6 9" xfId="2803"/>
    <cellStyle name="40% - Accent1 7" xfId="2804"/>
    <cellStyle name="40% - Accent1 7 10" xfId="2805"/>
    <cellStyle name="40% - Accent1 7 11" xfId="2806"/>
    <cellStyle name="40% - Accent1 7 2" xfId="2807"/>
    <cellStyle name="40% - Accent1 7 3" xfId="2808"/>
    <cellStyle name="40% - Accent1 7 4" xfId="2809"/>
    <cellStyle name="40% - Accent1 7 5" xfId="2810"/>
    <cellStyle name="40% - Accent1 7 6" xfId="2811"/>
    <cellStyle name="40% - Accent1 7 7" xfId="2812"/>
    <cellStyle name="40% - Accent1 7 8" xfId="2813"/>
    <cellStyle name="40% - Accent1 7 9" xfId="2814"/>
    <cellStyle name="40% - Accent1 8" xfId="2815"/>
    <cellStyle name="40% - Accent1 8 10" xfId="2816"/>
    <cellStyle name="40% - Accent1 8 11" xfId="2817"/>
    <cellStyle name="40% - Accent1 8 2" xfId="2818"/>
    <cellStyle name="40% - Accent1 8 3" xfId="2819"/>
    <cellStyle name="40% - Accent1 8 4" xfId="2820"/>
    <cellStyle name="40% - Accent1 8 5" xfId="2821"/>
    <cellStyle name="40% - Accent1 8 6" xfId="2822"/>
    <cellStyle name="40% - Accent1 8 7" xfId="2823"/>
    <cellStyle name="40% - Accent1 8 8" xfId="2824"/>
    <cellStyle name="40% - Accent1 8 9" xfId="2825"/>
    <cellStyle name="40% - Accent1 9" xfId="2826"/>
    <cellStyle name="40% - Accent1 9 10" xfId="2827"/>
    <cellStyle name="40% - Accent1 9 11" xfId="2828"/>
    <cellStyle name="40% - Accent1 9 2" xfId="2829"/>
    <cellStyle name="40% - Accent1 9 3" xfId="2830"/>
    <cellStyle name="40% - Accent1 9 4" xfId="2831"/>
    <cellStyle name="40% - Accent1 9 5" xfId="2832"/>
    <cellStyle name="40% - Accent1 9 6" xfId="2833"/>
    <cellStyle name="40% - Accent1 9 7" xfId="2834"/>
    <cellStyle name="40% - Accent1 9 8" xfId="2835"/>
    <cellStyle name="40% - Accent1 9 9" xfId="2836"/>
    <cellStyle name="40% - Accent2" xfId="6590" builtinId="35" customBuiltin="1"/>
    <cellStyle name="40% - Accent2 10" xfId="2837"/>
    <cellStyle name="40% - Accent2 10 10" xfId="2838"/>
    <cellStyle name="40% - Accent2 10 11" xfId="2839"/>
    <cellStyle name="40% - Accent2 10 2" xfId="2840"/>
    <cellStyle name="40% - Accent2 10 3" xfId="2841"/>
    <cellStyle name="40% - Accent2 10 4" xfId="2842"/>
    <cellStyle name="40% - Accent2 10 5" xfId="2843"/>
    <cellStyle name="40% - Accent2 10 6" xfId="2844"/>
    <cellStyle name="40% - Accent2 10 7" xfId="2845"/>
    <cellStyle name="40% - Accent2 10 8" xfId="2846"/>
    <cellStyle name="40% - Accent2 10 9" xfId="2847"/>
    <cellStyle name="40% - Accent2 11" xfId="2848"/>
    <cellStyle name="40% - Accent2 11 10" xfId="2849"/>
    <cellStyle name="40% - Accent2 11 11" xfId="2850"/>
    <cellStyle name="40% - Accent2 11 2" xfId="2851"/>
    <cellStyle name="40% - Accent2 11 3" xfId="2852"/>
    <cellStyle name="40% - Accent2 11 4" xfId="2853"/>
    <cellStyle name="40% - Accent2 11 5" xfId="2854"/>
    <cellStyle name="40% - Accent2 11 6" xfId="2855"/>
    <cellStyle name="40% - Accent2 11 7" xfId="2856"/>
    <cellStyle name="40% - Accent2 11 8" xfId="2857"/>
    <cellStyle name="40% - Accent2 11 9" xfId="2858"/>
    <cellStyle name="40% - Accent2 12" xfId="2859"/>
    <cellStyle name="40% - Accent2 12 10" xfId="2860"/>
    <cellStyle name="40% - Accent2 12 11" xfId="2861"/>
    <cellStyle name="40% - Accent2 12 2" xfId="2862"/>
    <cellStyle name="40% - Accent2 12 3" xfId="2863"/>
    <cellStyle name="40% - Accent2 12 4" xfId="2864"/>
    <cellStyle name="40% - Accent2 12 5" xfId="2865"/>
    <cellStyle name="40% - Accent2 12 6" xfId="2866"/>
    <cellStyle name="40% - Accent2 12 7" xfId="2867"/>
    <cellStyle name="40% - Accent2 12 8" xfId="2868"/>
    <cellStyle name="40% - Accent2 12 9" xfId="2869"/>
    <cellStyle name="40% - Accent2 13" xfId="2870"/>
    <cellStyle name="40% - Accent2 13 10" xfId="2871"/>
    <cellStyle name="40% - Accent2 13 11" xfId="2872"/>
    <cellStyle name="40% - Accent2 13 2" xfId="2873"/>
    <cellStyle name="40% - Accent2 13 3" xfId="2874"/>
    <cellStyle name="40% - Accent2 13 4" xfId="2875"/>
    <cellStyle name="40% - Accent2 13 5" xfId="2876"/>
    <cellStyle name="40% - Accent2 13 6" xfId="2877"/>
    <cellStyle name="40% - Accent2 13 7" xfId="2878"/>
    <cellStyle name="40% - Accent2 13 8" xfId="2879"/>
    <cellStyle name="40% - Accent2 13 9" xfId="2880"/>
    <cellStyle name="40% - Accent2 14" xfId="2881"/>
    <cellStyle name="40% - Accent2 14 10" xfId="2882"/>
    <cellStyle name="40% - Accent2 14 11" xfId="2883"/>
    <cellStyle name="40% - Accent2 14 2" xfId="2884"/>
    <cellStyle name="40% - Accent2 14 3" xfId="2885"/>
    <cellStyle name="40% - Accent2 14 4" xfId="2886"/>
    <cellStyle name="40% - Accent2 14 5" xfId="2887"/>
    <cellStyle name="40% - Accent2 14 6" xfId="2888"/>
    <cellStyle name="40% - Accent2 14 7" xfId="2889"/>
    <cellStyle name="40% - Accent2 14 8" xfId="2890"/>
    <cellStyle name="40% - Accent2 14 9" xfId="2891"/>
    <cellStyle name="40% - Accent2 15" xfId="2892"/>
    <cellStyle name="40% - Accent2 15 10" xfId="2893"/>
    <cellStyle name="40% - Accent2 15 11" xfId="2894"/>
    <cellStyle name="40% - Accent2 15 2" xfId="2895"/>
    <cellStyle name="40% - Accent2 15 3" xfId="2896"/>
    <cellStyle name="40% - Accent2 15 4" xfId="2897"/>
    <cellStyle name="40% - Accent2 15 5" xfId="2898"/>
    <cellStyle name="40% - Accent2 15 6" xfId="2899"/>
    <cellStyle name="40% - Accent2 15 7" xfId="2900"/>
    <cellStyle name="40% - Accent2 15 8" xfId="2901"/>
    <cellStyle name="40% - Accent2 15 9" xfId="2902"/>
    <cellStyle name="40% - Accent2 16" xfId="2903"/>
    <cellStyle name="40% - Accent2 16 10" xfId="2904"/>
    <cellStyle name="40% - Accent2 16 11" xfId="2905"/>
    <cellStyle name="40% - Accent2 16 2" xfId="2906"/>
    <cellStyle name="40% - Accent2 16 3" xfId="2907"/>
    <cellStyle name="40% - Accent2 16 4" xfId="2908"/>
    <cellStyle name="40% - Accent2 16 5" xfId="2909"/>
    <cellStyle name="40% - Accent2 16 6" xfId="2910"/>
    <cellStyle name="40% - Accent2 16 7" xfId="2911"/>
    <cellStyle name="40% - Accent2 16 8" xfId="2912"/>
    <cellStyle name="40% - Accent2 16 9" xfId="2913"/>
    <cellStyle name="40% - Accent2 17" xfId="2914"/>
    <cellStyle name="40% - Accent2 17 10" xfId="2915"/>
    <cellStyle name="40% - Accent2 17 11" xfId="2916"/>
    <cellStyle name="40% - Accent2 17 2" xfId="2917"/>
    <cellStyle name="40% - Accent2 17 3" xfId="2918"/>
    <cellStyle name="40% - Accent2 17 4" xfId="2919"/>
    <cellStyle name="40% - Accent2 17 5" xfId="2920"/>
    <cellStyle name="40% - Accent2 17 6" xfId="2921"/>
    <cellStyle name="40% - Accent2 17 7" xfId="2922"/>
    <cellStyle name="40% - Accent2 17 8" xfId="2923"/>
    <cellStyle name="40% - Accent2 17 9" xfId="2924"/>
    <cellStyle name="40% - Accent2 18" xfId="2925"/>
    <cellStyle name="40% - Accent2 18 10" xfId="2926"/>
    <cellStyle name="40% - Accent2 18 11" xfId="2927"/>
    <cellStyle name="40% - Accent2 18 2" xfId="2928"/>
    <cellStyle name="40% - Accent2 18 3" xfId="2929"/>
    <cellStyle name="40% - Accent2 18 4" xfId="2930"/>
    <cellStyle name="40% - Accent2 18 5" xfId="2931"/>
    <cellStyle name="40% - Accent2 18 6" xfId="2932"/>
    <cellStyle name="40% - Accent2 18 7" xfId="2933"/>
    <cellStyle name="40% - Accent2 18 8" xfId="2934"/>
    <cellStyle name="40% - Accent2 18 9" xfId="2935"/>
    <cellStyle name="40% - Accent2 19" xfId="2936"/>
    <cellStyle name="40% - Accent2 19 10" xfId="2937"/>
    <cellStyle name="40% - Accent2 19 11" xfId="2938"/>
    <cellStyle name="40% - Accent2 19 2" xfId="2939"/>
    <cellStyle name="40% - Accent2 19 3" xfId="2940"/>
    <cellStyle name="40% - Accent2 19 4" xfId="2941"/>
    <cellStyle name="40% - Accent2 19 5" xfId="2942"/>
    <cellStyle name="40% - Accent2 19 6" xfId="2943"/>
    <cellStyle name="40% - Accent2 19 7" xfId="2944"/>
    <cellStyle name="40% - Accent2 19 8" xfId="2945"/>
    <cellStyle name="40% - Accent2 19 9" xfId="2946"/>
    <cellStyle name="40% - Accent2 2" xfId="2947"/>
    <cellStyle name="40% - Accent2 2 10" xfId="2948"/>
    <cellStyle name="40% - Accent2 2 11" xfId="2949"/>
    <cellStyle name="40% - Accent2 2 12" xfId="6643"/>
    <cellStyle name="40% - Accent2 2 2" xfId="2950"/>
    <cellStyle name="40% - Accent2 2 2 2" xfId="6681"/>
    <cellStyle name="40% - Accent2 2 3" xfId="2951"/>
    <cellStyle name="40% - Accent2 2 3 2" xfId="6660"/>
    <cellStyle name="40% - Accent2 2 4" xfId="2952"/>
    <cellStyle name="40% - Accent2 2 5" xfId="2953"/>
    <cellStyle name="40% - Accent2 2 6" xfId="2954"/>
    <cellStyle name="40% - Accent2 2 7" xfId="2955"/>
    <cellStyle name="40% - Accent2 2 8" xfId="2956"/>
    <cellStyle name="40% - Accent2 2 9" xfId="2957"/>
    <cellStyle name="40% - Accent2 20" xfId="2958"/>
    <cellStyle name="40% - Accent2 20 10" xfId="2959"/>
    <cellStyle name="40% - Accent2 20 11" xfId="2960"/>
    <cellStyle name="40% - Accent2 20 2" xfId="2961"/>
    <cellStyle name="40% - Accent2 20 3" xfId="2962"/>
    <cellStyle name="40% - Accent2 20 4" xfId="2963"/>
    <cellStyle name="40% - Accent2 20 5" xfId="2964"/>
    <cellStyle name="40% - Accent2 20 6" xfId="2965"/>
    <cellStyle name="40% - Accent2 20 7" xfId="2966"/>
    <cellStyle name="40% - Accent2 20 8" xfId="2967"/>
    <cellStyle name="40% - Accent2 20 9" xfId="2968"/>
    <cellStyle name="40% - Accent2 21" xfId="2969"/>
    <cellStyle name="40% - Accent2 21 10" xfId="2970"/>
    <cellStyle name="40% - Accent2 21 11" xfId="2971"/>
    <cellStyle name="40% - Accent2 21 2" xfId="2972"/>
    <cellStyle name="40% - Accent2 21 3" xfId="2973"/>
    <cellStyle name="40% - Accent2 21 4" xfId="2974"/>
    <cellStyle name="40% - Accent2 21 5" xfId="2975"/>
    <cellStyle name="40% - Accent2 21 6" xfId="2976"/>
    <cellStyle name="40% - Accent2 21 7" xfId="2977"/>
    <cellStyle name="40% - Accent2 21 8" xfId="2978"/>
    <cellStyle name="40% - Accent2 21 9" xfId="2979"/>
    <cellStyle name="40% - Accent2 22" xfId="2980"/>
    <cellStyle name="40% - Accent2 22 10" xfId="2981"/>
    <cellStyle name="40% - Accent2 22 11" xfId="2982"/>
    <cellStyle name="40% - Accent2 22 2" xfId="2983"/>
    <cellStyle name="40% - Accent2 22 3" xfId="2984"/>
    <cellStyle name="40% - Accent2 22 4" xfId="2985"/>
    <cellStyle name="40% - Accent2 22 5" xfId="2986"/>
    <cellStyle name="40% - Accent2 22 6" xfId="2987"/>
    <cellStyle name="40% - Accent2 22 7" xfId="2988"/>
    <cellStyle name="40% - Accent2 22 8" xfId="2989"/>
    <cellStyle name="40% - Accent2 22 9" xfId="2990"/>
    <cellStyle name="40% - Accent2 23" xfId="2991"/>
    <cellStyle name="40% - Accent2 23 10" xfId="2992"/>
    <cellStyle name="40% - Accent2 23 11" xfId="2993"/>
    <cellStyle name="40% - Accent2 23 2" xfId="2994"/>
    <cellStyle name="40% - Accent2 23 3" xfId="2995"/>
    <cellStyle name="40% - Accent2 23 4" xfId="2996"/>
    <cellStyle name="40% - Accent2 23 5" xfId="2997"/>
    <cellStyle name="40% - Accent2 23 6" xfId="2998"/>
    <cellStyle name="40% - Accent2 23 7" xfId="2999"/>
    <cellStyle name="40% - Accent2 23 8" xfId="3000"/>
    <cellStyle name="40% - Accent2 23 9" xfId="3001"/>
    <cellStyle name="40% - Accent2 24" xfId="3002"/>
    <cellStyle name="40% - Accent2 24 10" xfId="3003"/>
    <cellStyle name="40% - Accent2 24 11" xfId="3004"/>
    <cellStyle name="40% - Accent2 24 2" xfId="3005"/>
    <cellStyle name="40% - Accent2 24 3" xfId="3006"/>
    <cellStyle name="40% - Accent2 24 4" xfId="3007"/>
    <cellStyle name="40% - Accent2 24 5" xfId="3008"/>
    <cellStyle name="40% - Accent2 24 6" xfId="3009"/>
    <cellStyle name="40% - Accent2 24 7" xfId="3010"/>
    <cellStyle name="40% - Accent2 24 8" xfId="3011"/>
    <cellStyle name="40% - Accent2 24 9" xfId="3012"/>
    <cellStyle name="40% - Accent2 25" xfId="3013"/>
    <cellStyle name="40% - Accent2 25 10" xfId="3014"/>
    <cellStyle name="40% - Accent2 25 11" xfId="3015"/>
    <cellStyle name="40% - Accent2 25 2" xfId="3016"/>
    <cellStyle name="40% - Accent2 25 3" xfId="3017"/>
    <cellStyle name="40% - Accent2 25 4" xfId="3018"/>
    <cellStyle name="40% - Accent2 25 5" xfId="3019"/>
    <cellStyle name="40% - Accent2 25 6" xfId="3020"/>
    <cellStyle name="40% - Accent2 25 7" xfId="3021"/>
    <cellStyle name="40% - Accent2 25 8" xfId="3022"/>
    <cellStyle name="40% - Accent2 25 9" xfId="3023"/>
    <cellStyle name="40% - Accent2 26" xfId="3024"/>
    <cellStyle name="40% - Accent2 26 10" xfId="3025"/>
    <cellStyle name="40% - Accent2 26 11" xfId="3026"/>
    <cellStyle name="40% - Accent2 26 2" xfId="3027"/>
    <cellStyle name="40% - Accent2 26 3" xfId="3028"/>
    <cellStyle name="40% - Accent2 26 4" xfId="3029"/>
    <cellStyle name="40% - Accent2 26 5" xfId="3030"/>
    <cellStyle name="40% - Accent2 26 6" xfId="3031"/>
    <cellStyle name="40% - Accent2 26 7" xfId="3032"/>
    <cellStyle name="40% - Accent2 26 8" xfId="3033"/>
    <cellStyle name="40% - Accent2 26 9" xfId="3034"/>
    <cellStyle name="40% - Accent2 27" xfId="3035"/>
    <cellStyle name="40% - Accent2 27 10" xfId="3036"/>
    <cellStyle name="40% - Accent2 27 11" xfId="3037"/>
    <cellStyle name="40% - Accent2 27 2" xfId="3038"/>
    <cellStyle name="40% - Accent2 27 3" xfId="3039"/>
    <cellStyle name="40% - Accent2 27 4" xfId="3040"/>
    <cellStyle name="40% - Accent2 27 5" xfId="3041"/>
    <cellStyle name="40% - Accent2 27 6" xfId="3042"/>
    <cellStyle name="40% - Accent2 27 7" xfId="3043"/>
    <cellStyle name="40% - Accent2 27 8" xfId="3044"/>
    <cellStyle name="40% - Accent2 27 9" xfId="3045"/>
    <cellStyle name="40% - Accent2 28" xfId="3046"/>
    <cellStyle name="40% - Accent2 28 10" xfId="3047"/>
    <cellStyle name="40% - Accent2 28 11" xfId="3048"/>
    <cellStyle name="40% - Accent2 28 2" xfId="3049"/>
    <cellStyle name="40% - Accent2 28 3" xfId="3050"/>
    <cellStyle name="40% - Accent2 28 4" xfId="3051"/>
    <cellStyle name="40% - Accent2 28 5" xfId="3052"/>
    <cellStyle name="40% - Accent2 28 6" xfId="3053"/>
    <cellStyle name="40% - Accent2 28 7" xfId="3054"/>
    <cellStyle name="40% - Accent2 28 8" xfId="3055"/>
    <cellStyle name="40% - Accent2 28 9" xfId="3056"/>
    <cellStyle name="40% - Accent2 29" xfId="3057"/>
    <cellStyle name="40% - Accent2 29 10" xfId="3058"/>
    <cellStyle name="40% - Accent2 29 11" xfId="3059"/>
    <cellStyle name="40% - Accent2 29 2" xfId="3060"/>
    <cellStyle name="40% - Accent2 29 3" xfId="3061"/>
    <cellStyle name="40% - Accent2 29 4" xfId="3062"/>
    <cellStyle name="40% - Accent2 29 5" xfId="3063"/>
    <cellStyle name="40% - Accent2 29 6" xfId="3064"/>
    <cellStyle name="40% - Accent2 29 7" xfId="3065"/>
    <cellStyle name="40% - Accent2 29 8" xfId="3066"/>
    <cellStyle name="40% - Accent2 29 9" xfId="3067"/>
    <cellStyle name="40% - Accent2 3" xfId="3068"/>
    <cellStyle name="40% - Accent2 3 10" xfId="3069"/>
    <cellStyle name="40% - Accent2 3 11" xfId="3070"/>
    <cellStyle name="40% - Accent2 3 12" xfId="6635"/>
    <cellStyle name="40% - Accent2 3 2" xfId="3071"/>
    <cellStyle name="40% - Accent2 3 2 2" xfId="6674"/>
    <cellStyle name="40% - Accent2 3 3" xfId="3072"/>
    <cellStyle name="40% - Accent2 3 4" xfId="3073"/>
    <cellStyle name="40% - Accent2 3 5" xfId="3074"/>
    <cellStyle name="40% - Accent2 3 6" xfId="3075"/>
    <cellStyle name="40% - Accent2 3 7" xfId="3076"/>
    <cellStyle name="40% - Accent2 3 8" xfId="3077"/>
    <cellStyle name="40% - Accent2 3 9" xfId="3078"/>
    <cellStyle name="40% - Accent2 30" xfId="3079"/>
    <cellStyle name="40% - Accent2 30 10" xfId="3080"/>
    <cellStyle name="40% - Accent2 30 11" xfId="3081"/>
    <cellStyle name="40% - Accent2 30 2" xfId="3082"/>
    <cellStyle name="40% - Accent2 30 3" xfId="3083"/>
    <cellStyle name="40% - Accent2 30 4" xfId="3084"/>
    <cellStyle name="40% - Accent2 30 5" xfId="3085"/>
    <cellStyle name="40% - Accent2 30 6" xfId="3086"/>
    <cellStyle name="40% - Accent2 30 7" xfId="3087"/>
    <cellStyle name="40% - Accent2 30 8" xfId="3088"/>
    <cellStyle name="40% - Accent2 30 9" xfId="3089"/>
    <cellStyle name="40% - Accent2 31" xfId="3090"/>
    <cellStyle name="40% - Accent2 31 10" xfId="3091"/>
    <cellStyle name="40% - Accent2 31 11" xfId="3092"/>
    <cellStyle name="40% - Accent2 31 2" xfId="3093"/>
    <cellStyle name="40% - Accent2 31 3" xfId="3094"/>
    <cellStyle name="40% - Accent2 31 4" xfId="3095"/>
    <cellStyle name="40% - Accent2 31 5" xfId="3096"/>
    <cellStyle name="40% - Accent2 31 6" xfId="3097"/>
    <cellStyle name="40% - Accent2 31 7" xfId="3098"/>
    <cellStyle name="40% - Accent2 31 8" xfId="3099"/>
    <cellStyle name="40% - Accent2 31 9" xfId="3100"/>
    <cellStyle name="40% - Accent2 32" xfId="3101"/>
    <cellStyle name="40% - Accent2 32 10" xfId="3102"/>
    <cellStyle name="40% - Accent2 32 11" xfId="3103"/>
    <cellStyle name="40% - Accent2 32 2" xfId="3104"/>
    <cellStyle name="40% - Accent2 32 3" xfId="3105"/>
    <cellStyle name="40% - Accent2 32 4" xfId="3106"/>
    <cellStyle name="40% - Accent2 32 5" xfId="3107"/>
    <cellStyle name="40% - Accent2 32 6" xfId="3108"/>
    <cellStyle name="40% - Accent2 32 7" xfId="3109"/>
    <cellStyle name="40% - Accent2 32 8" xfId="3110"/>
    <cellStyle name="40% - Accent2 32 9" xfId="3111"/>
    <cellStyle name="40% - Accent2 33" xfId="3112"/>
    <cellStyle name="40% - Accent2 33 10" xfId="3113"/>
    <cellStyle name="40% - Accent2 33 11" xfId="3114"/>
    <cellStyle name="40% - Accent2 33 2" xfId="3115"/>
    <cellStyle name="40% - Accent2 33 3" xfId="3116"/>
    <cellStyle name="40% - Accent2 33 4" xfId="3117"/>
    <cellStyle name="40% - Accent2 33 5" xfId="3118"/>
    <cellStyle name="40% - Accent2 33 6" xfId="3119"/>
    <cellStyle name="40% - Accent2 33 7" xfId="3120"/>
    <cellStyle name="40% - Accent2 33 8" xfId="3121"/>
    <cellStyle name="40% - Accent2 33 9" xfId="3122"/>
    <cellStyle name="40% - Accent2 34" xfId="3123"/>
    <cellStyle name="40% - Accent2 34 10" xfId="3124"/>
    <cellStyle name="40% - Accent2 34 11" xfId="3125"/>
    <cellStyle name="40% - Accent2 34 2" xfId="3126"/>
    <cellStyle name="40% - Accent2 34 3" xfId="3127"/>
    <cellStyle name="40% - Accent2 34 4" xfId="3128"/>
    <cellStyle name="40% - Accent2 34 5" xfId="3129"/>
    <cellStyle name="40% - Accent2 34 6" xfId="3130"/>
    <cellStyle name="40% - Accent2 34 7" xfId="3131"/>
    <cellStyle name="40% - Accent2 34 8" xfId="3132"/>
    <cellStyle name="40% - Accent2 34 9" xfId="3133"/>
    <cellStyle name="40% - Accent2 35" xfId="3134"/>
    <cellStyle name="40% - Accent2 35 10" xfId="3135"/>
    <cellStyle name="40% - Accent2 35 11" xfId="3136"/>
    <cellStyle name="40% - Accent2 35 2" xfId="3137"/>
    <cellStyle name="40% - Accent2 35 3" xfId="3138"/>
    <cellStyle name="40% - Accent2 35 4" xfId="3139"/>
    <cellStyle name="40% - Accent2 35 5" xfId="3140"/>
    <cellStyle name="40% - Accent2 35 6" xfId="3141"/>
    <cellStyle name="40% - Accent2 35 7" xfId="3142"/>
    <cellStyle name="40% - Accent2 35 8" xfId="3143"/>
    <cellStyle name="40% - Accent2 35 9" xfId="3144"/>
    <cellStyle name="40% - Accent2 36" xfId="3145"/>
    <cellStyle name="40% - Accent2 36 10" xfId="3146"/>
    <cellStyle name="40% - Accent2 36 11" xfId="3147"/>
    <cellStyle name="40% - Accent2 36 2" xfId="3148"/>
    <cellStyle name="40% - Accent2 36 3" xfId="3149"/>
    <cellStyle name="40% - Accent2 36 4" xfId="3150"/>
    <cellStyle name="40% - Accent2 36 5" xfId="3151"/>
    <cellStyle name="40% - Accent2 36 6" xfId="3152"/>
    <cellStyle name="40% - Accent2 36 7" xfId="3153"/>
    <cellStyle name="40% - Accent2 36 8" xfId="3154"/>
    <cellStyle name="40% - Accent2 36 9" xfId="3155"/>
    <cellStyle name="40% - Accent2 37" xfId="3156"/>
    <cellStyle name="40% - Accent2 37 10" xfId="3157"/>
    <cellStyle name="40% - Accent2 37 11" xfId="3158"/>
    <cellStyle name="40% - Accent2 37 2" xfId="3159"/>
    <cellStyle name="40% - Accent2 37 3" xfId="3160"/>
    <cellStyle name="40% - Accent2 37 4" xfId="3161"/>
    <cellStyle name="40% - Accent2 37 5" xfId="3162"/>
    <cellStyle name="40% - Accent2 37 6" xfId="3163"/>
    <cellStyle name="40% - Accent2 37 7" xfId="3164"/>
    <cellStyle name="40% - Accent2 37 8" xfId="3165"/>
    <cellStyle name="40% - Accent2 37 9" xfId="3166"/>
    <cellStyle name="40% - Accent2 38" xfId="3167"/>
    <cellStyle name="40% - Accent2 39" xfId="3168"/>
    <cellStyle name="40% - Accent2 4" xfId="3169"/>
    <cellStyle name="40% - Accent2 4 10" xfId="3170"/>
    <cellStyle name="40% - Accent2 4 11" xfId="3171"/>
    <cellStyle name="40% - Accent2 4 12" xfId="6667"/>
    <cellStyle name="40% - Accent2 4 2" xfId="3172"/>
    <cellStyle name="40% - Accent2 4 3" xfId="3173"/>
    <cellStyle name="40% - Accent2 4 4" xfId="3174"/>
    <cellStyle name="40% - Accent2 4 5" xfId="3175"/>
    <cellStyle name="40% - Accent2 4 6" xfId="3176"/>
    <cellStyle name="40% - Accent2 4 7" xfId="3177"/>
    <cellStyle name="40% - Accent2 4 8" xfId="3178"/>
    <cellStyle name="40% - Accent2 4 9" xfId="3179"/>
    <cellStyle name="40% - Accent2 40" xfId="3180"/>
    <cellStyle name="40% - Accent2 41" xfId="3181"/>
    <cellStyle name="40% - Accent2 42" xfId="3182"/>
    <cellStyle name="40% - Accent2 43" xfId="3183"/>
    <cellStyle name="40% - Accent2 44" xfId="3184"/>
    <cellStyle name="40% - Accent2 45" xfId="6624"/>
    <cellStyle name="40% - Accent2 5" xfId="3185"/>
    <cellStyle name="40% - Accent2 5 10" xfId="3186"/>
    <cellStyle name="40% - Accent2 5 11" xfId="3187"/>
    <cellStyle name="40% - Accent2 5 12" xfId="6653"/>
    <cellStyle name="40% - Accent2 5 2" xfId="3188"/>
    <cellStyle name="40% - Accent2 5 3" xfId="3189"/>
    <cellStyle name="40% - Accent2 5 4" xfId="3190"/>
    <cellStyle name="40% - Accent2 5 5" xfId="3191"/>
    <cellStyle name="40% - Accent2 5 6" xfId="3192"/>
    <cellStyle name="40% - Accent2 5 7" xfId="3193"/>
    <cellStyle name="40% - Accent2 5 8" xfId="3194"/>
    <cellStyle name="40% - Accent2 5 9" xfId="3195"/>
    <cellStyle name="40% - Accent2 6" xfId="3196"/>
    <cellStyle name="40% - Accent2 6 10" xfId="3197"/>
    <cellStyle name="40% - Accent2 6 11" xfId="3198"/>
    <cellStyle name="40% - Accent2 6 2" xfId="3199"/>
    <cellStyle name="40% - Accent2 6 3" xfId="3200"/>
    <cellStyle name="40% - Accent2 6 4" xfId="3201"/>
    <cellStyle name="40% - Accent2 6 5" xfId="3202"/>
    <cellStyle name="40% - Accent2 6 6" xfId="3203"/>
    <cellStyle name="40% - Accent2 6 7" xfId="3204"/>
    <cellStyle name="40% - Accent2 6 8" xfId="3205"/>
    <cellStyle name="40% - Accent2 6 9" xfId="3206"/>
    <cellStyle name="40% - Accent2 7" xfId="3207"/>
    <cellStyle name="40% - Accent2 7 10" xfId="3208"/>
    <cellStyle name="40% - Accent2 7 11" xfId="3209"/>
    <cellStyle name="40% - Accent2 7 2" xfId="3210"/>
    <cellStyle name="40% - Accent2 7 3" xfId="3211"/>
    <cellStyle name="40% - Accent2 7 4" xfId="3212"/>
    <cellStyle name="40% - Accent2 7 5" xfId="3213"/>
    <cellStyle name="40% - Accent2 7 6" xfId="3214"/>
    <cellStyle name="40% - Accent2 7 7" xfId="3215"/>
    <cellStyle name="40% - Accent2 7 8" xfId="3216"/>
    <cellStyle name="40% - Accent2 7 9" xfId="3217"/>
    <cellStyle name="40% - Accent2 8" xfId="3218"/>
    <cellStyle name="40% - Accent2 8 10" xfId="3219"/>
    <cellStyle name="40% - Accent2 8 11" xfId="3220"/>
    <cellStyle name="40% - Accent2 8 2" xfId="3221"/>
    <cellStyle name="40% - Accent2 8 3" xfId="3222"/>
    <cellStyle name="40% - Accent2 8 4" xfId="3223"/>
    <cellStyle name="40% - Accent2 8 5" xfId="3224"/>
    <cellStyle name="40% - Accent2 8 6" xfId="3225"/>
    <cellStyle name="40% - Accent2 8 7" xfId="3226"/>
    <cellStyle name="40% - Accent2 8 8" xfId="3227"/>
    <cellStyle name="40% - Accent2 8 9" xfId="3228"/>
    <cellStyle name="40% - Accent2 9" xfId="3229"/>
    <cellStyle name="40% - Accent2 9 10" xfId="3230"/>
    <cellStyle name="40% - Accent2 9 11" xfId="3231"/>
    <cellStyle name="40% - Accent2 9 2" xfId="3232"/>
    <cellStyle name="40% - Accent2 9 3" xfId="3233"/>
    <cellStyle name="40% - Accent2 9 4" xfId="3234"/>
    <cellStyle name="40% - Accent2 9 5" xfId="3235"/>
    <cellStyle name="40% - Accent2 9 6" xfId="3236"/>
    <cellStyle name="40% - Accent2 9 7" xfId="3237"/>
    <cellStyle name="40% - Accent2 9 8" xfId="3238"/>
    <cellStyle name="40% - Accent2 9 9" xfId="3239"/>
    <cellStyle name="40% - Accent3" xfId="6594" builtinId="39" customBuiltin="1"/>
    <cellStyle name="40% - Accent3 10" xfId="3240"/>
    <cellStyle name="40% - Accent3 10 10" xfId="3241"/>
    <cellStyle name="40% - Accent3 10 11" xfId="3242"/>
    <cellStyle name="40% - Accent3 10 2" xfId="3243"/>
    <cellStyle name="40% - Accent3 10 3" xfId="3244"/>
    <cellStyle name="40% - Accent3 10 4" xfId="3245"/>
    <cellStyle name="40% - Accent3 10 5" xfId="3246"/>
    <cellStyle name="40% - Accent3 10 6" xfId="3247"/>
    <cellStyle name="40% - Accent3 10 7" xfId="3248"/>
    <cellStyle name="40% - Accent3 10 8" xfId="3249"/>
    <cellStyle name="40% - Accent3 10 9" xfId="3250"/>
    <cellStyle name="40% - Accent3 11" xfId="3251"/>
    <cellStyle name="40% - Accent3 11 10" xfId="3252"/>
    <cellStyle name="40% - Accent3 11 11" xfId="3253"/>
    <cellStyle name="40% - Accent3 11 2" xfId="3254"/>
    <cellStyle name="40% - Accent3 11 3" xfId="3255"/>
    <cellStyle name="40% - Accent3 11 4" xfId="3256"/>
    <cellStyle name="40% - Accent3 11 5" xfId="3257"/>
    <cellStyle name="40% - Accent3 11 6" xfId="3258"/>
    <cellStyle name="40% - Accent3 11 7" xfId="3259"/>
    <cellStyle name="40% - Accent3 11 8" xfId="3260"/>
    <cellStyle name="40% - Accent3 11 9" xfId="3261"/>
    <cellStyle name="40% - Accent3 12" xfId="3262"/>
    <cellStyle name="40% - Accent3 12 10" xfId="3263"/>
    <cellStyle name="40% - Accent3 12 11" xfId="3264"/>
    <cellStyle name="40% - Accent3 12 2" xfId="3265"/>
    <cellStyle name="40% - Accent3 12 3" xfId="3266"/>
    <cellStyle name="40% - Accent3 12 4" xfId="3267"/>
    <cellStyle name="40% - Accent3 12 5" xfId="3268"/>
    <cellStyle name="40% - Accent3 12 6" xfId="3269"/>
    <cellStyle name="40% - Accent3 12 7" xfId="3270"/>
    <cellStyle name="40% - Accent3 12 8" xfId="3271"/>
    <cellStyle name="40% - Accent3 12 9" xfId="3272"/>
    <cellStyle name="40% - Accent3 13" xfId="3273"/>
    <cellStyle name="40% - Accent3 13 10" xfId="3274"/>
    <cellStyle name="40% - Accent3 13 11" xfId="3275"/>
    <cellStyle name="40% - Accent3 13 2" xfId="3276"/>
    <cellStyle name="40% - Accent3 13 3" xfId="3277"/>
    <cellStyle name="40% - Accent3 13 4" xfId="3278"/>
    <cellStyle name="40% - Accent3 13 5" xfId="3279"/>
    <cellStyle name="40% - Accent3 13 6" xfId="3280"/>
    <cellStyle name="40% - Accent3 13 7" xfId="3281"/>
    <cellStyle name="40% - Accent3 13 8" xfId="3282"/>
    <cellStyle name="40% - Accent3 13 9" xfId="3283"/>
    <cellStyle name="40% - Accent3 14" xfId="3284"/>
    <cellStyle name="40% - Accent3 14 10" xfId="3285"/>
    <cellStyle name="40% - Accent3 14 11" xfId="3286"/>
    <cellStyle name="40% - Accent3 14 2" xfId="3287"/>
    <cellStyle name="40% - Accent3 14 3" xfId="3288"/>
    <cellStyle name="40% - Accent3 14 4" xfId="3289"/>
    <cellStyle name="40% - Accent3 14 5" xfId="3290"/>
    <cellStyle name="40% - Accent3 14 6" xfId="3291"/>
    <cellStyle name="40% - Accent3 14 7" xfId="3292"/>
    <cellStyle name="40% - Accent3 14 8" xfId="3293"/>
    <cellStyle name="40% - Accent3 14 9" xfId="3294"/>
    <cellStyle name="40% - Accent3 15" xfId="3295"/>
    <cellStyle name="40% - Accent3 15 10" xfId="3296"/>
    <cellStyle name="40% - Accent3 15 11" xfId="3297"/>
    <cellStyle name="40% - Accent3 15 2" xfId="3298"/>
    <cellStyle name="40% - Accent3 15 3" xfId="3299"/>
    <cellStyle name="40% - Accent3 15 4" xfId="3300"/>
    <cellStyle name="40% - Accent3 15 5" xfId="3301"/>
    <cellStyle name="40% - Accent3 15 6" xfId="3302"/>
    <cellStyle name="40% - Accent3 15 7" xfId="3303"/>
    <cellStyle name="40% - Accent3 15 8" xfId="3304"/>
    <cellStyle name="40% - Accent3 15 9" xfId="3305"/>
    <cellStyle name="40% - Accent3 16" xfId="3306"/>
    <cellStyle name="40% - Accent3 16 10" xfId="3307"/>
    <cellStyle name="40% - Accent3 16 11" xfId="3308"/>
    <cellStyle name="40% - Accent3 16 2" xfId="3309"/>
    <cellStyle name="40% - Accent3 16 3" xfId="3310"/>
    <cellStyle name="40% - Accent3 16 4" xfId="3311"/>
    <cellStyle name="40% - Accent3 16 5" xfId="3312"/>
    <cellStyle name="40% - Accent3 16 6" xfId="3313"/>
    <cellStyle name="40% - Accent3 16 7" xfId="3314"/>
    <cellStyle name="40% - Accent3 16 8" xfId="3315"/>
    <cellStyle name="40% - Accent3 16 9" xfId="3316"/>
    <cellStyle name="40% - Accent3 17" xfId="3317"/>
    <cellStyle name="40% - Accent3 17 10" xfId="3318"/>
    <cellStyle name="40% - Accent3 17 11" xfId="3319"/>
    <cellStyle name="40% - Accent3 17 2" xfId="3320"/>
    <cellStyle name="40% - Accent3 17 3" xfId="3321"/>
    <cellStyle name="40% - Accent3 17 4" xfId="3322"/>
    <cellStyle name="40% - Accent3 17 5" xfId="3323"/>
    <cellStyle name="40% - Accent3 17 6" xfId="3324"/>
    <cellStyle name="40% - Accent3 17 7" xfId="3325"/>
    <cellStyle name="40% - Accent3 17 8" xfId="3326"/>
    <cellStyle name="40% - Accent3 17 9" xfId="3327"/>
    <cellStyle name="40% - Accent3 18" xfId="3328"/>
    <cellStyle name="40% - Accent3 18 10" xfId="3329"/>
    <cellStyle name="40% - Accent3 18 11" xfId="3330"/>
    <cellStyle name="40% - Accent3 18 2" xfId="3331"/>
    <cellStyle name="40% - Accent3 18 3" xfId="3332"/>
    <cellStyle name="40% - Accent3 18 4" xfId="3333"/>
    <cellStyle name="40% - Accent3 18 5" xfId="3334"/>
    <cellStyle name="40% - Accent3 18 6" xfId="3335"/>
    <cellStyle name="40% - Accent3 18 7" xfId="3336"/>
    <cellStyle name="40% - Accent3 18 8" xfId="3337"/>
    <cellStyle name="40% - Accent3 18 9" xfId="3338"/>
    <cellStyle name="40% - Accent3 19" xfId="3339"/>
    <cellStyle name="40% - Accent3 19 10" xfId="3340"/>
    <cellStyle name="40% - Accent3 19 11" xfId="3341"/>
    <cellStyle name="40% - Accent3 19 2" xfId="3342"/>
    <cellStyle name="40% - Accent3 19 3" xfId="3343"/>
    <cellStyle name="40% - Accent3 19 4" xfId="3344"/>
    <cellStyle name="40% - Accent3 19 5" xfId="3345"/>
    <cellStyle name="40% - Accent3 19 6" xfId="3346"/>
    <cellStyle name="40% - Accent3 19 7" xfId="3347"/>
    <cellStyle name="40% - Accent3 19 8" xfId="3348"/>
    <cellStyle name="40% - Accent3 19 9" xfId="3349"/>
    <cellStyle name="40% - Accent3 2" xfId="3350"/>
    <cellStyle name="40% - Accent3 2 10" xfId="3351"/>
    <cellStyle name="40% - Accent3 2 11" xfId="3352"/>
    <cellStyle name="40% - Accent3 2 2" xfId="3353"/>
    <cellStyle name="40% - Accent3 2 3" xfId="3354"/>
    <cellStyle name="40% - Accent3 2 4" xfId="3355"/>
    <cellStyle name="40% - Accent3 2 5" xfId="3356"/>
    <cellStyle name="40% - Accent3 2 6" xfId="3357"/>
    <cellStyle name="40% - Accent3 2 7" xfId="3358"/>
    <cellStyle name="40% - Accent3 2 8" xfId="3359"/>
    <cellStyle name="40% - Accent3 2 9" xfId="3360"/>
    <cellStyle name="40% - Accent3 20" xfId="3361"/>
    <cellStyle name="40% - Accent3 20 10" xfId="3362"/>
    <cellStyle name="40% - Accent3 20 11" xfId="3363"/>
    <cellStyle name="40% - Accent3 20 2" xfId="3364"/>
    <cellStyle name="40% - Accent3 20 3" xfId="3365"/>
    <cellStyle name="40% - Accent3 20 4" xfId="3366"/>
    <cellStyle name="40% - Accent3 20 5" xfId="3367"/>
    <cellStyle name="40% - Accent3 20 6" xfId="3368"/>
    <cellStyle name="40% - Accent3 20 7" xfId="3369"/>
    <cellStyle name="40% - Accent3 20 8" xfId="3370"/>
    <cellStyle name="40% - Accent3 20 9" xfId="3371"/>
    <cellStyle name="40% - Accent3 21" xfId="3372"/>
    <cellStyle name="40% - Accent3 21 10" xfId="3373"/>
    <cellStyle name="40% - Accent3 21 11" xfId="3374"/>
    <cellStyle name="40% - Accent3 21 2" xfId="3375"/>
    <cellStyle name="40% - Accent3 21 3" xfId="3376"/>
    <cellStyle name="40% - Accent3 21 4" xfId="3377"/>
    <cellStyle name="40% - Accent3 21 5" xfId="3378"/>
    <cellStyle name="40% - Accent3 21 6" xfId="3379"/>
    <cellStyle name="40% - Accent3 21 7" xfId="3380"/>
    <cellStyle name="40% - Accent3 21 8" xfId="3381"/>
    <cellStyle name="40% - Accent3 21 9" xfId="3382"/>
    <cellStyle name="40% - Accent3 22" xfId="3383"/>
    <cellStyle name="40% - Accent3 22 10" xfId="3384"/>
    <cellStyle name="40% - Accent3 22 11" xfId="3385"/>
    <cellStyle name="40% - Accent3 22 2" xfId="3386"/>
    <cellStyle name="40% - Accent3 22 3" xfId="3387"/>
    <cellStyle name="40% - Accent3 22 4" xfId="3388"/>
    <cellStyle name="40% - Accent3 22 5" xfId="3389"/>
    <cellStyle name="40% - Accent3 22 6" xfId="3390"/>
    <cellStyle name="40% - Accent3 22 7" xfId="3391"/>
    <cellStyle name="40% - Accent3 22 8" xfId="3392"/>
    <cellStyle name="40% - Accent3 22 9" xfId="3393"/>
    <cellStyle name="40% - Accent3 23" xfId="3394"/>
    <cellStyle name="40% - Accent3 23 10" xfId="3395"/>
    <cellStyle name="40% - Accent3 23 11" xfId="3396"/>
    <cellStyle name="40% - Accent3 23 2" xfId="3397"/>
    <cellStyle name="40% - Accent3 23 3" xfId="3398"/>
    <cellStyle name="40% - Accent3 23 4" xfId="3399"/>
    <cellStyle name="40% - Accent3 23 5" xfId="3400"/>
    <cellStyle name="40% - Accent3 23 6" xfId="3401"/>
    <cellStyle name="40% - Accent3 23 7" xfId="3402"/>
    <cellStyle name="40% - Accent3 23 8" xfId="3403"/>
    <cellStyle name="40% - Accent3 23 9" xfId="3404"/>
    <cellStyle name="40% - Accent3 24" xfId="3405"/>
    <cellStyle name="40% - Accent3 24 10" xfId="3406"/>
    <cellStyle name="40% - Accent3 24 11" xfId="3407"/>
    <cellStyle name="40% - Accent3 24 2" xfId="3408"/>
    <cellStyle name="40% - Accent3 24 3" xfId="3409"/>
    <cellStyle name="40% - Accent3 24 4" xfId="3410"/>
    <cellStyle name="40% - Accent3 24 5" xfId="3411"/>
    <cellStyle name="40% - Accent3 24 6" xfId="3412"/>
    <cellStyle name="40% - Accent3 24 7" xfId="3413"/>
    <cellStyle name="40% - Accent3 24 8" xfId="3414"/>
    <cellStyle name="40% - Accent3 24 9" xfId="3415"/>
    <cellStyle name="40% - Accent3 25" xfId="3416"/>
    <cellStyle name="40% - Accent3 25 10" xfId="3417"/>
    <cellStyle name="40% - Accent3 25 11" xfId="3418"/>
    <cellStyle name="40% - Accent3 25 2" xfId="3419"/>
    <cellStyle name="40% - Accent3 25 3" xfId="3420"/>
    <cellStyle name="40% - Accent3 25 4" xfId="3421"/>
    <cellStyle name="40% - Accent3 25 5" xfId="3422"/>
    <cellStyle name="40% - Accent3 25 6" xfId="3423"/>
    <cellStyle name="40% - Accent3 25 7" xfId="3424"/>
    <cellStyle name="40% - Accent3 25 8" xfId="3425"/>
    <cellStyle name="40% - Accent3 25 9" xfId="3426"/>
    <cellStyle name="40% - Accent3 26" xfId="3427"/>
    <cellStyle name="40% - Accent3 26 10" xfId="3428"/>
    <cellStyle name="40% - Accent3 26 11" xfId="3429"/>
    <cellStyle name="40% - Accent3 26 2" xfId="3430"/>
    <cellStyle name="40% - Accent3 26 3" xfId="3431"/>
    <cellStyle name="40% - Accent3 26 4" xfId="3432"/>
    <cellStyle name="40% - Accent3 26 5" xfId="3433"/>
    <cellStyle name="40% - Accent3 26 6" xfId="3434"/>
    <cellStyle name="40% - Accent3 26 7" xfId="3435"/>
    <cellStyle name="40% - Accent3 26 8" xfId="3436"/>
    <cellStyle name="40% - Accent3 26 9" xfId="3437"/>
    <cellStyle name="40% - Accent3 27" xfId="3438"/>
    <cellStyle name="40% - Accent3 27 10" xfId="3439"/>
    <cellStyle name="40% - Accent3 27 11" xfId="3440"/>
    <cellStyle name="40% - Accent3 27 2" xfId="3441"/>
    <cellStyle name="40% - Accent3 27 3" xfId="3442"/>
    <cellStyle name="40% - Accent3 27 4" xfId="3443"/>
    <cellStyle name="40% - Accent3 27 5" xfId="3444"/>
    <cellStyle name="40% - Accent3 27 6" xfId="3445"/>
    <cellStyle name="40% - Accent3 27 7" xfId="3446"/>
    <cellStyle name="40% - Accent3 27 8" xfId="3447"/>
    <cellStyle name="40% - Accent3 27 9" xfId="3448"/>
    <cellStyle name="40% - Accent3 28" xfId="3449"/>
    <cellStyle name="40% - Accent3 28 10" xfId="3450"/>
    <cellStyle name="40% - Accent3 28 11" xfId="3451"/>
    <cellStyle name="40% - Accent3 28 2" xfId="3452"/>
    <cellStyle name="40% - Accent3 28 3" xfId="3453"/>
    <cellStyle name="40% - Accent3 28 4" xfId="3454"/>
    <cellStyle name="40% - Accent3 28 5" xfId="3455"/>
    <cellStyle name="40% - Accent3 28 6" xfId="3456"/>
    <cellStyle name="40% - Accent3 28 7" xfId="3457"/>
    <cellStyle name="40% - Accent3 28 8" xfId="3458"/>
    <cellStyle name="40% - Accent3 28 9" xfId="3459"/>
    <cellStyle name="40% - Accent3 29" xfId="3460"/>
    <cellStyle name="40% - Accent3 29 10" xfId="3461"/>
    <cellStyle name="40% - Accent3 29 11" xfId="3462"/>
    <cellStyle name="40% - Accent3 29 2" xfId="3463"/>
    <cellStyle name="40% - Accent3 29 3" xfId="3464"/>
    <cellStyle name="40% - Accent3 29 4" xfId="3465"/>
    <cellStyle name="40% - Accent3 29 5" xfId="3466"/>
    <cellStyle name="40% - Accent3 29 6" xfId="3467"/>
    <cellStyle name="40% - Accent3 29 7" xfId="3468"/>
    <cellStyle name="40% - Accent3 29 8" xfId="3469"/>
    <cellStyle name="40% - Accent3 29 9" xfId="3470"/>
    <cellStyle name="40% - Accent3 3" xfId="3471"/>
    <cellStyle name="40% - Accent3 3 10" xfId="3472"/>
    <cellStyle name="40% - Accent3 3 11" xfId="3473"/>
    <cellStyle name="40% - Accent3 3 2" xfId="3474"/>
    <cellStyle name="40% - Accent3 3 3" xfId="3475"/>
    <cellStyle name="40% - Accent3 3 4" xfId="3476"/>
    <cellStyle name="40% - Accent3 3 5" xfId="3477"/>
    <cellStyle name="40% - Accent3 3 6" xfId="3478"/>
    <cellStyle name="40% - Accent3 3 7" xfId="3479"/>
    <cellStyle name="40% - Accent3 3 8" xfId="3480"/>
    <cellStyle name="40% - Accent3 3 9" xfId="3481"/>
    <cellStyle name="40% - Accent3 30" xfId="3482"/>
    <cellStyle name="40% - Accent3 30 10" xfId="3483"/>
    <cellStyle name="40% - Accent3 30 11" xfId="3484"/>
    <cellStyle name="40% - Accent3 30 2" xfId="3485"/>
    <cellStyle name="40% - Accent3 30 3" xfId="3486"/>
    <cellStyle name="40% - Accent3 30 4" xfId="3487"/>
    <cellStyle name="40% - Accent3 30 5" xfId="3488"/>
    <cellStyle name="40% - Accent3 30 6" xfId="3489"/>
    <cellStyle name="40% - Accent3 30 7" xfId="3490"/>
    <cellStyle name="40% - Accent3 30 8" xfId="3491"/>
    <cellStyle name="40% - Accent3 30 9" xfId="3492"/>
    <cellStyle name="40% - Accent3 31" xfId="3493"/>
    <cellStyle name="40% - Accent3 31 10" xfId="3494"/>
    <cellStyle name="40% - Accent3 31 11" xfId="3495"/>
    <cellStyle name="40% - Accent3 31 2" xfId="3496"/>
    <cellStyle name="40% - Accent3 31 3" xfId="3497"/>
    <cellStyle name="40% - Accent3 31 4" xfId="3498"/>
    <cellStyle name="40% - Accent3 31 5" xfId="3499"/>
    <cellStyle name="40% - Accent3 31 6" xfId="3500"/>
    <cellStyle name="40% - Accent3 31 7" xfId="3501"/>
    <cellStyle name="40% - Accent3 31 8" xfId="3502"/>
    <cellStyle name="40% - Accent3 31 9" xfId="3503"/>
    <cellStyle name="40% - Accent3 32" xfId="3504"/>
    <cellStyle name="40% - Accent3 32 10" xfId="3505"/>
    <cellStyle name="40% - Accent3 32 11" xfId="3506"/>
    <cellStyle name="40% - Accent3 32 2" xfId="3507"/>
    <cellStyle name="40% - Accent3 32 3" xfId="3508"/>
    <cellStyle name="40% - Accent3 32 4" xfId="3509"/>
    <cellStyle name="40% - Accent3 32 5" xfId="3510"/>
    <cellStyle name="40% - Accent3 32 6" xfId="3511"/>
    <cellStyle name="40% - Accent3 32 7" xfId="3512"/>
    <cellStyle name="40% - Accent3 32 8" xfId="3513"/>
    <cellStyle name="40% - Accent3 32 9" xfId="3514"/>
    <cellStyle name="40% - Accent3 33" xfId="3515"/>
    <cellStyle name="40% - Accent3 33 10" xfId="3516"/>
    <cellStyle name="40% - Accent3 33 11" xfId="3517"/>
    <cellStyle name="40% - Accent3 33 2" xfId="3518"/>
    <cellStyle name="40% - Accent3 33 3" xfId="3519"/>
    <cellStyle name="40% - Accent3 33 4" xfId="3520"/>
    <cellStyle name="40% - Accent3 33 5" xfId="3521"/>
    <cellStyle name="40% - Accent3 33 6" xfId="3522"/>
    <cellStyle name="40% - Accent3 33 7" xfId="3523"/>
    <cellStyle name="40% - Accent3 33 8" xfId="3524"/>
    <cellStyle name="40% - Accent3 33 9" xfId="3525"/>
    <cellStyle name="40% - Accent3 34" xfId="3526"/>
    <cellStyle name="40% - Accent3 34 10" xfId="3527"/>
    <cellStyle name="40% - Accent3 34 11" xfId="3528"/>
    <cellStyle name="40% - Accent3 34 2" xfId="3529"/>
    <cellStyle name="40% - Accent3 34 3" xfId="3530"/>
    <cellStyle name="40% - Accent3 34 4" xfId="3531"/>
    <cellStyle name="40% - Accent3 34 5" xfId="3532"/>
    <cellStyle name="40% - Accent3 34 6" xfId="3533"/>
    <cellStyle name="40% - Accent3 34 7" xfId="3534"/>
    <cellStyle name="40% - Accent3 34 8" xfId="3535"/>
    <cellStyle name="40% - Accent3 34 9" xfId="3536"/>
    <cellStyle name="40% - Accent3 35" xfId="3537"/>
    <cellStyle name="40% - Accent3 35 10" xfId="3538"/>
    <cellStyle name="40% - Accent3 35 11" xfId="3539"/>
    <cellStyle name="40% - Accent3 35 2" xfId="3540"/>
    <cellStyle name="40% - Accent3 35 3" xfId="3541"/>
    <cellStyle name="40% - Accent3 35 4" xfId="3542"/>
    <cellStyle name="40% - Accent3 35 5" xfId="3543"/>
    <cellStyle name="40% - Accent3 35 6" xfId="3544"/>
    <cellStyle name="40% - Accent3 35 7" xfId="3545"/>
    <cellStyle name="40% - Accent3 35 8" xfId="3546"/>
    <cellStyle name="40% - Accent3 35 9" xfId="3547"/>
    <cellStyle name="40% - Accent3 36" xfId="3548"/>
    <cellStyle name="40% - Accent3 36 10" xfId="3549"/>
    <cellStyle name="40% - Accent3 36 11" xfId="3550"/>
    <cellStyle name="40% - Accent3 36 2" xfId="3551"/>
    <cellStyle name="40% - Accent3 36 3" xfId="3552"/>
    <cellStyle name="40% - Accent3 36 4" xfId="3553"/>
    <cellStyle name="40% - Accent3 36 5" xfId="3554"/>
    <cellStyle name="40% - Accent3 36 6" xfId="3555"/>
    <cellStyle name="40% - Accent3 36 7" xfId="3556"/>
    <cellStyle name="40% - Accent3 36 8" xfId="3557"/>
    <cellStyle name="40% - Accent3 36 9" xfId="3558"/>
    <cellStyle name="40% - Accent3 37" xfId="3559"/>
    <cellStyle name="40% - Accent3 37 10" xfId="3560"/>
    <cellStyle name="40% - Accent3 37 11" xfId="3561"/>
    <cellStyle name="40% - Accent3 37 2" xfId="3562"/>
    <cellStyle name="40% - Accent3 37 3" xfId="3563"/>
    <cellStyle name="40% - Accent3 37 4" xfId="3564"/>
    <cellStyle name="40% - Accent3 37 5" xfId="3565"/>
    <cellStyle name="40% - Accent3 37 6" xfId="3566"/>
    <cellStyle name="40% - Accent3 37 7" xfId="3567"/>
    <cellStyle name="40% - Accent3 37 8" xfId="3568"/>
    <cellStyle name="40% - Accent3 37 9" xfId="3569"/>
    <cellStyle name="40% - Accent3 38" xfId="3570"/>
    <cellStyle name="40% - Accent3 39" xfId="3571"/>
    <cellStyle name="40% - Accent3 4" xfId="3572"/>
    <cellStyle name="40% - Accent3 4 10" xfId="3573"/>
    <cellStyle name="40% - Accent3 4 11" xfId="3574"/>
    <cellStyle name="40% - Accent3 4 2" xfId="3575"/>
    <cellStyle name="40% - Accent3 4 3" xfId="3576"/>
    <cellStyle name="40% - Accent3 4 4" xfId="3577"/>
    <cellStyle name="40% - Accent3 4 5" xfId="3578"/>
    <cellStyle name="40% - Accent3 4 6" xfId="3579"/>
    <cellStyle name="40% - Accent3 4 7" xfId="3580"/>
    <cellStyle name="40% - Accent3 4 8" xfId="3581"/>
    <cellStyle name="40% - Accent3 4 9" xfId="3582"/>
    <cellStyle name="40% - Accent3 40" xfId="3583"/>
    <cellStyle name="40% - Accent3 41" xfId="3584"/>
    <cellStyle name="40% - Accent3 42" xfId="3585"/>
    <cellStyle name="40% - Accent3 43" xfId="3586"/>
    <cellStyle name="40% - Accent3 44" xfId="3587"/>
    <cellStyle name="40% - Accent3 5" xfId="3588"/>
    <cellStyle name="40% - Accent3 5 10" xfId="3589"/>
    <cellStyle name="40% - Accent3 5 11" xfId="3590"/>
    <cellStyle name="40% - Accent3 5 2" xfId="3591"/>
    <cellStyle name="40% - Accent3 5 3" xfId="3592"/>
    <cellStyle name="40% - Accent3 5 4" xfId="3593"/>
    <cellStyle name="40% - Accent3 5 5" xfId="3594"/>
    <cellStyle name="40% - Accent3 5 6" xfId="3595"/>
    <cellStyle name="40% - Accent3 5 7" xfId="3596"/>
    <cellStyle name="40% - Accent3 5 8" xfId="3597"/>
    <cellStyle name="40% - Accent3 5 9" xfId="3598"/>
    <cellStyle name="40% - Accent3 6" xfId="3599"/>
    <cellStyle name="40% - Accent3 6 10" xfId="3600"/>
    <cellStyle name="40% - Accent3 6 11" xfId="3601"/>
    <cellStyle name="40% - Accent3 6 2" xfId="3602"/>
    <cellStyle name="40% - Accent3 6 3" xfId="3603"/>
    <cellStyle name="40% - Accent3 6 4" xfId="3604"/>
    <cellStyle name="40% - Accent3 6 5" xfId="3605"/>
    <cellStyle name="40% - Accent3 6 6" xfId="3606"/>
    <cellStyle name="40% - Accent3 6 7" xfId="3607"/>
    <cellStyle name="40% - Accent3 6 8" xfId="3608"/>
    <cellStyle name="40% - Accent3 6 9" xfId="3609"/>
    <cellStyle name="40% - Accent3 7" xfId="3610"/>
    <cellStyle name="40% - Accent3 7 10" xfId="3611"/>
    <cellStyle name="40% - Accent3 7 11" xfId="3612"/>
    <cellStyle name="40% - Accent3 7 2" xfId="3613"/>
    <cellStyle name="40% - Accent3 7 3" xfId="3614"/>
    <cellStyle name="40% - Accent3 7 4" xfId="3615"/>
    <cellStyle name="40% - Accent3 7 5" xfId="3616"/>
    <cellStyle name="40% - Accent3 7 6" xfId="3617"/>
    <cellStyle name="40% - Accent3 7 7" xfId="3618"/>
    <cellStyle name="40% - Accent3 7 8" xfId="3619"/>
    <cellStyle name="40% - Accent3 7 9" xfId="3620"/>
    <cellStyle name="40% - Accent3 8" xfId="3621"/>
    <cellStyle name="40% - Accent3 8 10" xfId="3622"/>
    <cellStyle name="40% - Accent3 8 11" xfId="3623"/>
    <cellStyle name="40% - Accent3 8 2" xfId="3624"/>
    <cellStyle name="40% - Accent3 8 3" xfId="3625"/>
    <cellStyle name="40% - Accent3 8 4" xfId="3626"/>
    <cellStyle name="40% - Accent3 8 5" xfId="3627"/>
    <cellStyle name="40% - Accent3 8 6" xfId="3628"/>
    <cellStyle name="40% - Accent3 8 7" xfId="3629"/>
    <cellStyle name="40% - Accent3 8 8" xfId="3630"/>
    <cellStyle name="40% - Accent3 8 9" xfId="3631"/>
    <cellStyle name="40% - Accent3 9" xfId="3632"/>
    <cellStyle name="40% - Accent3 9 10" xfId="3633"/>
    <cellStyle name="40% - Accent3 9 11" xfId="3634"/>
    <cellStyle name="40% - Accent3 9 2" xfId="3635"/>
    <cellStyle name="40% - Accent3 9 3" xfId="3636"/>
    <cellStyle name="40% - Accent3 9 4" xfId="3637"/>
    <cellStyle name="40% - Accent3 9 5" xfId="3638"/>
    <cellStyle name="40% - Accent3 9 6" xfId="3639"/>
    <cellStyle name="40% - Accent3 9 7" xfId="3640"/>
    <cellStyle name="40% - Accent3 9 8" xfId="3641"/>
    <cellStyle name="40% - Accent3 9 9" xfId="3642"/>
    <cellStyle name="40% - Accent4" xfId="6598" builtinId="43" customBuiltin="1"/>
    <cellStyle name="40% - Accent4 10" xfId="3643"/>
    <cellStyle name="40% - Accent4 10 10" xfId="3644"/>
    <cellStyle name="40% - Accent4 10 11" xfId="3645"/>
    <cellStyle name="40% - Accent4 10 2" xfId="3646"/>
    <cellStyle name="40% - Accent4 10 3" xfId="3647"/>
    <cellStyle name="40% - Accent4 10 4" xfId="3648"/>
    <cellStyle name="40% - Accent4 10 5" xfId="3649"/>
    <cellStyle name="40% - Accent4 10 6" xfId="3650"/>
    <cellStyle name="40% - Accent4 10 7" xfId="3651"/>
    <cellStyle name="40% - Accent4 10 8" xfId="3652"/>
    <cellStyle name="40% - Accent4 10 9" xfId="3653"/>
    <cellStyle name="40% - Accent4 11" xfId="3654"/>
    <cellStyle name="40% - Accent4 11 10" xfId="3655"/>
    <cellStyle name="40% - Accent4 11 11" xfId="3656"/>
    <cellStyle name="40% - Accent4 11 2" xfId="3657"/>
    <cellStyle name="40% - Accent4 11 3" xfId="3658"/>
    <cellStyle name="40% - Accent4 11 4" xfId="3659"/>
    <cellStyle name="40% - Accent4 11 5" xfId="3660"/>
    <cellStyle name="40% - Accent4 11 6" xfId="3661"/>
    <cellStyle name="40% - Accent4 11 7" xfId="3662"/>
    <cellStyle name="40% - Accent4 11 8" xfId="3663"/>
    <cellStyle name="40% - Accent4 11 9" xfId="3664"/>
    <cellStyle name="40% - Accent4 12" xfId="3665"/>
    <cellStyle name="40% - Accent4 12 10" xfId="3666"/>
    <cellStyle name="40% - Accent4 12 11" xfId="3667"/>
    <cellStyle name="40% - Accent4 12 2" xfId="3668"/>
    <cellStyle name="40% - Accent4 12 3" xfId="3669"/>
    <cellStyle name="40% - Accent4 12 4" xfId="3670"/>
    <cellStyle name="40% - Accent4 12 5" xfId="3671"/>
    <cellStyle name="40% - Accent4 12 6" xfId="3672"/>
    <cellStyle name="40% - Accent4 12 7" xfId="3673"/>
    <cellStyle name="40% - Accent4 12 8" xfId="3674"/>
    <cellStyle name="40% - Accent4 12 9" xfId="3675"/>
    <cellStyle name="40% - Accent4 13" xfId="3676"/>
    <cellStyle name="40% - Accent4 13 10" xfId="3677"/>
    <cellStyle name="40% - Accent4 13 11" xfId="3678"/>
    <cellStyle name="40% - Accent4 13 2" xfId="3679"/>
    <cellStyle name="40% - Accent4 13 3" xfId="3680"/>
    <cellStyle name="40% - Accent4 13 4" xfId="3681"/>
    <cellStyle name="40% - Accent4 13 5" xfId="3682"/>
    <cellStyle name="40% - Accent4 13 6" xfId="3683"/>
    <cellStyle name="40% - Accent4 13 7" xfId="3684"/>
    <cellStyle name="40% - Accent4 13 8" xfId="3685"/>
    <cellStyle name="40% - Accent4 13 9" xfId="3686"/>
    <cellStyle name="40% - Accent4 14" xfId="3687"/>
    <cellStyle name="40% - Accent4 14 10" xfId="3688"/>
    <cellStyle name="40% - Accent4 14 11" xfId="3689"/>
    <cellStyle name="40% - Accent4 14 2" xfId="3690"/>
    <cellStyle name="40% - Accent4 14 3" xfId="3691"/>
    <cellStyle name="40% - Accent4 14 4" xfId="3692"/>
    <cellStyle name="40% - Accent4 14 5" xfId="3693"/>
    <cellStyle name="40% - Accent4 14 6" xfId="3694"/>
    <cellStyle name="40% - Accent4 14 7" xfId="3695"/>
    <cellStyle name="40% - Accent4 14 8" xfId="3696"/>
    <cellStyle name="40% - Accent4 14 9" xfId="3697"/>
    <cellStyle name="40% - Accent4 15" xfId="3698"/>
    <cellStyle name="40% - Accent4 15 10" xfId="3699"/>
    <cellStyle name="40% - Accent4 15 11" xfId="3700"/>
    <cellStyle name="40% - Accent4 15 2" xfId="3701"/>
    <cellStyle name="40% - Accent4 15 3" xfId="3702"/>
    <cellStyle name="40% - Accent4 15 4" xfId="3703"/>
    <cellStyle name="40% - Accent4 15 5" xfId="3704"/>
    <cellStyle name="40% - Accent4 15 6" xfId="3705"/>
    <cellStyle name="40% - Accent4 15 7" xfId="3706"/>
    <cellStyle name="40% - Accent4 15 8" xfId="3707"/>
    <cellStyle name="40% - Accent4 15 9" xfId="3708"/>
    <cellStyle name="40% - Accent4 16" xfId="3709"/>
    <cellStyle name="40% - Accent4 16 10" xfId="3710"/>
    <cellStyle name="40% - Accent4 16 11" xfId="3711"/>
    <cellStyle name="40% - Accent4 16 2" xfId="3712"/>
    <cellStyle name="40% - Accent4 16 3" xfId="3713"/>
    <cellStyle name="40% - Accent4 16 4" xfId="3714"/>
    <cellStyle name="40% - Accent4 16 5" xfId="3715"/>
    <cellStyle name="40% - Accent4 16 6" xfId="3716"/>
    <cellStyle name="40% - Accent4 16 7" xfId="3717"/>
    <cellStyle name="40% - Accent4 16 8" xfId="3718"/>
    <cellStyle name="40% - Accent4 16 9" xfId="3719"/>
    <cellStyle name="40% - Accent4 17" xfId="3720"/>
    <cellStyle name="40% - Accent4 17 10" xfId="3721"/>
    <cellStyle name="40% - Accent4 17 11" xfId="3722"/>
    <cellStyle name="40% - Accent4 17 2" xfId="3723"/>
    <cellStyle name="40% - Accent4 17 3" xfId="3724"/>
    <cellStyle name="40% - Accent4 17 4" xfId="3725"/>
    <cellStyle name="40% - Accent4 17 5" xfId="3726"/>
    <cellStyle name="40% - Accent4 17 6" xfId="3727"/>
    <cellStyle name="40% - Accent4 17 7" xfId="3728"/>
    <cellStyle name="40% - Accent4 17 8" xfId="3729"/>
    <cellStyle name="40% - Accent4 17 9" xfId="3730"/>
    <cellStyle name="40% - Accent4 18" xfId="3731"/>
    <cellStyle name="40% - Accent4 18 10" xfId="3732"/>
    <cellStyle name="40% - Accent4 18 11" xfId="3733"/>
    <cellStyle name="40% - Accent4 18 2" xfId="3734"/>
    <cellStyle name="40% - Accent4 18 3" xfId="3735"/>
    <cellStyle name="40% - Accent4 18 4" xfId="3736"/>
    <cellStyle name="40% - Accent4 18 5" xfId="3737"/>
    <cellStyle name="40% - Accent4 18 6" xfId="3738"/>
    <cellStyle name="40% - Accent4 18 7" xfId="3739"/>
    <cellStyle name="40% - Accent4 18 8" xfId="3740"/>
    <cellStyle name="40% - Accent4 18 9" xfId="3741"/>
    <cellStyle name="40% - Accent4 19" xfId="3742"/>
    <cellStyle name="40% - Accent4 19 10" xfId="3743"/>
    <cellStyle name="40% - Accent4 19 11" xfId="3744"/>
    <cellStyle name="40% - Accent4 19 2" xfId="3745"/>
    <cellStyle name="40% - Accent4 19 3" xfId="3746"/>
    <cellStyle name="40% - Accent4 19 4" xfId="3747"/>
    <cellStyle name="40% - Accent4 19 5" xfId="3748"/>
    <cellStyle name="40% - Accent4 19 6" xfId="3749"/>
    <cellStyle name="40% - Accent4 19 7" xfId="3750"/>
    <cellStyle name="40% - Accent4 19 8" xfId="3751"/>
    <cellStyle name="40% - Accent4 19 9" xfId="3752"/>
    <cellStyle name="40% - Accent4 2" xfId="3753"/>
    <cellStyle name="40% - Accent4 2 10" xfId="3754"/>
    <cellStyle name="40% - Accent4 2 11" xfId="3755"/>
    <cellStyle name="40% - Accent4 2 2" xfId="3756"/>
    <cellStyle name="40% - Accent4 2 3" xfId="3757"/>
    <cellStyle name="40% - Accent4 2 4" xfId="3758"/>
    <cellStyle name="40% - Accent4 2 5" xfId="3759"/>
    <cellStyle name="40% - Accent4 2 6" xfId="3760"/>
    <cellStyle name="40% - Accent4 2 7" xfId="3761"/>
    <cellStyle name="40% - Accent4 2 8" xfId="3762"/>
    <cellStyle name="40% - Accent4 2 9" xfId="3763"/>
    <cellStyle name="40% - Accent4 20" xfId="3764"/>
    <cellStyle name="40% - Accent4 20 10" xfId="3765"/>
    <cellStyle name="40% - Accent4 20 11" xfId="3766"/>
    <cellStyle name="40% - Accent4 20 2" xfId="3767"/>
    <cellStyle name="40% - Accent4 20 3" xfId="3768"/>
    <cellStyle name="40% - Accent4 20 4" xfId="3769"/>
    <cellStyle name="40% - Accent4 20 5" xfId="3770"/>
    <cellStyle name="40% - Accent4 20 6" xfId="3771"/>
    <cellStyle name="40% - Accent4 20 7" xfId="3772"/>
    <cellStyle name="40% - Accent4 20 8" xfId="3773"/>
    <cellStyle name="40% - Accent4 20 9" xfId="3774"/>
    <cellStyle name="40% - Accent4 21" xfId="3775"/>
    <cellStyle name="40% - Accent4 21 10" xfId="3776"/>
    <cellStyle name="40% - Accent4 21 11" xfId="3777"/>
    <cellStyle name="40% - Accent4 21 2" xfId="3778"/>
    <cellStyle name="40% - Accent4 21 3" xfId="3779"/>
    <cellStyle name="40% - Accent4 21 4" xfId="3780"/>
    <cellStyle name="40% - Accent4 21 5" xfId="3781"/>
    <cellStyle name="40% - Accent4 21 6" xfId="3782"/>
    <cellStyle name="40% - Accent4 21 7" xfId="3783"/>
    <cellStyle name="40% - Accent4 21 8" xfId="3784"/>
    <cellStyle name="40% - Accent4 21 9" xfId="3785"/>
    <cellStyle name="40% - Accent4 22" xfId="3786"/>
    <cellStyle name="40% - Accent4 22 10" xfId="3787"/>
    <cellStyle name="40% - Accent4 22 11" xfId="3788"/>
    <cellStyle name="40% - Accent4 22 2" xfId="3789"/>
    <cellStyle name="40% - Accent4 22 3" xfId="3790"/>
    <cellStyle name="40% - Accent4 22 4" xfId="3791"/>
    <cellStyle name="40% - Accent4 22 5" xfId="3792"/>
    <cellStyle name="40% - Accent4 22 6" xfId="3793"/>
    <cellStyle name="40% - Accent4 22 7" xfId="3794"/>
    <cellStyle name="40% - Accent4 22 8" xfId="3795"/>
    <cellStyle name="40% - Accent4 22 9" xfId="3796"/>
    <cellStyle name="40% - Accent4 23" xfId="3797"/>
    <cellStyle name="40% - Accent4 23 10" xfId="3798"/>
    <cellStyle name="40% - Accent4 23 11" xfId="3799"/>
    <cellStyle name="40% - Accent4 23 2" xfId="3800"/>
    <cellStyle name="40% - Accent4 23 3" xfId="3801"/>
    <cellStyle name="40% - Accent4 23 4" xfId="3802"/>
    <cellStyle name="40% - Accent4 23 5" xfId="3803"/>
    <cellStyle name="40% - Accent4 23 6" xfId="3804"/>
    <cellStyle name="40% - Accent4 23 7" xfId="3805"/>
    <cellStyle name="40% - Accent4 23 8" xfId="3806"/>
    <cellStyle name="40% - Accent4 23 9" xfId="3807"/>
    <cellStyle name="40% - Accent4 24" xfId="3808"/>
    <cellStyle name="40% - Accent4 24 10" xfId="3809"/>
    <cellStyle name="40% - Accent4 24 11" xfId="3810"/>
    <cellStyle name="40% - Accent4 24 2" xfId="3811"/>
    <cellStyle name="40% - Accent4 24 3" xfId="3812"/>
    <cellStyle name="40% - Accent4 24 4" xfId="3813"/>
    <cellStyle name="40% - Accent4 24 5" xfId="3814"/>
    <cellStyle name="40% - Accent4 24 6" xfId="3815"/>
    <cellStyle name="40% - Accent4 24 7" xfId="3816"/>
    <cellStyle name="40% - Accent4 24 8" xfId="3817"/>
    <cellStyle name="40% - Accent4 24 9" xfId="3818"/>
    <cellStyle name="40% - Accent4 25" xfId="3819"/>
    <cellStyle name="40% - Accent4 25 10" xfId="3820"/>
    <cellStyle name="40% - Accent4 25 11" xfId="3821"/>
    <cellStyle name="40% - Accent4 25 2" xfId="3822"/>
    <cellStyle name="40% - Accent4 25 3" xfId="3823"/>
    <cellStyle name="40% - Accent4 25 4" xfId="3824"/>
    <cellStyle name="40% - Accent4 25 5" xfId="3825"/>
    <cellStyle name="40% - Accent4 25 6" xfId="3826"/>
    <cellStyle name="40% - Accent4 25 7" xfId="3827"/>
    <cellStyle name="40% - Accent4 25 8" xfId="3828"/>
    <cellStyle name="40% - Accent4 25 9" xfId="3829"/>
    <cellStyle name="40% - Accent4 26" xfId="3830"/>
    <cellStyle name="40% - Accent4 26 10" xfId="3831"/>
    <cellStyle name="40% - Accent4 26 11" xfId="3832"/>
    <cellStyle name="40% - Accent4 26 2" xfId="3833"/>
    <cellStyle name="40% - Accent4 26 3" xfId="3834"/>
    <cellStyle name="40% - Accent4 26 4" xfId="3835"/>
    <cellStyle name="40% - Accent4 26 5" xfId="3836"/>
    <cellStyle name="40% - Accent4 26 6" xfId="3837"/>
    <cellStyle name="40% - Accent4 26 7" xfId="3838"/>
    <cellStyle name="40% - Accent4 26 8" xfId="3839"/>
    <cellStyle name="40% - Accent4 26 9" xfId="3840"/>
    <cellStyle name="40% - Accent4 27" xfId="3841"/>
    <cellStyle name="40% - Accent4 27 10" xfId="3842"/>
    <cellStyle name="40% - Accent4 27 11" xfId="3843"/>
    <cellStyle name="40% - Accent4 27 2" xfId="3844"/>
    <cellStyle name="40% - Accent4 27 3" xfId="3845"/>
    <cellStyle name="40% - Accent4 27 4" xfId="3846"/>
    <cellStyle name="40% - Accent4 27 5" xfId="3847"/>
    <cellStyle name="40% - Accent4 27 6" xfId="3848"/>
    <cellStyle name="40% - Accent4 27 7" xfId="3849"/>
    <cellStyle name="40% - Accent4 27 8" xfId="3850"/>
    <cellStyle name="40% - Accent4 27 9" xfId="3851"/>
    <cellStyle name="40% - Accent4 28" xfId="3852"/>
    <cellStyle name="40% - Accent4 28 10" xfId="3853"/>
    <cellStyle name="40% - Accent4 28 11" xfId="3854"/>
    <cellStyle name="40% - Accent4 28 2" xfId="3855"/>
    <cellStyle name="40% - Accent4 28 3" xfId="3856"/>
    <cellStyle name="40% - Accent4 28 4" xfId="3857"/>
    <cellStyle name="40% - Accent4 28 5" xfId="3858"/>
    <cellStyle name="40% - Accent4 28 6" xfId="3859"/>
    <cellStyle name="40% - Accent4 28 7" xfId="3860"/>
    <cellStyle name="40% - Accent4 28 8" xfId="3861"/>
    <cellStyle name="40% - Accent4 28 9" xfId="3862"/>
    <cellStyle name="40% - Accent4 29" xfId="3863"/>
    <cellStyle name="40% - Accent4 29 10" xfId="3864"/>
    <cellStyle name="40% - Accent4 29 11" xfId="3865"/>
    <cellStyle name="40% - Accent4 29 2" xfId="3866"/>
    <cellStyle name="40% - Accent4 29 3" xfId="3867"/>
    <cellStyle name="40% - Accent4 29 4" xfId="3868"/>
    <cellStyle name="40% - Accent4 29 5" xfId="3869"/>
    <cellStyle name="40% - Accent4 29 6" xfId="3870"/>
    <cellStyle name="40% - Accent4 29 7" xfId="3871"/>
    <cellStyle name="40% - Accent4 29 8" xfId="3872"/>
    <cellStyle name="40% - Accent4 29 9" xfId="3873"/>
    <cellStyle name="40% - Accent4 3" xfId="3874"/>
    <cellStyle name="40% - Accent4 3 10" xfId="3875"/>
    <cellStyle name="40% - Accent4 3 11" xfId="3876"/>
    <cellStyle name="40% - Accent4 3 2" xfId="3877"/>
    <cellStyle name="40% - Accent4 3 3" xfId="3878"/>
    <cellStyle name="40% - Accent4 3 4" xfId="3879"/>
    <cellStyle name="40% - Accent4 3 5" xfId="3880"/>
    <cellStyle name="40% - Accent4 3 6" xfId="3881"/>
    <cellStyle name="40% - Accent4 3 7" xfId="3882"/>
    <cellStyle name="40% - Accent4 3 8" xfId="3883"/>
    <cellStyle name="40% - Accent4 3 9" xfId="3884"/>
    <cellStyle name="40% - Accent4 30" xfId="3885"/>
    <cellStyle name="40% - Accent4 30 10" xfId="3886"/>
    <cellStyle name="40% - Accent4 30 11" xfId="3887"/>
    <cellStyle name="40% - Accent4 30 2" xfId="3888"/>
    <cellStyle name="40% - Accent4 30 3" xfId="3889"/>
    <cellStyle name="40% - Accent4 30 4" xfId="3890"/>
    <cellStyle name="40% - Accent4 30 5" xfId="3891"/>
    <cellStyle name="40% - Accent4 30 6" xfId="3892"/>
    <cellStyle name="40% - Accent4 30 7" xfId="3893"/>
    <cellStyle name="40% - Accent4 30 8" xfId="3894"/>
    <cellStyle name="40% - Accent4 30 9" xfId="3895"/>
    <cellStyle name="40% - Accent4 31" xfId="3896"/>
    <cellStyle name="40% - Accent4 31 10" xfId="3897"/>
    <cellStyle name="40% - Accent4 31 11" xfId="3898"/>
    <cellStyle name="40% - Accent4 31 2" xfId="3899"/>
    <cellStyle name="40% - Accent4 31 3" xfId="3900"/>
    <cellStyle name="40% - Accent4 31 4" xfId="3901"/>
    <cellStyle name="40% - Accent4 31 5" xfId="3902"/>
    <cellStyle name="40% - Accent4 31 6" xfId="3903"/>
    <cellStyle name="40% - Accent4 31 7" xfId="3904"/>
    <cellStyle name="40% - Accent4 31 8" xfId="3905"/>
    <cellStyle name="40% - Accent4 31 9" xfId="3906"/>
    <cellStyle name="40% - Accent4 32" xfId="3907"/>
    <cellStyle name="40% - Accent4 32 10" xfId="3908"/>
    <cellStyle name="40% - Accent4 32 11" xfId="3909"/>
    <cellStyle name="40% - Accent4 32 2" xfId="3910"/>
    <cellStyle name="40% - Accent4 32 3" xfId="3911"/>
    <cellStyle name="40% - Accent4 32 4" xfId="3912"/>
    <cellStyle name="40% - Accent4 32 5" xfId="3913"/>
    <cellStyle name="40% - Accent4 32 6" xfId="3914"/>
    <cellStyle name="40% - Accent4 32 7" xfId="3915"/>
    <cellStyle name="40% - Accent4 32 8" xfId="3916"/>
    <cellStyle name="40% - Accent4 32 9" xfId="3917"/>
    <cellStyle name="40% - Accent4 33" xfId="3918"/>
    <cellStyle name="40% - Accent4 33 10" xfId="3919"/>
    <cellStyle name="40% - Accent4 33 11" xfId="3920"/>
    <cellStyle name="40% - Accent4 33 2" xfId="3921"/>
    <cellStyle name="40% - Accent4 33 3" xfId="3922"/>
    <cellStyle name="40% - Accent4 33 4" xfId="3923"/>
    <cellStyle name="40% - Accent4 33 5" xfId="3924"/>
    <cellStyle name="40% - Accent4 33 6" xfId="3925"/>
    <cellStyle name="40% - Accent4 33 7" xfId="3926"/>
    <cellStyle name="40% - Accent4 33 8" xfId="3927"/>
    <cellStyle name="40% - Accent4 33 9" xfId="3928"/>
    <cellStyle name="40% - Accent4 34" xfId="3929"/>
    <cellStyle name="40% - Accent4 34 10" xfId="3930"/>
    <cellStyle name="40% - Accent4 34 11" xfId="3931"/>
    <cellStyle name="40% - Accent4 34 2" xfId="3932"/>
    <cellStyle name="40% - Accent4 34 3" xfId="3933"/>
    <cellStyle name="40% - Accent4 34 4" xfId="3934"/>
    <cellStyle name="40% - Accent4 34 5" xfId="3935"/>
    <cellStyle name="40% - Accent4 34 6" xfId="3936"/>
    <cellStyle name="40% - Accent4 34 7" xfId="3937"/>
    <cellStyle name="40% - Accent4 34 8" xfId="3938"/>
    <cellStyle name="40% - Accent4 34 9" xfId="3939"/>
    <cellStyle name="40% - Accent4 35" xfId="3940"/>
    <cellStyle name="40% - Accent4 35 10" xfId="3941"/>
    <cellStyle name="40% - Accent4 35 11" xfId="3942"/>
    <cellStyle name="40% - Accent4 35 2" xfId="3943"/>
    <cellStyle name="40% - Accent4 35 3" xfId="3944"/>
    <cellStyle name="40% - Accent4 35 4" xfId="3945"/>
    <cellStyle name="40% - Accent4 35 5" xfId="3946"/>
    <cellStyle name="40% - Accent4 35 6" xfId="3947"/>
    <cellStyle name="40% - Accent4 35 7" xfId="3948"/>
    <cellStyle name="40% - Accent4 35 8" xfId="3949"/>
    <cellStyle name="40% - Accent4 35 9" xfId="3950"/>
    <cellStyle name="40% - Accent4 36" xfId="3951"/>
    <cellStyle name="40% - Accent4 36 10" xfId="3952"/>
    <cellStyle name="40% - Accent4 36 11" xfId="3953"/>
    <cellStyle name="40% - Accent4 36 2" xfId="3954"/>
    <cellStyle name="40% - Accent4 36 3" xfId="3955"/>
    <cellStyle name="40% - Accent4 36 4" xfId="3956"/>
    <cellStyle name="40% - Accent4 36 5" xfId="3957"/>
    <cellStyle name="40% - Accent4 36 6" xfId="3958"/>
    <cellStyle name="40% - Accent4 36 7" xfId="3959"/>
    <cellStyle name="40% - Accent4 36 8" xfId="3960"/>
    <cellStyle name="40% - Accent4 36 9" xfId="3961"/>
    <cellStyle name="40% - Accent4 37" xfId="3962"/>
    <cellStyle name="40% - Accent4 37 10" xfId="3963"/>
    <cellStyle name="40% - Accent4 37 11" xfId="3964"/>
    <cellStyle name="40% - Accent4 37 2" xfId="3965"/>
    <cellStyle name="40% - Accent4 37 3" xfId="3966"/>
    <cellStyle name="40% - Accent4 37 4" xfId="3967"/>
    <cellStyle name="40% - Accent4 37 5" xfId="3968"/>
    <cellStyle name="40% - Accent4 37 6" xfId="3969"/>
    <cellStyle name="40% - Accent4 37 7" xfId="3970"/>
    <cellStyle name="40% - Accent4 37 8" xfId="3971"/>
    <cellStyle name="40% - Accent4 37 9" xfId="3972"/>
    <cellStyle name="40% - Accent4 38" xfId="3973"/>
    <cellStyle name="40% - Accent4 39" xfId="3974"/>
    <cellStyle name="40% - Accent4 4" xfId="3975"/>
    <cellStyle name="40% - Accent4 4 10" xfId="3976"/>
    <cellStyle name="40% - Accent4 4 11" xfId="3977"/>
    <cellStyle name="40% - Accent4 4 2" xfId="3978"/>
    <cellStyle name="40% - Accent4 4 3" xfId="3979"/>
    <cellStyle name="40% - Accent4 4 4" xfId="3980"/>
    <cellStyle name="40% - Accent4 4 5" xfId="3981"/>
    <cellStyle name="40% - Accent4 4 6" xfId="3982"/>
    <cellStyle name="40% - Accent4 4 7" xfId="3983"/>
    <cellStyle name="40% - Accent4 4 8" xfId="3984"/>
    <cellStyle name="40% - Accent4 4 9" xfId="3985"/>
    <cellStyle name="40% - Accent4 40" xfId="3986"/>
    <cellStyle name="40% - Accent4 41" xfId="3987"/>
    <cellStyle name="40% - Accent4 42" xfId="3988"/>
    <cellStyle name="40% - Accent4 43" xfId="3989"/>
    <cellStyle name="40% - Accent4 44" xfId="3990"/>
    <cellStyle name="40% - Accent4 5" xfId="3991"/>
    <cellStyle name="40% - Accent4 5 10" xfId="3992"/>
    <cellStyle name="40% - Accent4 5 11" xfId="3993"/>
    <cellStyle name="40% - Accent4 5 2" xfId="3994"/>
    <cellStyle name="40% - Accent4 5 3" xfId="3995"/>
    <cellStyle name="40% - Accent4 5 4" xfId="3996"/>
    <cellStyle name="40% - Accent4 5 5" xfId="3997"/>
    <cellStyle name="40% - Accent4 5 6" xfId="3998"/>
    <cellStyle name="40% - Accent4 5 7" xfId="3999"/>
    <cellStyle name="40% - Accent4 5 8" xfId="4000"/>
    <cellStyle name="40% - Accent4 5 9" xfId="4001"/>
    <cellStyle name="40% - Accent4 6" xfId="4002"/>
    <cellStyle name="40% - Accent4 6 10" xfId="4003"/>
    <cellStyle name="40% - Accent4 6 11" xfId="4004"/>
    <cellStyle name="40% - Accent4 6 2" xfId="4005"/>
    <cellStyle name="40% - Accent4 6 3" xfId="4006"/>
    <cellStyle name="40% - Accent4 6 4" xfId="4007"/>
    <cellStyle name="40% - Accent4 6 5" xfId="4008"/>
    <cellStyle name="40% - Accent4 6 6" xfId="4009"/>
    <cellStyle name="40% - Accent4 6 7" xfId="4010"/>
    <cellStyle name="40% - Accent4 6 8" xfId="4011"/>
    <cellStyle name="40% - Accent4 6 9" xfId="4012"/>
    <cellStyle name="40% - Accent4 7" xfId="4013"/>
    <cellStyle name="40% - Accent4 7 10" xfId="4014"/>
    <cellStyle name="40% - Accent4 7 11" xfId="4015"/>
    <cellStyle name="40% - Accent4 7 2" xfId="4016"/>
    <cellStyle name="40% - Accent4 7 3" xfId="4017"/>
    <cellStyle name="40% - Accent4 7 4" xfId="4018"/>
    <cellStyle name="40% - Accent4 7 5" xfId="4019"/>
    <cellStyle name="40% - Accent4 7 6" xfId="4020"/>
    <cellStyle name="40% - Accent4 7 7" xfId="4021"/>
    <cellStyle name="40% - Accent4 7 8" xfId="4022"/>
    <cellStyle name="40% - Accent4 7 9" xfId="4023"/>
    <cellStyle name="40% - Accent4 8" xfId="4024"/>
    <cellStyle name="40% - Accent4 8 10" xfId="4025"/>
    <cellStyle name="40% - Accent4 8 11" xfId="4026"/>
    <cellStyle name="40% - Accent4 8 2" xfId="4027"/>
    <cellStyle name="40% - Accent4 8 3" xfId="4028"/>
    <cellStyle name="40% - Accent4 8 4" xfId="4029"/>
    <cellStyle name="40% - Accent4 8 5" xfId="4030"/>
    <cellStyle name="40% - Accent4 8 6" xfId="4031"/>
    <cellStyle name="40% - Accent4 8 7" xfId="4032"/>
    <cellStyle name="40% - Accent4 8 8" xfId="4033"/>
    <cellStyle name="40% - Accent4 8 9" xfId="4034"/>
    <cellStyle name="40% - Accent4 9" xfId="4035"/>
    <cellStyle name="40% - Accent4 9 10" xfId="4036"/>
    <cellStyle name="40% - Accent4 9 11" xfId="4037"/>
    <cellStyle name="40% - Accent4 9 2" xfId="4038"/>
    <cellStyle name="40% - Accent4 9 3" xfId="4039"/>
    <cellStyle name="40% - Accent4 9 4" xfId="4040"/>
    <cellStyle name="40% - Accent4 9 5" xfId="4041"/>
    <cellStyle name="40% - Accent4 9 6" xfId="4042"/>
    <cellStyle name="40% - Accent4 9 7" xfId="4043"/>
    <cellStyle name="40% - Accent4 9 8" xfId="4044"/>
    <cellStyle name="40% - Accent4 9 9" xfId="4045"/>
    <cellStyle name="40% - Accent5" xfId="6602" builtinId="47" customBuiltin="1"/>
    <cellStyle name="40% - Accent5 10" xfId="4046"/>
    <cellStyle name="40% - Accent5 10 10" xfId="4047"/>
    <cellStyle name="40% - Accent5 10 11" xfId="4048"/>
    <cellStyle name="40% - Accent5 10 2" xfId="4049"/>
    <cellStyle name="40% - Accent5 10 3" xfId="4050"/>
    <cellStyle name="40% - Accent5 10 4" xfId="4051"/>
    <cellStyle name="40% - Accent5 10 5" xfId="4052"/>
    <cellStyle name="40% - Accent5 10 6" xfId="4053"/>
    <cellStyle name="40% - Accent5 10 7" xfId="4054"/>
    <cellStyle name="40% - Accent5 10 8" xfId="4055"/>
    <cellStyle name="40% - Accent5 10 9" xfId="4056"/>
    <cellStyle name="40% - Accent5 11" xfId="4057"/>
    <cellStyle name="40% - Accent5 11 10" xfId="4058"/>
    <cellStyle name="40% - Accent5 11 11" xfId="4059"/>
    <cellStyle name="40% - Accent5 11 2" xfId="4060"/>
    <cellStyle name="40% - Accent5 11 3" xfId="4061"/>
    <cellStyle name="40% - Accent5 11 4" xfId="4062"/>
    <cellStyle name="40% - Accent5 11 5" xfId="4063"/>
    <cellStyle name="40% - Accent5 11 6" xfId="4064"/>
    <cellStyle name="40% - Accent5 11 7" xfId="4065"/>
    <cellStyle name="40% - Accent5 11 8" xfId="4066"/>
    <cellStyle name="40% - Accent5 11 9" xfId="4067"/>
    <cellStyle name="40% - Accent5 12" xfId="4068"/>
    <cellStyle name="40% - Accent5 12 10" xfId="4069"/>
    <cellStyle name="40% - Accent5 12 11" xfId="4070"/>
    <cellStyle name="40% - Accent5 12 2" xfId="4071"/>
    <cellStyle name="40% - Accent5 12 3" xfId="4072"/>
    <cellStyle name="40% - Accent5 12 4" xfId="4073"/>
    <cellStyle name="40% - Accent5 12 5" xfId="4074"/>
    <cellStyle name="40% - Accent5 12 6" xfId="4075"/>
    <cellStyle name="40% - Accent5 12 7" xfId="4076"/>
    <cellStyle name="40% - Accent5 12 8" xfId="4077"/>
    <cellStyle name="40% - Accent5 12 9" xfId="4078"/>
    <cellStyle name="40% - Accent5 13" xfId="4079"/>
    <cellStyle name="40% - Accent5 13 10" xfId="4080"/>
    <cellStyle name="40% - Accent5 13 11" xfId="4081"/>
    <cellStyle name="40% - Accent5 13 2" xfId="4082"/>
    <cellStyle name="40% - Accent5 13 3" xfId="4083"/>
    <cellStyle name="40% - Accent5 13 4" xfId="4084"/>
    <cellStyle name="40% - Accent5 13 5" xfId="4085"/>
    <cellStyle name="40% - Accent5 13 6" xfId="4086"/>
    <cellStyle name="40% - Accent5 13 7" xfId="4087"/>
    <cellStyle name="40% - Accent5 13 8" xfId="4088"/>
    <cellStyle name="40% - Accent5 13 9" xfId="4089"/>
    <cellStyle name="40% - Accent5 14" xfId="4090"/>
    <cellStyle name="40% - Accent5 14 10" xfId="4091"/>
    <cellStyle name="40% - Accent5 14 11" xfId="4092"/>
    <cellStyle name="40% - Accent5 14 2" xfId="4093"/>
    <cellStyle name="40% - Accent5 14 3" xfId="4094"/>
    <cellStyle name="40% - Accent5 14 4" xfId="4095"/>
    <cellStyle name="40% - Accent5 14 5" xfId="4096"/>
    <cellStyle name="40% - Accent5 14 6" xfId="4097"/>
    <cellStyle name="40% - Accent5 14 7" xfId="4098"/>
    <cellStyle name="40% - Accent5 14 8" xfId="4099"/>
    <cellStyle name="40% - Accent5 14 9" xfId="4100"/>
    <cellStyle name="40% - Accent5 15" xfId="4101"/>
    <cellStyle name="40% - Accent5 15 10" xfId="4102"/>
    <cellStyle name="40% - Accent5 15 11" xfId="4103"/>
    <cellStyle name="40% - Accent5 15 2" xfId="4104"/>
    <cellStyle name="40% - Accent5 15 3" xfId="4105"/>
    <cellStyle name="40% - Accent5 15 4" xfId="4106"/>
    <cellStyle name="40% - Accent5 15 5" xfId="4107"/>
    <cellStyle name="40% - Accent5 15 6" xfId="4108"/>
    <cellStyle name="40% - Accent5 15 7" xfId="4109"/>
    <cellStyle name="40% - Accent5 15 8" xfId="4110"/>
    <cellStyle name="40% - Accent5 15 9" xfId="4111"/>
    <cellStyle name="40% - Accent5 16" xfId="4112"/>
    <cellStyle name="40% - Accent5 16 10" xfId="4113"/>
    <cellStyle name="40% - Accent5 16 11" xfId="4114"/>
    <cellStyle name="40% - Accent5 16 2" xfId="4115"/>
    <cellStyle name="40% - Accent5 16 3" xfId="4116"/>
    <cellStyle name="40% - Accent5 16 4" xfId="4117"/>
    <cellStyle name="40% - Accent5 16 5" xfId="4118"/>
    <cellStyle name="40% - Accent5 16 6" xfId="4119"/>
    <cellStyle name="40% - Accent5 16 7" xfId="4120"/>
    <cellStyle name="40% - Accent5 16 8" xfId="4121"/>
    <cellStyle name="40% - Accent5 16 9" xfId="4122"/>
    <cellStyle name="40% - Accent5 17" xfId="4123"/>
    <cellStyle name="40% - Accent5 17 10" xfId="4124"/>
    <cellStyle name="40% - Accent5 17 11" xfId="4125"/>
    <cellStyle name="40% - Accent5 17 2" xfId="4126"/>
    <cellStyle name="40% - Accent5 17 3" xfId="4127"/>
    <cellStyle name="40% - Accent5 17 4" xfId="4128"/>
    <cellStyle name="40% - Accent5 17 5" xfId="4129"/>
    <cellStyle name="40% - Accent5 17 6" xfId="4130"/>
    <cellStyle name="40% - Accent5 17 7" xfId="4131"/>
    <cellStyle name="40% - Accent5 17 8" xfId="4132"/>
    <cellStyle name="40% - Accent5 17 9" xfId="4133"/>
    <cellStyle name="40% - Accent5 18" xfId="4134"/>
    <cellStyle name="40% - Accent5 18 10" xfId="4135"/>
    <cellStyle name="40% - Accent5 18 11" xfId="4136"/>
    <cellStyle name="40% - Accent5 18 2" xfId="4137"/>
    <cellStyle name="40% - Accent5 18 3" xfId="4138"/>
    <cellStyle name="40% - Accent5 18 4" xfId="4139"/>
    <cellStyle name="40% - Accent5 18 5" xfId="4140"/>
    <cellStyle name="40% - Accent5 18 6" xfId="4141"/>
    <cellStyle name="40% - Accent5 18 7" xfId="4142"/>
    <cellStyle name="40% - Accent5 18 8" xfId="4143"/>
    <cellStyle name="40% - Accent5 18 9" xfId="4144"/>
    <cellStyle name="40% - Accent5 19" xfId="4145"/>
    <cellStyle name="40% - Accent5 19 10" xfId="4146"/>
    <cellStyle name="40% - Accent5 19 11" xfId="4147"/>
    <cellStyle name="40% - Accent5 19 2" xfId="4148"/>
    <cellStyle name="40% - Accent5 19 3" xfId="4149"/>
    <cellStyle name="40% - Accent5 19 4" xfId="4150"/>
    <cellStyle name="40% - Accent5 19 5" xfId="4151"/>
    <cellStyle name="40% - Accent5 19 6" xfId="4152"/>
    <cellStyle name="40% - Accent5 19 7" xfId="4153"/>
    <cellStyle name="40% - Accent5 19 8" xfId="4154"/>
    <cellStyle name="40% - Accent5 19 9" xfId="4155"/>
    <cellStyle name="40% - Accent5 2" xfId="4156"/>
    <cellStyle name="40% - Accent5 2 10" xfId="4157"/>
    <cellStyle name="40% - Accent5 2 11" xfId="4158"/>
    <cellStyle name="40% - Accent5 2 2" xfId="4159"/>
    <cellStyle name="40% - Accent5 2 3" xfId="4160"/>
    <cellStyle name="40% - Accent5 2 4" xfId="4161"/>
    <cellStyle name="40% - Accent5 2 5" xfId="4162"/>
    <cellStyle name="40% - Accent5 2 6" xfId="4163"/>
    <cellStyle name="40% - Accent5 2 7" xfId="4164"/>
    <cellStyle name="40% - Accent5 2 8" xfId="4165"/>
    <cellStyle name="40% - Accent5 2 9" xfId="4166"/>
    <cellStyle name="40% - Accent5 20" xfId="4167"/>
    <cellStyle name="40% - Accent5 20 10" xfId="4168"/>
    <cellStyle name="40% - Accent5 20 11" xfId="4169"/>
    <cellStyle name="40% - Accent5 20 2" xfId="4170"/>
    <cellStyle name="40% - Accent5 20 3" xfId="4171"/>
    <cellStyle name="40% - Accent5 20 4" xfId="4172"/>
    <cellStyle name="40% - Accent5 20 5" xfId="4173"/>
    <cellStyle name="40% - Accent5 20 6" xfId="4174"/>
    <cellStyle name="40% - Accent5 20 7" xfId="4175"/>
    <cellStyle name="40% - Accent5 20 8" xfId="4176"/>
    <cellStyle name="40% - Accent5 20 9" xfId="4177"/>
    <cellStyle name="40% - Accent5 21" xfId="4178"/>
    <cellStyle name="40% - Accent5 21 10" xfId="4179"/>
    <cellStyle name="40% - Accent5 21 11" xfId="4180"/>
    <cellStyle name="40% - Accent5 21 2" xfId="4181"/>
    <cellStyle name="40% - Accent5 21 3" xfId="4182"/>
    <cellStyle name="40% - Accent5 21 4" xfId="4183"/>
    <cellStyle name="40% - Accent5 21 5" xfId="4184"/>
    <cellStyle name="40% - Accent5 21 6" xfId="4185"/>
    <cellStyle name="40% - Accent5 21 7" xfId="4186"/>
    <cellStyle name="40% - Accent5 21 8" xfId="4187"/>
    <cellStyle name="40% - Accent5 21 9" xfId="4188"/>
    <cellStyle name="40% - Accent5 22" xfId="4189"/>
    <cellStyle name="40% - Accent5 22 10" xfId="4190"/>
    <cellStyle name="40% - Accent5 22 11" xfId="4191"/>
    <cellStyle name="40% - Accent5 22 2" xfId="4192"/>
    <cellStyle name="40% - Accent5 22 3" xfId="4193"/>
    <cellStyle name="40% - Accent5 22 4" xfId="4194"/>
    <cellStyle name="40% - Accent5 22 5" xfId="4195"/>
    <cellStyle name="40% - Accent5 22 6" xfId="4196"/>
    <cellStyle name="40% - Accent5 22 7" xfId="4197"/>
    <cellStyle name="40% - Accent5 22 8" xfId="4198"/>
    <cellStyle name="40% - Accent5 22 9" xfId="4199"/>
    <cellStyle name="40% - Accent5 23" xfId="4200"/>
    <cellStyle name="40% - Accent5 23 10" xfId="4201"/>
    <cellStyle name="40% - Accent5 23 11" xfId="4202"/>
    <cellStyle name="40% - Accent5 23 2" xfId="4203"/>
    <cellStyle name="40% - Accent5 23 3" xfId="4204"/>
    <cellStyle name="40% - Accent5 23 4" xfId="4205"/>
    <cellStyle name="40% - Accent5 23 5" xfId="4206"/>
    <cellStyle name="40% - Accent5 23 6" xfId="4207"/>
    <cellStyle name="40% - Accent5 23 7" xfId="4208"/>
    <cellStyle name="40% - Accent5 23 8" xfId="4209"/>
    <cellStyle name="40% - Accent5 23 9" xfId="4210"/>
    <cellStyle name="40% - Accent5 24" xfId="4211"/>
    <cellStyle name="40% - Accent5 24 10" xfId="4212"/>
    <cellStyle name="40% - Accent5 24 11" xfId="4213"/>
    <cellStyle name="40% - Accent5 24 2" xfId="4214"/>
    <cellStyle name="40% - Accent5 24 3" xfId="4215"/>
    <cellStyle name="40% - Accent5 24 4" xfId="4216"/>
    <cellStyle name="40% - Accent5 24 5" xfId="4217"/>
    <cellStyle name="40% - Accent5 24 6" xfId="4218"/>
    <cellStyle name="40% - Accent5 24 7" xfId="4219"/>
    <cellStyle name="40% - Accent5 24 8" xfId="4220"/>
    <cellStyle name="40% - Accent5 24 9" xfId="4221"/>
    <cellStyle name="40% - Accent5 25" xfId="4222"/>
    <cellStyle name="40% - Accent5 25 10" xfId="4223"/>
    <cellStyle name="40% - Accent5 25 11" xfId="4224"/>
    <cellStyle name="40% - Accent5 25 2" xfId="4225"/>
    <cellStyle name="40% - Accent5 25 3" xfId="4226"/>
    <cellStyle name="40% - Accent5 25 4" xfId="4227"/>
    <cellStyle name="40% - Accent5 25 5" xfId="4228"/>
    <cellStyle name="40% - Accent5 25 6" xfId="4229"/>
    <cellStyle name="40% - Accent5 25 7" xfId="4230"/>
    <cellStyle name="40% - Accent5 25 8" xfId="4231"/>
    <cellStyle name="40% - Accent5 25 9" xfId="4232"/>
    <cellStyle name="40% - Accent5 26" xfId="4233"/>
    <cellStyle name="40% - Accent5 26 10" xfId="4234"/>
    <cellStyle name="40% - Accent5 26 11" xfId="4235"/>
    <cellStyle name="40% - Accent5 26 2" xfId="4236"/>
    <cellStyle name="40% - Accent5 26 3" xfId="4237"/>
    <cellStyle name="40% - Accent5 26 4" xfId="4238"/>
    <cellStyle name="40% - Accent5 26 5" xfId="4239"/>
    <cellStyle name="40% - Accent5 26 6" xfId="4240"/>
    <cellStyle name="40% - Accent5 26 7" xfId="4241"/>
    <cellStyle name="40% - Accent5 26 8" xfId="4242"/>
    <cellStyle name="40% - Accent5 26 9" xfId="4243"/>
    <cellStyle name="40% - Accent5 27" xfId="4244"/>
    <cellStyle name="40% - Accent5 27 10" xfId="4245"/>
    <cellStyle name="40% - Accent5 27 11" xfId="4246"/>
    <cellStyle name="40% - Accent5 27 2" xfId="4247"/>
    <cellStyle name="40% - Accent5 27 3" xfId="4248"/>
    <cellStyle name="40% - Accent5 27 4" xfId="4249"/>
    <cellStyle name="40% - Accent5 27 5" xfId="4250"/>
    <cellStyle name="40% - Accent5 27 6" xfId="4251"/>
    <cellStyle name="40% - Accent5 27 7" xfId="4252"/>
    <cellStyle name="40% - Accent5 27 8" xfId="4253"/>
    <cellStyle name="40% - Accent5 27 9" xfId="4254"/>
    <cellStyle name="40% - Accent5 28" xfId="4255"/>
    <cellStyle name="40% - Accent5 28 10" xfId="4256"/>
    <cellStyle name="40% - Accent5 28 11" xfId="4257"/>
    <cellStyle name="40% - Accent5 28 2" xfId="4258"/>
    <cellStyle name="40% - Accent5 28 3" xfId="4259"/>
    <cellStyle name="40% - Accent5 28 4" xfId="4260"/>
    <cellStyle name="40% - Accent5 28 5" xfId="4261"/>
    <cellStyle name="40% - Accent5 28 6" xfId="4262"/>
    <cellStyle name="40% - Accent5 28 7" xfId="4263"/>
    <cellStyle name="40% - Accent5 28 8" xfId="4264"/>
    <cellStyle name="40% - Accent5 28 9" xfId="4265"/>
    <cellStyle name="40% - Accent5 29" xfId="4266"/>
    <cellStyle name="40% - Accent5 29 10" xfId="4267"/>
    <cellStyle name="40% - Accent5 29 11" xfId="4268"/>
    <cellStyle name="40% - Accent5 29 2" xfId="4269"/>
    <cellStyle name="40% - Accent5 29 3" xfId="4270"/>
    <cellStyle name="40% - Accent5 29 4" xfId="4271"/>
    <cellStyle name="40% - Accent5 29 5" xfId="4272"/>
    <cellStyle name="40% - Accent5 29 6" xfId="4273"/>
    <cellStyle name="40% - Accent5 29 7" xfId="4274"/>
    <cellStyle name="40% - Accent5 29 8" xfId="4275"/>
    <cellStyle name="40% - Accent5 29 9" xfId="4276"/>
    <cellStyle name="40% - Accent5 3" xfId="4277"/>
    <cellStyle name="40% - Accent5 3 10" xfId="4278"/>
    <cellStyle name="40% - Accent5 3 11" xfId="4279"/>
    <cellStyle name="40% - Accent5 3 2" xfId="4280"/>
    <cellStyle name="40% - Accent5 3 3" xfId="4281"/>
    <cellStyle name="40% - Accent5 3 4" xfId="4282"/>
    <cellStyle name="40% - Accent5 3 5" xfId="4283"/>
    <cellStyle name="40% - Accent5 3 6" xfId="4284"/>
    <cellStyle name="40% - Accent5 3 7" xfId="4285"/>
    <cellStyle name="40% - Accent5 3 8" xfId="4286"/>
    <cellStyle name="40% - Accent5 3 9" xfId="4287"/>
    <cellStyle name="40% - Accent5 30" xfId="4288"/>
    <cellStyle name="40% - Accent5 30 10" xfId="4289"/>
    <cellStyle name="40% - Accent5 30 11" xfId="4290"/>
    <cellStyle name="40% - Accent5 30 2" xfId="4291"/>
    <cellStyle name="40% - Accent5 30 3" xfId="4292"/>
    <cellStyle name="40% - Accent5 30 4" xfId="4293"/>
    <cellStyle name="40% - Accent5 30 5" xfId="4294"/>
    <cellStyle name="40% - Accent5 30 6" xfId="4295"/>
    <cellStyle name="40% - Accent5 30 7" xfId="4296"/>
    <cellStyle name="40% - Accent5 30 8" xfId="4297"/>
    <cellStyle name="40% - Accent5 30 9" xfId="4298"/>
    <cellStyle name="40% - Accent5 31" xfId="4299"/>
    <cellStyle name="40% - Accent5 31 10" xfId="4300"/>
    <cellStyle name="40% - Accent5 31 11" xfId="4301"/>
    <cellStyle name="40% - Accent5 31 2" xfId="4302"/>
    <cellStyle name="40% - Accent5 31 3" xfId="4303"/>
    <cellStyle name="40% - Accent5 31 4" xfId="4304"/>
    <cellStyle name="40% - Accent5 31 5" xfId="4305"/>
    <cellStyle name="40% - Accent5 31 6" xfId="4306"/>
    <cellStyle name="40% - Accent5 31 7" xfId="4307"/>
    <cellStyle name="40% - Accent5 31 8" xfId="4308"/>
    <cellStyle name="40% - Accent5 31 9" xfId="4309"/>
    <cellStyle name="40% - Accent5 32" xfId="4310"/>
    <cellStyle name="40% - Accent5 32 10" xfId="4311"/>
    <cellStyle name="40% - Accent5 32 11" xfId="4312"/>
    <cellStyle name="40% - Accent5 32 2" xfId="4313"/>
    <cellStyle name="40% - Accent5 32 3" xfId="4314"/>
    <cellStyle name="40% - Accent5 32 4" xfId="4315"/>
    <cellStyle name="40% - Accent5 32 5" xfId="4316"/>
    <cellStyle name="40% - Accent5 32 6" xfId="4317"/>
    <cellStyle name="40% - Accent5 32 7" xfId="4318"/>
    <cellStyle name="40% - Accent5 32 8" xfId="4319"/>
    <cellStyle name="40% - Accent5 32 9" xfId="4320"/>
    <cellStyle name="40% - Accent5 33" xfId="4321"/>
    <cellStyle name="40% - Accent5 33 10" xfId="4322"/>
    <cellStyle name="40% - Accent5 33 11" xfId="4323"/>
    <cellStyle name="40% - Accent5 33 2" xfId="4324"/>
    <cellStyle name="40% - Accent5 33 3" xfId="4325"/>
    <cellStyle name="40% - Accent5 33 4" xfId="4326"/>
    <cellStyle name="40% - Accent5 33 5" xfId="4327"/>
    <cellStyle name="40% - Accent5 33 6" xfId="4328"/>
    <cellStyle name="40% - Accent5 33 7" xfId="4329"/>
    <cellStyle name="40% - Accent5 33 8" xfId="4330"/>
    <cellStyle name="40% - Accent5 33 9" xfId="4331"/>
    <cellStyle name="40% - Accent5 34" xfId="4332"/>
    <cellStyle name="40% - Accent5 34 10" xfId="4333"/>
    <cellStyle name="40% - Accent5 34 11" xfId="4334"/>
    <cellStyle name="40% - Accent5 34 2" xfId="4335"/>
    <cellStyle name="40% - Accent5 34 3" xfId="4336"/>
    <cellStyle name="40% - Accent5 34 4" xfId="4337"/>
    <cellStyle name="40% - Accent5 34 5" xfId="4338"/>
    <cellStyle name="40% - Accent5 34 6" xfId="4339"/>
    <cellStyle name="40% - Accent5 34 7" xfId="4340"/>
    <cellStyle name="40% - Accent5 34 8" xfId="4341"/>
    <cellStyle name="40% - Accent5 34 9" xfId="4342"/>
    <cellStyle name="40% - Accent5 35" xfId="4343"/>
    <cellStyle name="40% - Accent5 35 10" xfId="4344"/>
    <cellStyle name="40% - Accent5 35 11" xfId="4345"/>
    <cellStyle name="40% - Accent5 35 2" xfId="4346"/>
    <cellStyle name="40% - Accent5 35 3" xfId="4347"/>
    <cellStyle name="40% - Accent5 35 4" xfId="4348"/>
    <cellStyle name="40% - Accent5 35 5" xfId="4349"/>
    <cellStyle name="40% - Accent5 35 6" xfId="4350"/>
    <cellStyle name="40% - Accent5 35 7" xfId="4351"/>
    <cellStyle name="40% - Accent5 35 8" xfId="4352"/>
    <cellStyle name="40% - Accent5 35 9" xfId="4353"/>
    <cellStyle name="40% - Accent5 36" xfId="4354"/>
    <cellStyle name="40% - Accent5 36 10" xfId="4355"/>
    <cellStyle name="40% - Accent5 36 11" xfId="4356"/>
    <cellStyle name="40% - Accent5 36 2" xfId="4357"/>
    <cellStyle name="40% - Accent5 36 3" xfId="4358"/>
    <cellStyle name="40% - Accent5 36 4" xfId="4359"/>
    <cellStyle name="40% - Accent5 36 5" xfId="4360"/>
    <cellStyle name="40% - Accent5 36 6" xfId="4361"/>
    <cellStyle name="40% - Accent5 36 7" xfId="4362"/>
    <cellStyle name="40% - Accent5 36 8" xfId="4363"/>
    <cellStyle name="40% - Accent5 36 9" xfId="4364"/>
    <cellStyle name="40% - Accent5 37" xfId="4365"/>
    <cellStyle name="40% - Accent5 37 10" xfId="4366"/>
    <cellStyle name="40% - Accent5 37 11" xfId="4367"/>
    <cellStyle name="40% - Accent5 37 2" xfId="4368"/>
    <cellStyle name="40% - Accent5 37 3" xfId="4369"/>
    <cellStyle name="40% - Accent5 37 4" xfId="4370"/>
    <cellStyle name="40% - Accent5 37 5" xfId="4371"/>
    <cellStyle name="40% - Accent5 37 6" xfId="4372"/>
    <cellStyle name="40% - Accent5 37 7" xfId="4373"/>
    <cellStyle name="40% - Accent5 37 8" xfId="4374"/>
    <cellStyle name="40% - Accent5 37 9" xfId="4375"/>
    <cellStyle name="40% - Accent5 38" xfId="4376"/>
    <cellStyle name="40% - Accent5 39" xfId="4377"/>
    <cellStyle name="40% - Accent5 4" xfId="4378"/>
    <cellStyle name="40% - Accent5 4 10" xfId="4379"/>
    <cellStyle name="40% - Accent5 4 11" xfId="4380"/>
    <cellStyle name="40% - Accent5 4 2" xfId="4381"/>
    <cellStyle name="40% - Accent5 4 3" xfId="4382"/>
    <cellStyle name="40% - Accent5 4 4" xfId="4383"/>
    <cellStyle name="40% - Accent5 4 5" xfId="4384"/>
    <cellStyle name="40% - Accent5 4 6" xfId="4385"/>
    <cellStyle name="40% - Accent5 4 7" xfId="4386"/>
    <cellStyle name="40% - Accent5 4 8" xfId="4387"/>
    <cellStyle name="40% - Accent5 4 9" xfId="4388"/>
    <cellStyle name="40% - Accent5 40" xfId="4389"/>
    <cellStyle name="40% - Accent5 41" xfId="4390"/>
    <cellStyle name="40% - Accent5 42" xfId="4391"/>
    <cellStyle name="40% - Accent5 43" xfId="4392"/>
    <cellStyle name="40% - Accent5 44" xfId="4393"/>
    <cellStyle name="40% - Accent5 5" xfId="4394"/>
    <cellStyle name="40% - Accent5 5 10" xfId="4395"/>
    <cellStyle name="40% - Accent5 5 11" xfId="4396"/>
    <cellStyle name="40% - Accent5 5 2" xfId="4397"/>
    <cellStyle name="40% - Accent5 5 3" xfId="4398"/>
    <cellStyle name="40% - Accent5 5 4" xfId="4399"/>
    <cellStyle name="40% - Accent5 5 5" xfId="4400"/>
    <cellStyle name="40% - Accent5 5 6" xfId="4401"/>
    <cellStyle name="40% - Accent5 5 7" xfId="4402"/>
    <cellStyle name="40% - Accent5 5 8" xfId="4403"/>
    <cellStyle name="40% - Accent5 5 9" xfId="4404"/>
    <cellStyle name="40% - Accent5 6" xfId="4405"/>
    <cellStyle name="40% - Accent5 6 10" xfId="4406"/>
    <cellStyle name="40% - Accent5 6 11" xfId="4407"/>
    <cellStyle name="40% - Accent5 6 2" xfId="4408"/>
    <cellStyle name="40% - Accent5 6 3" xfId="4409"/>
    <cellStyle name="40% - Accent5 6 4" xfId="4410"/>
    <cellStyle name="40% - Accent5 6 5" xfId="4411"/>
    <cellStyle name="40% - Accent5 6 6" xfId="4412"/>
    <cellStyle name="40% - Accent5 6 7" xfId="4413"/>
    <cellStyle name="40% - Accent5 6 8" xfId="4414"/>
    <cellStyle name="40% - Accent5 6 9" xfId="4415"/>
    <cellStyle name="40% - Accent5 7" xfId="4416"/>
    <cellStyle name="40% - Accent5 7 10" xfId="4417"/>
    <cellStyle name="40% - Accent5 7 11" xfId="4418"/>
    <cellStyle name="40% - Accent5 7 2" xfId="4419"/>
    <cellStyle name="40% - Accent5 7 3" xfId="4420"/>
    <cellStyle name="40% - Accent5 7 4" xfId="4421"/>
    <cellStyle name="40% - Accent5 7 5" xfId="4422"/>
    <cellStyle name="40% - Accent5 7 6" xfId="4423"/>
    <cellStyle name="40% - Accent5 7 7" xfId="4424"/>
    <cellStyle name="40% - Accent5 7 8" xfId="4425"/>
    <cellStyle name="40% - Accent5 7 9" xfId="4426"/>
    <cellStyle name="40% - Accent5 8" xfId="4427"/>
    <cellStyle name="40% - Accent5 8 10" xfId="4428"/>
    <cellStyle name="40% - Accent5 8 11" xfId="4429"/>
    <cellStyle name="40% - Accent5 8 2" xfId="4430"/>
    <cellStyle name="40% - Accent5 8 3" xfId="4431"/>
    <cellStyle name="40% - Accent5 8 4" xfId="4432"/>
    <cellStyle name="40% - Accent5 8 5" xfId="4433"/>
    <cellStyle name="40% - Accent5 8 6" xfId="4434"/>
    <cellStyle name="40% - Accent5 8 7" xfId="4435"/>
    <cellStyle name="40% - Accent5 8 8" xfId="4436"/>
    <cellStyle name="40% - Accent5 8 9" xfId="4437"/>
    <cellStyle name="40% - Accent5 9" xfId="4438"/>
    <cellStyle name="40% - Accent5 9 10" xfId="4439"/>
    <cellStyle name="40% - Accent5 9 11" xfId="4440"/>
    <cellStyle name="40% - Accent5 9 2" xfId="4441"/>
    <cellStyle name="40% - Accent5 9 3" xfId="4442"/>
    <cellStyle name="40% - Accent5 9 4" xfId="4443"/>
    <cellStyle name="40% - Accent5 9 5" xfId="4444"/>
    <cellStyle name="40% - Accent5 9 6" xfId="4445"/>
    <cellStyle name="40% - Accent5 9 7" xfId="4446"/>
    <cellStyle name="40% - Accent5 9 8" xfId="4447"/>
    <cellStyle name="40% - Accent5 9 9" xfId="4448"/>
    <cellStyle name="40% - Accent6" xfId="6606" builtinId="51" customBuiltin="1"/>
    <cellStyle name="40% - Accent6 10" xfId="4449"/>
    <cellStyle name="40% - Accent6 10 10" xfId="4450"/>
    <cellStyle name="40% - Accent6 10 11" xfId="4451"/>
    <cellStyle name="40% - Accent6 10 2" xfId="4452"/>
    <cellStyle name="40% - Accent6 10 3" xfId="4453"/>
    <cellStyle name="40% - Accent6 10 4" xfId="4454"/>
    <cellStyle name="40% - Accent6 10 5" xfId="4455"/>
    <cellStyle name="40% - Accent6 10 6" xfId="4456"/>
    <cellStyle name="40% - Accent6 10 7" xfId="4457"/>
    <cellStyle name="40% - Accent6 10 8" xfId="4458"/>
    <cellStyle name="40% - Accent6 10 9" xfId="4459"/>
    <cellStyle name="40% - Accent6 11" xfId="4460"/>
    <cellStyle name="40% - Accent6 11 10" xfId="4461"/>
    <cellStyle name="40% - Accent6 11 11" xfId="4462"/>
    <cellStyle name="40% - Accent6 11 2" xfId="4463"/>
    <cellStyle name="40% - Accent6 11 3" xfId="4464"/>
    <cellStyle name="40% - Accent6 11 4" xfId="4465"/>
    <cellStyle name="40% - Accent6 11 5" xfId="4466"/>
    <cellStyle name="40% - Accent6 11 6" xfId="4467"/>
    <cellStyle name="40% - Accent6 11 7" xfId="4468"/>
    <cellStyle name="40% - Accent6 11 8" xfId="4469"/>
    <cellStyle name="40% - Accent6 11 9" xfId="4470"/>
    <cellStyle name="40% - Accent6 12" xfId="4471"/>
    <cellStyle name="40% - Accent6 12 10" xfId="4472"/>
    <cellStyle name="40% - Accent6 12 11" xfId="4473"/>
    <cellStyle name="40% - Accent6 12 2" xfId="4474"/>
    <cellStyle name="40% - Accent6 12 3" xfId="4475"/>
    <cellStyle name="40% - Accent6 12 4" xfId="4476"/>
    <cellStyle name="40% - Accent6 12 5" xfId="4477"/>
    <cellStyle name="40% - Accent6 12 6" xfId="4478"/>
    <cellStyle name="40% - Accent6 12 7" xfId="4479"/>
    <cellStyle name="40% - Accent6 12 8" xfId="4480"/>
    <cellStyle name="40% - Accent6 12 9" xfId="4481"/>
    <cellStyle name="40% - Accent6 13" xfId="4482"/>
    <cellStyle name="40% - Accent6 13 10" xfId="4483"/>
    <cellStyle name="40% - Accent6 13 11" xfId="4484"/>
    <cellStyle name="40% - Accent6 13 2" xfId="4485"/>
    <cellStyle name="40% - Accent6 13 3" xfId="4486"/>
    <cellStyle name="40% - Accent6 13 4" xfId="4487"/>
    <cellStyle name="40% - Accent6 13 5" xfId="4488"/>
    <cellStyle name="40% - Accent6 13 6" xfId="4489"/>
    <cellStyle name="40% - Accent6 13 7" xfId="4490"/>
    <cellStyle name="40% - Accent6 13 8" xfId="4491"/>
    <cellStyle name="40% - Accent6 13 9" xfId="4492"/>
    <cellStyle name="40% - Accent6 14" xfId="4493"/>
    <cellStyle name="40% - Accent6 14 10" xfId="4494"/>
    <cellStyle name="40% - Accent6 14 11" xfId="4495"/>
    <cellStyle name="40% - Accent6 14 2" xfId="4496"/>
    <cellStyle name="40% - Accent6 14 3" xfId="4497"/>
    <cellStyle name="40% - Accent6 14 4" xfId="4498"/>
    <cellStyle name="40% - Accent6 14 5" xfId="4499"/>
    <cellStyle name="40% - Accent6 14 6" xfId="4500"/>
    <cellStyle name="40% - Accent6 14 7" xfId="4501"/>
    <cellStyle name="40% - Accent6 14 8" xfId="4502"/>
    <cellStyle name="40% - Accent6 14 9" xfId="4503"/>
    <cellStyle name="40% - Accent6 15" xfId="4504"/>
    <cellStyle name="40% - Accent6 15 10" xfId="4505"/>
    <cellStyle name="40% - Accent6 15 11" xfId="4506"/>
    <cellStyle name="40% - Accent6 15 2" xfId="4507"/>
    <cellStyle name="40% - Accent6 15 3" xfId="4508"/>
    <cellStyle name="40% - Accent6 15 4" xfId="4509"/>
    <cellStyle name="40% - Accent6 15 5" xfId="4510"/>
    <cellStyle name="40% - Accent6 15 6" xfId="4511"/>
    <cellStyle name="40% - Accent6 15 7" xfId="4512"/>
    <cellStyle name="40% - Accent6 15 8" xfId="4513"/>
    <cellStyle name="40% - Accent6 15 9" xfId="4514"/>
    <cellStyle name="40% - Accent6 16" xfId="4515"/>
    <cellStyle name="40% - Accent6 16 10" xfId="4516"/>
    <cellStyle name="40% - Accent6 16 11" xfId="4517"/>
    <cellStyle name="40% - Accent6 16 2" xfId="4518"/>
    <cellStyle name="40% - Accent6 16 3" xfId="4519"/>
    <cellStyle name="40% - Accent6 16 4" xfId="4520"/>
    <cellStyle name="40% - Accent6 16 5" xfId="4521"/>
    <cellStyle name="40% - Accent6 16 6" xfId="4522"/>
    <cellStyle name="40% - Accent6 16 7" xfId="4523"/>
    <cellStyle name="40% - Accent6 16 8" xfId="4524"/>
    <cellStyle name="40% - Accent6 16 9" xfId="4525"/>
    <cellStyle name="40% - Accent6 17" xfId="4526"/>
    <cellStyle name="40% - Accent6 17 10" xfId="4527"/>
    <cellStyle name="40% - Accent6 17 11" xfId="4528"/>
    <cellStyle name="40% - Accent6 17 2" xfId="4529"/>
    <cellStyle name="40% - Accent6 17 3" xfId="4530"/>
    <cellStyle name="40% - Accent6 17 4" xfId="4531"/>
    <cellStyle name="40% - Accent6 17 5" xfId="4532"/>
    <cellStyle name="40% - Accent6 17 6" xfId="4533"/>
    <cellStyle name="40% - Accent6 17 7" xfId="4534"/>
    <cellStyle name="40% - Accent6 17 8" xfId="4535"/>
    <cellStyle name="40% - Accent6 17 9" xfId="4536"/>
    <cellStyle name="40% - Accent6 18" xfId="4537"/>
    <cellStyle name="40% - Accent6 18 10" xfId="4538"/>
    <cellStyle name="40% - Accent6 18 11" xfId="4539"/>
    <cellStyle name="40% - Accent6 18 2" xfId="4540"/>
    <cellStyle name="40% - Accent6 18 3" xfId="4541"/>
    <cellStyle name="40% - Accent6 18 4" xfId="4542"/>
    <cellStyle name="40% - Accent6 18 5" xfId="4543"/>
    <cellStyle name="40% - Accent6 18 6" xfId="4544"/>
    <cellStyle name="40% - Accent6 18 7" xfId="4545"/>
    <cellStyle name="40% - Accent6 18 8" xfId="4546"/>
    <cellStyle name="40% - Accent6 18 9" xfId="4547"/>
    <cellStyle name="40% - Accent6 19" xfId="4548"/>
    <cellStyle name="40% - Accent6 19 10" xfId="4549"/>
    <cellStyle name="40% - Accent6 19 11" xfId="4550"/>
    <cellStyle name="40% - Accent6 19 2" xfId="4551"/>
    <cellStyle name="40% - Accent6 19 3" xfId="4552"/>
    <cellStyle name="40% - Accent6 19 4" xfId="4553"/>
    <cellStyle name="40% - Accent6 19 5" xfId="4554"/>
    <cellStyle name="40% - Accent6 19 6" xfId="4555"/>
    <cellStyle name="40% - Accent6 19 7" xfId="4556"/>
    <cellStyle name="40% - Accent6 19 8" xfId="4557"/>
    <cellStyle name="40% - Accent6 19 9" xfId="4558"/>
    <cellStyle name="40% - Accent6 2" xfId="4559"/>
    <cellStyle name="40% - Accent6 2 10" xfId="4560"/>
    <cellStyle name="40% - Accent6 2 11" xfId="4561"/>
    <cellStyle name="40% - Accent6 2 2" xfId="4562"/>
    <cellStyle name="40% - Accent6 2 3" xfId="4563"/>
    <cellStyle name="40% - Accent6 2 4" xfId="4564"/>
    <cellStyle name="40% - Accent6 2 5" xfId="4565"/>
    <cellStyle name="40% - Accent6 2 6" xfId="4566"/>
    <cellStyle name="40% - Accent6 2 7" xfId="4567"/>
    <cellStyle name="40% - Accent6 2 8" xfId="4568"/>
    <cellStyle name="40% - Accent6 2 9" xfId="4569"/>
    <cellStyle name="40% - Accent6 20" xfId="4570"/>
    <cellStyle name="40% - Accent6 20 10" xfId="4571"/>
    <cellStyle name="40% - Accent6 20 11" xfId="4572"/>
    <cellStyle name="40% - Accent6 20 2" xfId="4573"/>
    <cellStyle name="40% - Accent6 20 3" xfId="4574"/>
    <cellStyle name="40% - Accent6 20 4" xfId="4575"/>
    <cellStyle name="40% - Accent6 20 5" xfId="4576"/>
    <cellStyle name="40% - Accent6 20 6" xfId="4577"/>
    <cellStyle name="40% - Accent6 20 7" xfId="4578"/>
    <cellStyle name="40% - Accent6 20 8" xfId="4579"/>
    <cellStyle name="40% - Accent6 20 9" xfId="4580"/>
    <cellStyle name="40% - Accent6 21" xfId="4581"/>
    <cellStyle name="40% - Accent6 21 10" xfId="4582"/>
    <cellStyle name="40% - Accent6 21 11" xfId="4583"/>
    <cellStyle name="40% - Accent6 21 2" xfId="4584"/>
    <cellStyle name="40% - Accent6 21 3" xfId="4585"/>
    <cellStyle name="40% - Accent6 21 4" xfId="4586"/>
    <cellStyle name="40% - Accent6 21 5" xfId="4587"/>
    <cellStyle name="40% - Accent6 21 6" xfId="4588"/>
    <cellStyle name="40% - Accent6 21 7" xfId="4589"/>
    <cellStyle name="40% - Accent6 21 8" xfId="4590"/>
    <cellStyle name="40% - Accent6 21 9" xfId="4591"/>
    <cellStyle name="40% - Accent6 22" xfId="4592"/>
    <cellStyle name="40% - Accent6 22 10" xfId="4593"/>
    <cellStyle name="40% - Accent6 22 11" xfId="4594"/>
    <cellStyle name="40% - Accent6 22 2" xfId="4595"/>
    <cellStyle name="40% - Accent6 22 3" xfId="4596"/>
    <cellStyle name="40% - Accent6 22 4" xfId="4597"/>
    <cellStyle name="40% - Accent6 22 5" xfId="4598"/>
    <cellStyle name="40% - Accent6 22 6" xfId="4599"/>
    <cellStyle name="40% - Accent6 22 7" xfId="4600"/>
    <cellStyle name="40% - Accent6 22 8" xfId="4601"/>
    <cellStyle name="40% - Accent6 22 9" xfId="4602"/>
    <cellStyle name="40% - Accent6 23" xfId="4603"/>
    <cellStyle name="40% - Accent6 23 10" xfId="4604"/>
    <cellStyle name="40% - Accent6 23 11" xfId="4605"/>
    <cellStyle name="40% - Accent6 23 2" xfId="4606"/>
    <cellStyle name="40% - Accent6 23 3" xfId="4607"/>
    <cellStyle name="40% - Accent6 23 4" xfId="4608"/>
    <cellStyle name="40% - Accent6 23 5" xfId="4609"/>
    <cellStyle name="40% - Accent6 23 6" xfId="4610"/>
    <cellStyle name="40% - Accent6 23 7" xfId="4611"/>
    <cellStyle name="40% - Accent6 23 8" xfId="4612"/>
    <cellStyle name="40% - Accent6 23 9" xfId="4613"/>
    <cellStyle name="40% - Accent6 24" xfId="4614"/>
    <cellStyle name="40% - Accent6 24 10" xfId="4615"/>
    <cellStyle name="40% - Accent6 24 11" xfId="4616"/>
    <cellStyle name="40% - Accent6 24 2" xfId="4617"/>
    <cellStyle name="40% - Accent6 24 3" xfId="4618"/>
    <cellStyle name="40% - Accent6 24 4" xfId="4619"/>
    <cellStyle name="40% - Accent6 24 5" xfId="4620"/>
    <cellStyle name="40% - Accent6 24 6" xfId="4621"/>
    <cellStyle name="40% - Accent6 24 7" xfId="4622"/>
    <cellStyle name="40% - Accent6 24 8" xfId="4623"/>
    <cellStyle name="40% - Accent6 24 9" xfId="4624"/>
    <cellStyle name="40% - Accent6 25" xfId="4625"/>
    <cellStyle name="40% - Accent6 25 10" xfId="4626"/>
    <cellStyle name="40% - Accent6 25 11" xfId="4627"/>
    <cellStyle name="40% - Accent6 25 2" xfId="4628"/>
    <cellStyle name="40% - Accent6 25 3" xfId="4629"/>
    <cellStyle name="40% - Accent6 25 4" xfId="4630"/>
    <cellStyle name="40% - Accent6 25 5" xfId="4631"/>
    <cellStyle name="40% - Accent6 25 6" xfId="4632"/>
    <cellStyle name="40% - Accent6 25 7" xfId="4633"/>
    <cellStyle name="40% - Accent6 25 8" xfId="4634"/>
    <cellStyle name="40% - Accent6 25 9" xfId="4635"/>
    <cellStyle name="40% - Accent6 26" xfId="4636"/>
    <cellStyle name="40% - Accent6 26 10" xfId="4637"/>
    <cellStyle name="40% - Accent6 26 11" xfId="4638"/>
    <cellStyle name="40% - Accent6 26 2" xfId="4639"/>
    <cellStyle name="40% - Accent6 26 3" xfId="4640"/>
    <cellStyle name="40% - Accent6 26 4" xfId="4641"/>
    <cellStyle name="40% - Accent6 26 5" xfId="4642"/>
    <cellStyle name="40% - Accent6 26 6" xfId="4643"/>
    <cellStyle name="40% - Accent6 26 7" xfId="4644"/>
    <cellStyle name="40% - Accent6 26 8" xfId="4645"/>
    <cellStyle name="40% - Accent6 26 9" xfId="4646"/>
    <cellStyle name="40% - Accent6 27" xfId="4647"/>
    <cellStyle name="40% - Accent6 27 10" xfId="4648"/>
    <cellStyle name="40% - Accent6 27 11" xfId="4649"/>
    <cellStyle name="40% - Accent6 27 2" xfId="4650"/>
    <cellStyle name="40% - Accent6 27 3" xfId="4651"/>
    <cellStyle name="40% - Accent6 27 4" xfId="4652"/>
    <cellStyle name="40% - Accent6 27 5" xfId="4653"/>
    <cellStyle name="40% - Accent6 27 6" xfId="4654"/>
    <cellStyle name="40% - Accent6 27 7" xfId="4655"/>
    <cellStyle name="40% - Accent6 27 8" xfId="4656"/>
    <cellStyle name="40% - Accent6 27 9" xfId="4657"/>
    <cellStyle name="40% - Accent6 28" xfId="4658"/>
    <cellStyle name="40% - Accent6 28 10" xfId="4659"/>
    <cellStyle name="40% - Accent6 28 11" xfId="4660"/>
    <cellStyle name="40% - Accent6 28 2" xfId="4661"/>
    <cellStyle name="40% - Accent6 28 3" xfId="4662"/>
    <cellStyle name="40% - Accent6 28 4" xfId="4663"/>
    <cellStyle name="40% - Accent6 28 5" xfId="4664"/>
    <cellStyle name="40% - Accent6 28 6" xfId="4665"/>
    <cellStyle name="40% - Accent6 28 7" xfId="4666"/>
    <cellStyle name="40% - Accent6 28 8" xfId="4667"/>
    <cellStyle name="40% - Accent6 28 9" xfId="4668"/>
    <cellStyle name="40% - Accent6 29" xfId="4669"/>
    <cellStyle name="40% - Accent6 29 10" xfId="4670"/>
    <cellStyle name="40% - Accent6 29 11" xfId="4671"/>
    <cellStyle name="40% - Accent6 29 2" xfId="4672"/>
    <cellStyle name="40% - Accent6 29 3" xfId="4673"/>
    <cellStyle name="40% - Accent6 29 4" xfId="4674"/>
    <cellStyle name="40% - Accent6 29 5" xfId="4675"/>
    <cellStyle name="40% - Accent6 29 6" xfId="4676"/>
    <cellStyle name="40% - Accent6 29 7" xfId="4677"/>
    <cellStyle name="40% - Accent6 29 8" xfId="4678"/>
    <cellStyle name="40% - Accent6 29 9" xfId="4679"/>
    <cellStyle name="40% - Accent6 3" xfId="4680"/>
    <cellStyle name="40% - Accent6 3 10" xfId="4681"/>
    <cellStyle name="40% - Accent6 3 11" xfId="4682"/>
    <cellStyle name="40% - Accent6 3 2" xfId="4683"/>
    <cellStyle name="40% - Accent6 3 3" xfId="4684"/>
    <cellStyle name="40% - Accent6 3 4" xfId="4685"/>
    <cellStyle name="40% - Accent6 3 5" xfId="4686"/>
    <cellStyle name="40% - Accent6 3 6" xfId="4687"/>
    <cellStyle name="40% - Accent6 3 7" xfId="4688"/>
    <cellStyle name="40% - Accent6 3 8" xfId="4689"/>
    <cellStyle name="40% - Accent6 3 9" xfId="4690"/>
    <cellStyle name="40% - Accent6 30" xfId="4691"/>
    <cellStyle name="40% - Accent6 30 10" xfId="4692"/>
    <cellStyle name="40% - Accent6 30 11" xfId="4693"/>
    <cellStyle name="40% - Accent6 30 2" xfId="4694"/>
    <cellStyle name="40% - Accent6 30 3" xfId="4695"/>
    <cellStyle name="40% - Accent6 30 4" xfId="4696"/>
    <cellStyle name="40% - Accent6 30 5" xfId="4697"/>
    <cellStyle name="40% - Accent6 30 6" xfId="4698"/>
    <cellStyle name="40% - Accent6 30 7" xfId="4699"/>
    <cellStyle name="40% - Accent6 30 8" xfId="4700"/>
    <cellStyle name="40% - Accent6 30 9" xfId="4701"/>
    <cellStyle name="40% - Accent6 31" xfId="4702"/>
    <cellStyle name="40% - Accent6 31 10" xfId="4703"/>
    <cellStyle name="40% - Accent6 31 11" xfId="4704"/>
    <cellStyle name="40% - Accent6 31 2" xfId="4705"/>
    <cellStyle name="40% - Accent6 31 3" xfId="4706"/>
    <cellStyle name="40% - Accent6 31 4" xfId="4707"/>
    <cellStyle name="40% - Accent6 31 5" xfId="4708"/>
    <cellStyle name="40% - Accent6 31 6" xfId="4709"/>
    <cellStyle name="40% - Accent6 31 7" xfId="4710"/>
    <cellStyle name="40% - Accent6 31 8" xfId="4711"/>
    <cellStyle name="40% - Accent6 31 9" xfId="4712"/>
    <cellStyle name="40% - Accent6 32" xfId="4713"/>
    <cellStyle name="40% - Accent6 32 10" xfId="4714"/>
    <cellStyle name="40% - Accent6 32 11" xfId="4715"/>
    <cellStyle name="40% - Accent6 32 2" xfId="4716"/>
    <cellStyle name="40% - Accent6 32 3" xfId="4717"/>
    <cellStyle name="40% - Accent6 32 4" xfId="4718"/>
    <cellStyle name="40% - Accent6 32 5" xfId="4719"/>
    <cellStyle name="40% - Accent6 32 6" xfId="4720"/>
    <cellStyle name="40% - Accent6 32 7" xfId="4721"/>
    <cellStyle name="40% - Accent6 32 8" xfId="4722"/>
    <cellStyle name="40% - Accent6 32 9" xfId="4723"/>
    <cellStyle name="40% - Accent6 33" xfId="4724"/>
    <cellStyle name="40% - Accent6 33 10" xfId="4725"/>
    <cellStyle name="40% - Accent6 33 11" xfId="4726"/>
    <cellStyle name="40% - Accent6 33 2" xfId="4727"/>
    <cellStyle name="40% - Accent6 33 3" xfId="4728"/>
    <cellStyle name="40% - Accent6 33 4" xfId="4729"/>
    <cellStyle name="40% - Accent6 33 5" xfId="4730"/>
    <cellStyle name="40% - Accent6 33 6" xfId="4731"/>
    <cellStyle name="40% - Accent6 33 7" xfId="4732"/>
    <cellStyle name="40% - Accent6 33 8" xfId="4733"/>
    <cellStyle name="40% - Accent6 33 9" xfId="4734"/>
    <cellStyle name="40% - Accent6 34" xfId="4735"/>
    <cellStyle name="40% - Accent6 34 10" xfId="4736"/>
    <cellStyle name="40% - Accent6 34 11" xfId="4737"/>
    <cellStyle name="40% - Accent6 34 2" xfId="4738"/>
    <cellStyle name="40% - Accent6 34 3" xfId="4739"/>
    <cellStyle name="40% - Accent6 34 4" xfId="4740"/>
    <cellStyle name="40% - Accent6 34 5" xfId="4741"/>
    <cellStyle name="40% - Accent6 34 6" xfId="4742"/>
    <cellStyle name="40% - Accent6 34 7" xfId="4743"/>
    <cellStyle name="40% - Accent6 34 8" xfId="4744"/>
    <cellStyle name="40% - Accent6 34 9" xfId="4745"/>
    <cellStyle name="40% - Accent6 35" xfId="4746"/>
    <cellStyle name="40% - Accent6 35 10" xfId="4747"/>
    <cellStyle name="40% - Accent6 35 11" xfId="4748"/>
    <cellStyle name="40% - Accent6 35 2" xfId="4749"/>
    <cellStyle name="40% - Accent6 35 3" xfId="4750"/>
    <cellStyle name="40% - Accent6 35 4" xfId="4751"/>
    <cellStyle name="40% - Accent6 35 5" xfId="4752"/>
    <cellStyle name="40% - Accent6 35 6" xfId="4753"/>
    <cellStyle name="40% - Accent6 35 7" xfId="4754"/>
    <cellStyle name="40% - Accent6 35 8" xfId="4755"/>
    <cellStyle name="40% - Accent6 35 9" xfId="4756"/>
    <cellStyle name="40% - Accent6 36" xfId="4757"/>
    <cellStyle name="40% - Accent6 36 10" xfId="4758"/>
    <cellStyle name="40% - Accent6 36 11" xfId="4759"/>
    <cellStyle name="40% - Accent6 36 2" xfId="4760"/>
    <cellStyle name="40% - Accent6 36 3" xfId="4761"/>
    <cellStyle name="40% - Accent6 36 4" xfId="4762"/>
    <cellStyle name="40% - Accent6 36 5" xfId="4763"/>
    <cellStyle name="40% - Accent6 36 6" xfId="4764"/>
    <cellStyle name="40% - Accent6 36 7" xfId="4765"/>
    <cellStyle name="40% - Accent6 36 8" xfId="4766"/>
    <cellStyle name="40% - Accent6 36 9" xfId="4767"/>
    <cellStyle name="40% - Accent6 37" xfId="4768"/>
    <cellStyle name="40% - Accent6 37 10" xfId="4769"/>
    <cellStyle name="40% - Accent6 37 11" xfId="4770"/>
    <cellStyle name="40% - Accent6 37 2" xfId="4771"/>
    <cellStyle name="40% - Accent6 37 3" xfId="4772"/>
    <cellStyle name="40% - Accent6 37 4" xfId="4773"/>
    <cellStyle name="40% - Accent6 37 5" xfId="4774"/>
    <cellStyle name="40% - Accent6 37 6" xfId="4775"/>
    <cellStyle name="40% - Accent6 37 7" xfId="4776"/>
    <cellStyle name="40% - Accent6 37 8" xfId="4777"/>
    <cellStyle name="40% - Accent6 37 9" xfId="4778"/>
    <cellStyle name="40% - Accent6 38" xfId="4779"/>
    <cellStyle name="40% - Accent6 39" xfId="4780"/>
    <cellStyle name="40% - Accent6 4" xfId="4781"/>
    <cellStyle name="40% - Accent6 4 10" xfId="4782"/>
    <cellStyle name="40% - Accent6 4 11" xfId="4783"/>
    <cellStyle name="40% - Accent6 4 2" xfId="4784"/>
    <cellStyle name="40% - Accent6 4 3" xfId="4785"/>
    <cellStyle name="40% - Accent6 4 4" xfId="4786"/>
    <cellStyle name="40% - Accent6 4 5" xfId="4787"/>
    <cellStyle name="40% - Accent6 4 6" xfId="4788"/>
    <cellStyle name="40% - Accent6 4 7" xfId="4789"/>
    <cellStyle name="40% - Accent6 4 8" xfId="4790"/>
    <cellStyle name="40% - Accent6 4 9" xfId="4791"/>
    <cellStyle name="40% - Accent6 40" xfId="4792"/>
    <cellStyle name="40% - Accent6 41" xfId="4793"/>
    <cellStyle name="40% - Accent6 42" xfId="4794"/>
    <cellStyle name="40% - Accent6 43" xfId="4795"/>
    <cellStyle name="40% - Accent6 44" xfId="4796"/>
    <cellStyle name="40% - Accent6 5" xfId="4797"/>
    <cellStyle name="40% - Accent6 5 10" xfId="4798"/>
    <cellStyle name="40% - Accent6 5 11" xfId="4799"/>
    <cellStyle name="40% - Accent6 5 2" xfId="4800"/>
    <cellStyle name="40% - Accent6 5 3" xfId="4801"/>
    <cellStyle name="40% - Accent6 5 4" xfId="4802"/>
    <cellStyle name="40% - Accent6 5 5" xfId="4803"/>
    <cellStyle name="40% - Accent6 5 6" xfId="4804"/>
    <cellStyle name="40% - Accent6 5 7" xfId="4805"/>
    <cellStyle name="40% - Accent6 5 8" xfId="4806"/>
    <cellStyle name="40% - Accent6 5 9" xfId="4807"/>
    <cellStyle name="40% - Accent6 6" xfId="4808"/>
    <cellStyle name="40% - Accent6 6 10" xfId="4809"/>
    <cellStyle name="40% - Accent6 6 11" xfId="4810"/>
    <cellStyle name="40% - Accent6 6 2" xfId="4811"/>
    <cellStyle name="40% - Accent6 6 3" xfId="4812"/>
    <cellStyle name="40% - Accent6 6 4" xfId="4813"/>
    <cellStyle name="40% - Accent6 6 5" xfId="4814"/>
    <cellStyle name="40% - Accent6 6 6" xfId="4815"/>
    <cellStyle name="40% - Accent6 6 7" xfId="4816"/>
    <cellStyle name="40% - Accent6 6 8" xfId="4817"/>
    <cellStyle name="40% - Accent6 6 9" xfId="4818"/>
    <cellStyle name="40% - Accent6 7" xfId="4819"/>
    <cellStyle name="40% - Accent6 7 10" xfId="4820"/>
    <cellStyle name="40% - Accent6 7 11" xfId="4821"/>
    <cellStyle name="40% - Accent6 7 2" xfId="4822"/>
    <cellStyle name="40% - Accent6 7 3" xfId="4823"/>
    <cellStyle name="40% - Accent6 7 4" xfId="4824"/>
    <cellStyle name="40% - Accent6 7 5" xfId="4825"/>
    <cellStyle name="40% - Accent6 7 6" xfId="4826"/>
    <cellStyle name="40% - Accent6 7 7" xfId="4827"/>
    <cellStyle name="40% - Accent6 7 8" xfId="4828"/>
    <cellStyle name="40% - Accent6 7 9" xfId="4829"/>
    <cellStyle name="40% - Accent6 8" xfId="4830"/>
    <cellStyle name="40% - Accent6 8 10" xfId="4831"/>
    <cellStyle name="40% - Accent6 8 11" xfId="4832"/>
    <cellStyle name="40% - Accent6 8 2" xfId="4833"/>
    <cellStyle name="40% - Accent6 8 3" xfId="4834"/>
    <cellStyle name="40% - Accent6 8 4" xfId="4835"/>
    <cellStyle name="40% - Accent6 8 5" xfId="4836"/>
    <cellStyle name="40% - Accent6 8 6" xfId="4837"/>
    <cellStyle name="40% - Accent6 8 7" xfId="4838"/>
    <cellStyle name="40% - Accent6 8 8" xfId="4839"/>
    <cellStyle name="40% - Accent6 8 9" xfId="4840"/>
    <cellStyle name="40% - Accent6 9" xfId="4841"/>
    <cellStyle name="40% - Accent6 9 10" xfId="4842"/>
    <cellStyle name="40% - Accent6 9 11" xfId="4843"/>
    <cellStyle name="40% - Accent6 9 2" xfId="4844"/>
    <cellStyle name="40% - Accent6 9 3" xfId="4845"/>
    <cellStyle name="40% - Accent6 9 4" xfId="4846"/>
    <cellStyle name="40% - Accent6 9 5" xfId="4847"/>
    <cellStyle name="40% - Accent6 9 6" xfId="4848"/>
    <cellStyle name="40% - Accent6 9 7" xfId="4849"/>
    <cellStyle name="40% - Accent6 9 8" xfId="4850"/>
    <cellStyle name="40% - Accent6 9 9" xfId="4851"/>
    <cellStyle name="60% - Accent1" xfId="6587" builtinId="32" customBuiltin="1"/>
    <cellStyle name="60% - Accent2" xfId="6591" builtinId="36" customBuiltin="1"/>
    <cellStyle name="60% - Accent3" xfId="6595" builtinId="40" customBuiltin="1"/>
    <cellStyle name="60% - Accent4" xfId="6599" builtinId="44" customBuiltin="1"/>
    <cellStyle name="60% - Accent5" xfId="6603" builtinId="48" customBuiltin="1"/>
    <cellStyle name="60% - Accent6" xfId="6607" builtinId="52" customBuiltin="1"/>
    <cellStyle name="Accent1" xfId="6584" builtinId="29" customBuiltin="1"/>
    <cellStyle name="Accent2" xfId="6588" builtinId="33" customBuiltin="1"/>
    <cellStyle name="Accent3" xfId="6592" builtinId="37" customBuiltin="1"/>
    <cellStyle name="Accent4" xfId="6596" builtinId="41" customBuiltin="1"/>
    <cellStyle name="Accent5" xfId="6600" builtinId="45" customBuiltin="1"/>
    <cellStyle name="Accent6" xfId="6604" builtinId="49" customBuiltin="1"/>
    <cellStyle name="amount" xfId="4852"/>
    <cellStyle name="Bad" xfId="6574" builtinId="27" customBuiltin="1"/>
    <cellStyle name="Bad 2" xfId="4853"/>
    <cellStyle name="Blank" xfId="4854"/>
    <cellStyle name="Body text" xfId="4855"/>
    <cellStyle name="Body: normal cell" xfId="6538"/>
    <cellStyle name="Calculation" xfId="6578" builtinId="22" customBuiltin="1"/>
    <cellStyle name="Check Cell" xfId="6580" builtinId="23" customBuiltin="1"/>
    <cellStyle name="Comma" xfId="1" builtinId="3"/>
    <cellStyle name="Comma 10" xfId="4856"/>
    <cellStyle name="Comma 11" xfId="4857"/>
    <cellStyle name="Comma 11 2" xfId="4858"/>
    <cellStyle name="Comma 11 3" xfId="4859"/>
    <cellStyle name="Comma 11 4" xfId="4860"/>
    <cellStyle name="Comma 12" xfId="4861"/>
    <cellStyle name="Comma 13" xfId="4862"/>
    <cellStyle name="Comma 14" xfId="4863"/>
    <cellStyle name="Comma 15" xfId="4864"/>
    <cellStyle name="Comma 16" xfId="4865"/>
    <cellStyle name="Comma 17" xfId="4866"/>
    <cellStyle name="Comma 18" xfId="4867"/>
    <cellStyle name="Comma 19" xfId="4868"/>
    <cellStyle name="Comma 2" xfId="5"/>
    <cellStyle name="Comma 2 10" xfId="4869"/>
    <cellStyle name="Comma 2 11" xfId="6626"/>
    <cellStyle name="Comma 2 2" xfId="4870"/>
    <cellStyle name="Comma 2 2 10" xfId="4871"/>
    <cellStyle name="Comma 2 2 11" xfId="4872"/>
    <cellStyle name="Comma 2 2 12" xfId="4873"/>
    <cellStyle name="Comma 2 2 13" xfId="6539"/>
    <cellStyle name="Comma 2 2 14" xfId="6609"/>
    <cellStyle name="Comma 2 2 15" xfId="6645"/>
    <cellStyle name="Comma 2 2 2" xfId="4874"/>
    <cellStyle name="Comma 2 2 2 2" xfId="6683"/>
    <cellStyle name="Comma 2 2 3" xfId="4875"/>
    <cellStyle name="Comma 2 2 3 2" xfId="6662"/>
    <cellStyle name="Comma 2 2 4" xfId="4876"/>
    <cellStyle name="Comma 2 2 5" xfId="4877"/>
    <cellStyle name="Comma 2 2 6" xfId="4878"/>
    <cellStyle name="Comma 2 2 7" xfId="4879"/>
    <cellStyle name="Comma 2 2 8" xfId="4880"/>
    <cellStyle name="Comma 2 2 9" xfId="4881"/>
    <cellStyle name="Comma 2 3" xfId="4882"/>
    <cellStyle name="Comma 2 3 10" xfId="4883"/>
    <cellStyle name="Comma 2 3 11" xfId="4884"/>
    <cellStyle name="Comma 2 3 12" xfId="4885"/>
    <cellStyle name="Comma 2 3 13" xfId="4886"/>
    <cellStyle name="Comma 2 3 14" xfId="4887"/>
    <cellStyle name="Comma 2 3 15" xfId="4888"/>
    <cellStyle name="Comma 2 3 16" xfId="4889"/>
    <cellStyle name="Comma 2 3 17" xfId="4890"/>
    <cellStyle name="Comma 2 3 18" xfId="4891"/>
    <cellStyle name="Comma 2 3 19" xfId="4892"/>
    <cellStyle name="Comma 2 3 2" xfId="4893"/>
    <cellStyle name="Comma 2 3 2 2" xfId="6676"/>
    <cellStyle name="Comma 2 3 20" xfId="6637"/>
    <cellStyle name="Comma 2 3 3" xfId="4894"/>
    <cellStyle name="Comma 2 3 4" xfId="4895"/>
    <cellStyle name="Comma 2 3 5" xfId="4896"/>
    <cellStyle name="Comma 2 3 6" xfId="4897"/>
    <cellStyle name="Comma 2 3 7" xfId="4898"/>
    <cellStyle name="Comma 2 3 8" xfId="4899"/>
    <cellStyle name="Comma 2 3 9" xfId="4900"/>
    <cellStyle name="Comma 2 4" xfId="4901"/>
    <cellStyle name="Comma 2 4 10" xfId="4902"/>
    <cellStyle name="Comma 2 4 11" xfId="4903"/>
    <cellStyle name="Comma 2 4 12" xfId="6669"/>
    <cellStyle name="Comma 2 4 2" xfId="4904"/>
    <cellStyle name="Comma 2 4 3" xfId="4905"/>
    <cellStyle name="Comma 2 4 4" xfId="4906"/>
    <cellStyle name="Comma 2 4 5" xfId="4907"/>
    <cellStyle name="Comma 2 4 6" xfId="4908"/>
    <cellStyle name="Comma 2 4 7" xfId="4909"/>
    <cellStyle name="Comma 2 4 8" xfId="4910"/>
    <cellStyle name="Comma 2 4 9" xfId="4911"/>
    <cellStyle name="Comma 2 5" xfId="4912"/>
    <cellStyle name="Comma 2 5 10" xfId="4913"/>
    <cellStyle name="Comma 2 5 11" xfId="4914"/>
    <cellStyle name="Comma 2 5 12" xfId="6655"/>
    <cellStyle name="Comma 2 5 2" xfId="4915"/>
    <cellStyle name="Comma 2 5 3" xfId="4916"/>
    <cellStyle name="Comma 2 5 4" xfId="4917"/>
    <cellStyle name="Comma 2 5 5" xfId="4918"/>
    <cellStyle name="Comma 2 5 6" xfId="4919"/>
    <cellStyle name="Comma 2 5 7" xfId="4920"/>
    <cellStyle name="Comma 2 5 8" xfId="4921"/>
    <cellStyle name="Comma 2 5 9" xfId="4922"/>
    <cellStyle name="Comma 2 6" xfId="4923"/>
    <cellStyle name="Comma 2 7" xfId="4924"/>
    <cellStyle name="Comma 2 8" xfId="4925"/>
    <cellStyle name="Comma 2 9" xfId="4926"/>
    <cellStyle name="Comma 20" xfId="4927"/>
    <cellStyle name="Comma 21" xfId="4928"/>
    <cellStyle name="Comma 22" xfId="6532"/>
    <cellStyle name="Comma 23" xfId="4929"/>
    <cellStyle name="Comma 24" xfId="6566"/>
    <cellStyle name="Comma 25" xfId="6616"/>
    <cellStyle name="Comma 26" xfId="6623"/>
    <cellStyle name="Comma 3" xfId="14"/>
    <cellStyle name="Comma 3 2" xfId="4930"/>
    <cellStyle name="Comma 3 3" xfId="6540"/>
    <cellStyle name="Comma 3 4" xfId="6610"/>
    <cellStyle name="Comma 4" xfId="4931"/>
    <cellStyle name="Comma 4 2" xfId="4932"/>
    <cellStyle name="Comma 4 3" xfId="6563"/>
    <cellStyle name="Comma 4 4" xfId="6613"/>
    <cellStyle name="Comma 5" xfId="4933"/>
    <cellStyle name="Comma 5 10" xfId="4934"/>
    <cellStyle name="Comma 5 11" xfId="4935"/>
    <cellStyle name="Comma 5 12" xfId="4936"/>
    <cellStyle name="Comma 5 13" xfId="4937"/>
    <cellStyle name="Comma 5 14" xfId="4938"/>
    <cellStyle name="Comma 5 15" xfId="4939"/>
    <cellStyle name="Comma 5 2" xfId="4940"/>
    <cellStyle name="Comma 5 3" xfId="4941"/>
    <cellStyle name="Comma 5 4" xfId="4942"/>
    <cellStyle name="Comma 5 5" xfId="4943"/>
    <cellStyle name="Comma 5 6" xfId="4944"/>
    <cellStyle name="Comma 5 7" xfId="4945"/>
    <cellStyle name="Comma 5 8" xfId="4946"/>
    <cellStyle name="Comma 5 9" xfId="4947"/>
    <cellStyle name="Comma 6" xfId="4948"/>
    <cellStyle name="Comma 7" xfId="4949"/>
    <cellStyle name="Comma 8" xfId="4950"/>
    <cellStyle name="Comma 9" xfId="4951"/>
    <cellStyle name="Comma0" xfId="6"/>
    <cellStyle name="Currency 2" xfId="7"/>
    <cellStyle name="Currency 2 2" xfId="15"/>
    <cellStyle name="Currency 2 3" xfId="6564"/>
    <cellStyle name="Currency 2 4" xfId="6614"/>
    <cellStyle name="Currency 2 5" xfId="6688"/>
    <cellStyle name="Currency 3" xfId="4952"/>
    <cellStyle name="Currency 4" xfId="6652"/>
    <cellStyle name="Currency0" xfId="8"/>
    <cellStyle name="DarkBlueOutline" xfId="4953"/>
    <cellStyle name="DarkBlueOutlineYellow" xfId="4954"/>
    <cellStyle name="Date" xfId="9"/>
    <cellStyle name="Dezimal [0]_Compiling Utility Macros" xfId="4955"/>
    <cellStyle name="Dezimal_Compiling Utility Macros" xfId="4956"/>
    <cellStyle name="Explanatory Text" xfId="6582" builtinId="53" customBuiltin="1"/>
    <cellStyle name="Fixed" xfId="10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 2" xfId="6620"/>
    <cellStyle name="Font: Calibri, 9pt regular" xfId="6541"/>
    <cellStyle name="Footnotes: all except top row" xfId="6542"/>
    <cellStyle name="Footnotes: top row" xfId="6543"/>
    <cellStyle name="Good" xfId="6573" builtinId="26" customBuiltin="1"/>
    <cellStyle name="GRAY" xfId="4957"/>
    <cellStyle name="Gross Margin" xfId="4958"/>
    <cellStyle name="header" xfId="4959"/>
    <cellStyle name="Header Total" xfId="4960"/>
    <cellStyle name="Header: bottom row" xfId="6544"/>
    <cellStyle name="Header: top rows" xfId="6545"/>
    <cellStyle name="Header1" xfId="4961"/>
    <cellStyle name="Header2" xfId="4962"/>
    <cellStyle name="Header3" xfId="4963"/>
    <cellStyle name="Heading 1" xfId="6569" builtinId="16" customBuiltin="1"/>
    <cellStyle name="Heading 2" xfId="6570" builtinId="17" customBuiltin="1"/>
    <cellStyle name="Heading 3" xfId="6571" builtinId="18" customBuiltin="1"/>
    <cellStyle name="Heading 4" xfId="6572" builtinId="19" customBuilti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/>
    <cellStyle name="Hyperlink 2" xfId="4964"/>
    <cellStyle name="Hyperlink 2 2" xfId="6546"/>
    <cellStyle name="Hyperlink 3" xfId="6621"/>
    <cellStyle name="Input" xfId="6576" builtinId="20" customBuiltin="1"/>
    <cellStyle name="Level 2 Total" xfId="4965"/>
    <cellStyle name="Linked Cell" xfId="6579" builtinId="24" customBuiltin="1"/>
    <cellStyle name="Major Total" xfId="4966"/>
    <cellStyle name="Manual Input" xfId="4967"/>
    <cellStyle name="Manual Input (blank)" xfId="4968"/>
    <cellStyle name="Manual Input (default value)" xfId="4969"/>
    <cellStyle name="Neutral" xfId="6575" builtinId="28" customBuiltin="1"/>
    <cellStyle name="NonPrint_TemTitle" xfId="4970"/>
    <cellStyle name="Normal" xfId="0" builtinId="0"/>
    <cellStyle name="Normal 10" xfId="4971"/>
    <cellStyle name="Normal 10 10" xfId="4972"/>
    <cellStyle name="Normal 10 11" xfId="4973"/>
    <cellStyle name="Normal 10 2" xfId="4974"/>
    <cellStyle name="Normal 10 3" xfId="4975"/>
    <cellStyle name="Normal 10 4" xfId="4976"/>
    <cellStyle name="Normal 10 5" xfId="4977"/>
    <cellStyle name="Normal 10 6" xfId="4978"/>
    <cellStyle name="Normal 10 7" xfId="4979"/>
    <cellStyle name="Normal 10 8" xfId="4980"/>
    <cellStyle name="Normal 10 9" xfId="4981"/>
    <cellStyle name="Normal 11" xfId="4982"/>
    <cellStyle name="Normal 11 10" xfId="4983"/>
    <cellStyle name="Normal 11 11" xfId="4984"/>
    <cellStyle name="Normal 11 2" xfId="4985"/>
    <cellStyle name="Normal 11 3" xfId="4986"/>
    <cellStyle name="Normal 11 4" xfId="4987"/>
    <cellStyle name="Normal 11 5" xfId="4988"/>
    <cellStyle name="Normal 11 6" xfId="4989"/>
    <cellStyle name="Normal 11 7" xfId="4990"/>
    <cellStyle name="Normal 11 8" xfId="4991"/>
    <cellStyle name="Normal 11 9" xfId="4992"/>
    <cellStyle name="Normal 12" xfId="4993"/>
    <cellStyle name="Normal 12 10" xfId="4994"/>
    <cellStyle name="Normal 12 11" xfId="4995"/>
    <cellStyle name="Normal 12 2" xfId="4996"/>
    <cellStyle name="Normal 12 3" xfId="4997"/>
    <cellStyle name="Normal 12 4" xfId="4998"/>
    <cellStyle name="Normal 12 5" xfId="4999"/>
    <cellStyle name="Normal 12 6" xfId="5000"/>
    <cellStyle name="Normal 12 7" xfId="5001"/>
    <cellStyle name="Normal 12 8" xfId="5002"/>
    <cellStyle name="Normal 12 9" xfId="5003"/>
    <cellStyle name="Normal 13" xfId="5004"/>
    <cellStyle name="Normal 13 10" xfId="5005"/>
    <cellStyle name="Normal 13 11" xfId="5006"/>
    <cellStyle name="Normal 13 2" xfId="5007"/>
    <cellStyle name="Normal 13 3" xfId="5008"/>
    <cellStyle name="Normal 13 4" xfId="5009"/>
    <cellStyle name="Normal 13 5" xfId="5010"/>
    <cellStyle name="Normal 13 6" xfId="5011"/>
    <cellStyle name="Normal 13 7" xfId="5012"/>
    <cellStyle name="Normal 13 8" xfId="5013"/>
    <cellStyle name="Normal 13 9" xfId="5014"/>
    <cellStyle name="Normal 14" xfId="5015"/>
    <cellStyle name="Normal 14 10" xfId="5016"/>
    <cellStyle name="Normal 14 11" xfId="5017"/>
    <cellStyle name="Normal 14 2" xfId="5018"/>
    <cellStyle name="Normal 14 3" xfId="5019"/>
    <cellStyle name="Normal 14 4" xfId="5020"/>
    <cellStyle name="Normal 14 5" xfId="5021"/>
    <cellStyle name="Normal 14 6" xfId="5022"/>
    <cellStyle name="Normal 14 7" xfId="5023"/>
    <cellStyle name="Normal 14 8" xfId="5024"/>
    <cellStyle name="Normal 14 9" xfId="5025"/>
    <cellStyle name="Normal 15" xfId="5026"/>
    <cellStyle name="Normal 15 10" xfId="5027"/>
    <cellStyle name="Normal 15 11" xfId="5028"/>
    <cellStyle name="Normal 15 2" xfId="5029"/>
    <cellStyle name="Normal 15 3" xfId="5030"/>
    <cellStyle name="Normal 15 4" xfId="5031"/>
    <cellStyle name="Normal 15 5" xfId="5032"/>
    <cellStyle name="Normal 15 6" xfId="5033"/>
    <cellStyle name="Normal 15 7" xfId="5034"/>
    <cellStyle name="Normal 15 8" xfId="5035"/>
    <cellStyle name="Normal 15 9" xfId="5036"/>
    <cellStyle name="Normal 16" xfId="5037"/>
    <cellStyle name="Normal 16 10" xfId="5038"/>
    <cellStyle name="Normal 16 11" xfId="5039"/>
    <cellStyle name="Normal 16 2" xfId="5040"/>
    <cellStyle name="Normal 16 3" xfId="5041"/>
    <cellStyle name="Normal 16 4" xfId="5042"/>
    <cellStyle name="Normal 16 5" xfId="5043"/>
    <cellStyle name="Normal 16 6" xfId="5044"/>
    <cellStyle name="Normal 16 7" xfId="5045"/>
    <cellStyle name="Normal 16 8" xfId="5046"/>
    <cellStyle name="Normal 16 9" xfId="5047"/>
    <cellStyle name="Normal 17" xfId="5048"/>
    <cellStyle name="Normal 17 10" xfId="5049"/>
    <cellStyle name="Normal 17 11" xfId="5050"/>
    <cellStyle name="Normal 17 2" xfId="5051"/>
    <cellStyle name="Normal 17 3" xfId="5052"/>
    <cellStyle name="Normal 17 4" xfId="5053"/>
    <cellStyle name="Normal 17 5" xfId="5054"/>
    <cellStyle name="Normal 17 6" xfId="5055"/>
    <cellStyle name="Normal 17 7" xfId="5056"/>
    <cellStyle name="Normal 17 8" xfId="5057"/>
    <cellStyle name="Normal 17 9" xfId="5058"/>
    <cellStyle name="Normal 18" xfId="5059"/>
    <cellStyle name="Normal 18 10" xfId="5060"/>
    <cellStyle name="Normal 18 11" xfId="5061"/>
    <cellStyle name="Normal 18 2" xfId="5062"/>
    <cellStyle name="Normal 18 3" xfId="5063"/>
    <cellStyle name="Normal 18 4" xfId="5064"/>
    <cellStyle name="Normal 18 5" xfId="5065"/>
    <cellStyle name="Normal 18 6" xfId="5066"/>
    <cellStyle name="Normal 18 7" xfId="5067"/>
    <cellStyle name="Normal 18 8" xfId="5068"/>
    <cellStyle name="Normal 18 9" xfId="5069"/>
    <cellStyle name="Normal 19" xfId="5070"/>
    <cellStyle name="Normal 19 10" xfId="5071"/>
    <cellStyle name="Normal 19 11" xfId="5072"/>
    <cellStyle name="Normal 19 2" xfId="5073"/>
    <cellStyle name="Normal 19 3" xfId="5074"/>
    <cellStyle name="Normal 19 4" xfId="5075"/>
    <cellStyle name="Normal 19 5" xfId="5076"/>
    <cellStyle name="Normal 19 6" xfId="5077"/>
    <cellStyle name="Normal 19 7" xfId="5078"/>
    <cellStyle name="Normal 19 8" xfId="5079"/>
    <cellStyle name="Normal 19 9" xfId="5080"/>
    <cellStyle name="Normal 2" xfId="3"/>
    <cellStyle name="Normal 2 10" xfId="5081"/>
    <cellStyle name="Normal 2 11" xfId="5082"/>
    <cellStyle name="Normal 2 12" xfId="5083"/>
    <cellStyle name="Normal 2 13" xfId="6632"/>
    <cellStyle name="Normal 2 14" xfId="6625"/>
    <cellStyle name="Normal 2 2" xfId="4"/>
    <cellStyle name="Normal 2 2 10" xfId="5084"/>
    <cellStyle name="Normal 2 2 11" xfId="5085"/>
    <cellStyle name="Normal 2 2 12" xfId="6533"/>
    <cellStyle name="Normal 2 2 13" xfId="6547"/>
    <cellStyle name="Normal 2 2 14" xfId="6644"/>
    <cellStyle name="Normal 2 2 2" xfId="13"/>
    <cellStyle name="Normal 2 2 2 2" xfId="6682"/>
    <cellStyle name="Normal 2 2 3" xfId="5086"/>
    <cellStyle name="Normal 2 2 3 2" xfId="6661"/>
    <cellStyle name="Normal 2 2 4" xfId="5087"/>
    <cellStyle name="Normal 2 2 5" xfId="5088"/>
    <cellStyle name="Normal 2 2 6" xfId="5089"/>
    <cellStyle name="Normal 2 2 7" xfId="5090"/>
    <cellStyle name="Normal 2 2 8" xfId="5091"/>
    <cellStyle name="Normal 2 2 9" xfId="5092"/>
    <cellStyle name="Normal 2 3" xfId="5093"/>
    <cellStyle name="Normal 2 3 2" xfId="5094"/>
    <cellStyle name="Normal 2 3 2 2" xfId="6675"/>
    <cellStyle name="Normal 2 3 3" xfId="6636"/>
    <cellStyle name="Normal 2 4" xfId="5095"/>
    <cellStyle name="Normal 2 4 2" xfId="6668"/>
    <cellStyle name="Normal 2 5" xfId="5096"/>
    <cellStyle name="Normal 2 5 10" xfId="5097"/>
    <cellStyle name="Normal 2 5 11" xfId="5098"/>
    <cellStyle name="Normal 2 5 12" xfId="6654"/>
    <cellStyle name="Normal 2 5 2" xfId="5099"/>
    <cellStyle name="Normal 2 5 3" xfId="5100"/>
    <cellStyle name="Normal 2 5 4" xfId="5101"/>
    <cellStyle name="Normal 2 5 5" xfId="5102"/>
    <cellStyle name="Normal 2 5 6" xfId="5103"/>
    <cellStyle name="Normal 2 5 7" xfId="5104"/>
    <cellStyle name="Normal 2 5 8" xfId="5105"/>
    <cellStyle name="Normal 2 5 9" xfId="5106"/>
    <cellStyle name="Normal 2 6" xfId="5107"/>
    <cellStyle name="Normal 2 6 10" xfId="5108"/>
    <cellStyle name="Normal 2 6 11" xfId="5109"/>
    <cellStyle name="Normal 2 6 2" xfId="5110"/>
    <cellStyle name="Normal 2 6 3" xfId="5111"/>
    <cellStyle name="Normal 2 6 4" xfId="5112"/>
    <cellStyle name="Normal 2 6 5" xfId="5113"/>
    <cellStyle name="Normal 2 6 6" xfId="5114"/>
    <cellStyle name="Normal 2 6 7" xfId="5115"/>
    <cellStyle name="Normal 2 6 8" xfId="5116"/>
    <cellStyle name="Normal 2 6 9" xfId="5117"/>
    <cellStyle name="Normal 2 7" xfId="5118"/>
    <cellStyle name="Normal 2 8" xfId="5119"/>
    <cellStyle name="Normal 2 9" xfId="5120"/>
    <cellStyle name="Normal 20" xfId="5121"/>
    <cellStyle name="Normal 20 10" xfId="5122"/>
    <cellStyle name="Normal 20 11" xfId="5123"/>
    <cellStyle name="Normal 20 2" xfId="5124"/>
    <cellStyle name="Normal 20 3" xfId="5125"/>
    <cellStyle name="Normal 20 4" xfId="5126"/>
    <cellStyle name="Normal 20 5" xfId="5127"/>
    <cellStyle name="Normal 20 6" xfId="5128"/>
    <cellStyle name="Normal 20 7" xfId="5129"/>
    <cellStyle name="Normal 20 8" xfId="5130"/>
    <cellStyle name="Normal 20 9" xfId="5131"/>
    <cellStyle name="Normal 21" xfId="5132"/>
    <cellStyle name="Normal 21 10" xfId="5133"/>
    <cellStyle name="Normal 21 11" xfId="5134"/>
    <cellStyle name="Normal 21 2" xfId="5135"/>
    <cellStyle name="Normal 21 3" xfId="5136"/>
    <cellStyle name="Normal 21 4" xfId="5137"/>
    <cellStyle name="Normal 21 5" xfId="5138"/>
    <cellStyle name="Normal 21 6" xfId="5139"/>
    <cellStyle name="Normal 21 7" xfId="5140"/>
    <cellStyle name="Normal 21 8" xfId="5141"/>
    <cellStyle name="Normal 21 9" xfId="5142"/>
    <cellStyle name="Normal 22" xfId="5143"/>
    <cellStyle name="Normal 22 10" xfId="5144"/>
    <cellStyle name="Normal 22 11" xfId="5145"/>
    <cellStyle name="Normal 22 2" xfId="5146"/>
    <cellStyle name="Normal 22 3" xfId="5147"/>
    <cellStyle name="Normal 22 4" xfId="5148"/>
    <cellStyle name="Normal 22 5" xfId="5149"/>
    <cellStyle name="Normal 22 6" xfId="5150"/>
    <cellStyle name="Normal 22 7" xfId="5151"/>
    <cellStyle name="Normal 22 8" xfId="5152"/>
    <cellStyle name="Normal 22 9" xfId="5153"/>
    <cellStyle name="Normal 23" xfId="5154"/>
    <cellStyle name="Normal 23 10" xfId="5155"/>
    <cellStyle name="Normal 23 11" xfId="5156"/>
    <cellStyle name="Normal 23 12" xfId="6548"/>
    <cellStyle name="Normal 23 2" xfId="5157"/>
    <cellStyle name="Normal 23 3" xfId="5158"/>
    <cellStyle name="Normal 23 4" xfId="5159"/>
    <cellStyle name="Normal 23 5" xfId="5160"/>
    <cellStyle name="Normal 23 6" xfId="5161"/>
    <cellStyle name="Normal 23 7" xfId="5162"/>
    <cellStyle name="Normal 23 8" xfId="5163"/>
    <cellStyle name="Normal 23 9" xfId="5164"/>
    <cellStyle name="Normal 24" xfId="5165"/>
    <cellStyle name="Normal 24 10" xfId="5166"/>
    <cellStyle name="Normal 24 11" xfId="5167"/>
    <cellStyle name="Normal 24 12" xfId="6549"/>
    <cellStyle name="Normal 24 2" xfId="5168"/>
    <cellStyle name="Normal 24 3" xfId="5169"/>
    <cellStyle name="Normal 24 4" xfId="5170"/>
    <cellStyle name="Normal 24 5" xfId="5171"/>
    <cellStyle name="Normal 24 6" xfId="5172"/>
    <cellStyle name="Normal 24 7" xfId="5173"/>
    <cellStyle name="Normal 24 8" xfId="5174"/>
    <cellStyle name="Normal 24 9" xfId="5175"/>
    <cellStyle name="Normal 25" xfId="5176"/>
    <cellStyle name="Normal 25 10" xfId="5177"/>
    <cellStyle name="Normal 25 11" xfId="5178"/>
    <cellStyle name="Normal 25 12" xfId="5179"/>
    <cellStyle name="Normal 25 13" xfId="5180"/>
    <cellStyle name="Normal 25 14" xfId="5181"/>
    <cellStyle name="Normal 25 15" xfId="5182"/>
    <cellStyle name="Normal 25 2" xfId="5183"/>
    <cellStyle name="Normal 25 3" xfId="5184"/>
    <cellStyle name="Normal 25 4" xfId="5185"/>
    <cellStyle name="Normal 25 5" xfId="5186"/>
    <cellStyle name="Normal 25 6" xfId="5187"/>
    <cellStyle name="Normal 25 7" xfId="5188"/>
    <cellStyle name="Normal 25 8" xfId="5189"/>
    <cellStyle name="Normal 25 9" xfId="5190"/>
    <cellStyle name="Normal 26" xfId="5191"/>
    <cellStyle name="Normal 26 10" xfId="5192"/>
    <cellStyle name="Normal 26 11" xfId="5193"/>
    <cellStyle name="Normal 26 12" xfId="5194"/>
    <cellStyle name="Normal 26 13" xfId="5195"/>
    <cellStyle name="Normal 26 14" xfId="5196"/>
    <cellStyle name="Normal 26 15" xfId="5197"/>
    <cellStyle name="Normal 26 2" xfId="5198"/>
    <cellStyle name="Normal 26 3" xfId="5199"/>
    <cellStyle name="Normal 26 4" xfId="5200"/>
    <cellStyle name="Normal 26 5" xfId="5201"/>
    <cellStyle name="Normal 26 6" xfId="5202"/>
    <cellStyle name="Normal 26 7" xfId="5203"/>
    <cellStyle name="Normal 26 8" xfId="5204"/>
    <cellStyle name="Normal 26 9" xfId="5205"/>
    <cellStyle name="Normal 27" xfId="5206"/>
    <cellStyle name="Normal 27 10" xfId="5207"/>
    <cellStyle name="Normal 27 11" xfId="5208"/>
    <cellStyle name="Normal 27 12" xfId="5209"/>
    <cellStyle name="Normal 27 13" xfId="5210"/>
    <cellStyle name="Normal 27 14" xfId="5211"/>
    <cellStyle name="Normal 27 15" xfId="5212"/>
    <cellStyle name="Normal 27 2" xfId="5213"/>
    <cellStyle name="Normal 27 3" xfId="5214"/>
    <cellStyle name="Normal 27 4" xfId="5215"/>
    <cellStyle name="Normal 27 5" xfId="5216"/>
    <cellStyle name="Normal 27 6" xfId="5217"/>
    <cellStyle name="Normal 27 7" xfId="5218"/>
    <cellStyle name="Normal 27 8" xfId="5219"/>
    <cellStyle name="Normal 27 9" xfId="5220"/>
    <cellStyle name="Normal 28" xfId="5221"/>
    <cellStyle name="Normal 28 10" xfId="5222"/>
    <cellStyle name="Normal 28 11" xfId="5223"/>
    <cellStyle name="Normal 28 12" xfId="5224"/>
    <cellStyle name="Normal 28 13" xfId="5225"/>
    <cellStyle name="Normal 28 14" xfId="5226"/>
    <cellStyle name="Normal 28 15" xfId="5227"/>
    <cellStyle name="Normal 28 2" xfId="5228"/>
    <cellStyle name="Normal 28 3" xfId="5229"/>
    <cellStyle name="Normal 28 4" xfId="5230"/>
    <cellStyle name="Normal 28 5" xfId="5231"/>
    <cellStyle name="Normal 28 6" xfId="5232"/>
    <cellStyle name="Normal 28 7" xfId="5233"/>
    <cellStyle name="Normal 28 8" xfId="5234"/>
    <cellStyle name="Normal 28 9" xfId="5235"/>
    <cellStyle name="Normal 29" xfId="5236"/>
    <cellStyle name="Normal 29 10" xfId="5237"/>
    <cellStyle name="Normal 29 11" xfId="5238"/>
    <cellStyle name="Normal 29 12" xfId="5239"/>
    <cellStyle name="Normal 29 13" xfId="5240"/>
    <cellStyle name="Normal 29 14" xfId="5241"/>
    <cellStyle name="Normal 29 15" xfId="5242"/>
    <cellStyle name="Normal 29 2" xfId="5243"/>
    <cellStyle name="Normal 29 3" xfId="5244"/>
    <cellStyle name="Normal 29 4" xfId="5245"/>
    <cellStyle name="Normal 29 5" xfId="5246"/>
    <cellStyle name="Normal 29 6" xfId="5247"/>
    <cellStyle name="Normal 29 7" xfId="5248"/>
    <cellStyle name="Normal 29 8" xfId="5249"/>
    <cellStyle name="Normal 29 9" xfId="5250"/>
    <cellStyle name="Normal 3" xfId="11"/>
    <cellStyle name="Normal 3 10" xfId="5251"/>
    <cellStyle name="Normal 3 10 2" xfId="5252"/>
    <cellStyle name="Normal 3 10 3" xfId="5253"/>
    <cellStyle name="Normal 3 10 4" xfId="5254"/>
    <cellStyle name="Normal 3 11" xfId="5255"/>
    <cellStyle name="Normal 3 11 2" xfId="5256"/>
    <cellStyle name="Normal 3 11 3" xfId="5257"/>
    <cellStyle name="Normal 3 11 4" xfId="5258"/>
    <cellStyle name="Normal 3 12" xfId="5259"/>
    <cellStyle name="Normal 3 12 2" xfId="5260"/>
    <cellStyle name="Normal 3 12 3" xfId="5261"/>
    <cellStyle name="Normal 3 12 4" xfId="5262"/>
    <cellStyle name="Normal 3 13" xfId="5263"/>
    <cellStyle name="Normal 3 13 2" xfId="5264"/>
    <cellStyle name="Normal 3 13 3" xfId="5265"/>
    <cellStyle name="Normal 3 13 4" xfId="5266"/>
    <cellStyle name="Normal 3 14" xfId="5267"/>
    <cellStyle name="Normal 3 14 2" xfId="5268"/>
    <cellStyle name="Normal 3 14 3" xfId="5269"/>
    <cellStyle name="Normal 3 14 4" xfId="5270"/>
    <cellStyle name="Normal 3 15" xfId="5271"/>
    <cellStyle name="Normal 3 15 2" xfId="5272"/>
    <cellStyle name="Normal 3 15 3" xfId="5273"/>
    <cellStyle name="Normal 3 15 4" xfId="5274"/>
    <cellStyle name="Normal 3 16" xfId="5275"/>
    <cellStyle name="Normal 3 16 2" xfId="5276"/>
    <cellStyle name="Normal 3 16 3" xfId="5277"/>
    <cellStyle name="Normal 3 16 4" xfId="5278"/>
    <cellStyle name="Normal 3 17" xfId="5279"/>
    <cellStyle name="Normal 3 17 2" xfId="5280"/>
    <cellStyle name="Normal 3 17 3" xfId="5281"/>
    <cellStyle name="Normal 3 17 4" xfId="5282"/>
    <cellStyle name="Normal 3 18" xfId="5283"/>
    <cellStyle name="Normal 3 18 2" xfId="5284"/>
    <cellStyle name="Normal 3 18 3" xfId="5285"/>
    <cellStyle name="Normal 3 18 4" xfId="5286"/>
    <cellStyle name="Normal 3 19" xfId="5287"/>
    <cellStyle name="Normal 3 19 2" xfId="5288"/>
    <cellStyle name="Normal 3 19 3" xfId="5289"/>
    <cellStyle name="Normal 3 19 4" xfId="5290"/>
    <cellStyle name="Normal 3 2" xfId="5291"/>
    <cellStyle name="Normal 3 2 10" xfId="5292"/>
    <cellStyle name="Normal 3 2 11" xfId="5293"/>
    <cellStyle name="Normal 3 2 12" xfId="5294"/>
    <cellStyle name="Normal 3 2 13" xfId="5295"/>
    <cellStyle name="Normal 3 2 14" xfId="5296"/>
    <cellStyle name="Normal 3 2 15" xfId="5297"/>
    <cellStyle name="Normal 3 2 16" xfId="5298"/>
    <cellStyle name="Normal 3 2 17" xfId="5299"/>
    <cellStyle name="Normal 3 2 18" xfId="5300"/>
    <cellStyle name="Normal 3 2 19" xfId="5301"/>
    <cellStyle name="Normal 3 2 2" xfId="5302"/>
    <cellStyle name="Normal 3 2 2 2" xfId="5303"/>
    <cellStyle name="Normal 3 2 2 3" xfId="6685"/>
    <cellStyle name="Normal 3 2 20" xfId="5304"/>
    <cellStyle name="Normal 3 2 21" xfId="5305"/>
    <cellStyle name="Normal 3 2 22" xfId="5306"/>
    <cellStyle name="Normal 3 2 23" xfId="6648"/>
    <cellStyle name="Normal 3 2 3" xfId="5307"/>
    <cellStyle name="Normal 3 2 3 2" xfId="5308"/>
    <cellStyle name="Normal 3 2 3 3" xfId="6664"/>
    <cellStyle name="Normal 3 2 4" xfId="5309"/>
    <cellStyle name="Normal 3 2 4 2" xfId="5310"/>
    <cellStyle name="Normal 3 2 5" xfId="5311"/>
    <cellStyle name="Normal 3 2 6" xfId="5312"/>
    <cellStyle name="Normal 3 2 7" xfId="5313"/>
    <cellStyle name="Normal 3 2 8" xfId="5314"/>
    <cellStyle name="Normal 3 2 9" xfId="5315"/>
    <cellStyle name="Normal 3 20" xfId="5316"/>
    <cellStyle name="Normal 3 20 2" xfId="5317"/>
    <cellStyle name="Normal 3 20 3" xfId="5318"/>
    <cellStyle name="Normal 3 20 4" xfId="5319"/>
    <cellStyle name="Normal 3 21" xfId="5320"/>
    <cellStyle name="Normal 3 21 2" xfId="5321"/>
    <cellStyle name="Normal 3 21 3" xfId="5322"/>
    <cellStyle name="Normal 3 21 4" xfId="5323"/>
    <cellStyle name="Normal 3 22" xfId="5324"/>
    <cellStyle name="Normal 3 22 2" xfId="5325"/>
    <cellStyle name="Normal 3 22 3" xfId="5326"/>
    <cellStyle name="Normal 3 22 4" xfId="5327"/>
    <cellStyle name="Normal 3 23" xfId="5328"/>
    <cellStyle name="Normal 3 23 2" xfId="5329"/>
    <cellStyle name="Normal 3 23 3" xfId="5330"/>
    <cellStyle name="Normal 3 23 4" xfId="5331"/>
    <cellStyle name="Normal 3 24" xfId="5332"/>
    <cellStyle name="Normal 3 24 2" xfId="5333"/>
    <cellStyle name="Normal 3 24 3" xfId="5334"/>
    <cellStyle name="Normal 3 24 4" xfId="5335"/>
    <cellStyle name="Normal 3 25" xfId="5336"/>
    <cellStyle name="Normal 3 25 2" xfId="5337"/>
    <cellStyle name="Normal 3 25 3" xfId="5338"/>
    <cellStyle name="Normal 3 25 4" xfId="5339"/>
    <cellStyle name="Normal 3 26" xfId="6550"/>
    <cellStyle name="Normal 3 27" xfId="6629"/>
    <cellStyle name="Normal 3 3" xfId="5340"/>
    <cellStyle name="Normal 3 3 2" xfId="5341"/>
    <cellStyle name="Normal 3 3 2 2" xfId="6678"/>
    <cellStyle name="Normal 3 3 3" xfId="5342"/>
    <cellStyle name="Normal 3 3 4" xfId="5343"/>
    <cellStyle name="Normal 3 3 5" xfId="5344"/>
    <cellStyle name="Normal 3 3 6" xfId="6640"/>
    <cellStyle name="Normal 3 4" xfId="5345"/>
    <cellStyle name="Normal 3 4 2" xfId="5346"/>
    <cellStyle name="Normal 3 4 3" xfId="5347"/>
    <cellStyle name="Normal 3 4 4" xfId="5348"/>
    <cellStyle name="Normal 3 4 5" xfId="5349"/>
    <cellStyle name="Normal 3 4 6" xfId="6671"/>
    <cellStyle name="Normal 3 5" xfId="5350"/>
    <cellStyle name="Normal 3 5 10" xfId="5351"/>
    <cellStyle name="Normal 3 5 11" xfId="5352"/>
    <cellStyle name="Normal 3 5 12" xfId="5353"/>
    <cellStyle name="Normal 3 5 13" xfId="5354"/>
    <cellStyle name="Normal 3 5 14" xfId="5355"/>
    <cellStyle name="Normal 3 5 15" xfId="6657"/>
    <cellStyle name="Normal 3 5 2" xfId="5356"/>
    <cellStyle name="Normal 3 5 2 2" xfId="5357"/>
    <cellStyle name="Normal 3 5 3" xfId="5358"/>
    <cellStyle name="Normal 3 5 3 2" xfId="5359"/>
    <cellStyle name="Normal 3 5 4" xfId="5360"/>
    <cellStyle name="Normal 3 5 4 2" xfId="5361"/>
    <cellStyle name="Normal 3 5 5" xfId="5362"/>
    <cellStyle name="Normal 3 5 6" xfId="5363"/>
    <cellStyle name="Normal 3 5 7" xfId="5364"/>
    <cellStyle name="Normal 3 5 8" xfId="5365"/>
    <cellStyle name="Normal 3 5 9" xfId="5366"/>
    <cellStyle name="Normal 3 6" xfId="5367"/>
    <cellStyle name="Normal 3 6 10" xfId="5368"/>
    <cellStyle name="Normal 3 6 11" xfId="5369"/>
    <cellStyle name="Normal 3 6 12" xfId="5370"/>
    <cellStyle name="Normal 3 6 13" xfId="5371"/>
    <cellStyle name="Normal 3 6 14" xfId="5372"/>
    <cellStyle name="Normal 3 6 2" xfId="5373"/>
    <cellStyle name="Normal 3 6 2 2" xfId="5374"/>
    <cellStyle name="Normal 3 6 3" xfId="5375"/>
    <cellStyle name="Normal 3 6 3 2" xfId="5376"/>
    <cellStyle name="Normal 3 6 4" xfId="5377"/>
    <cellStyle name="Normal 3 6 4 2" xfId="5378"/>
    <cellStyle name="Normal 3 6 5" xfId="5379"/>
    <cellStyle name="Normal 3 6 6" xfId="5380"/>
    <cellStyle name="Normal 3 6 7" xfId="5381"/>
    <cellStyle name="Normal 3 6 8" xfId="5382"/>
    <cellStyle name="Normal 3 6 9" xfId="5383"/>
    <cellStyle name="Normal 3 7" xfId="5384"/>
    <cellStyle name="Normal 3 7 2" xfId="5385"/>
    <cellStyle name="Normal 3 7 3" xfId="5386"/>
    <cellStyle name="Normal 3 7 4" xfId="5387"/>
    <cellStyle name="Normal 3 8" xfId="5388"/>
    <cellStyle name="Normal 3 8 2" xfId="5389"/>
    <cellStyle name="Normal 3 8 3" xfId="5390"/>
    <cellStyle name="Normal 3 8 4" xfId="5391"/>
    <cellStyle name="Normal 3 9" xfId="5392"/>
    <cellStyle name="Normal 3 9 2" xfId="5393"/>
    <cellStyle name="Normal 3 9 3" xfId="5394"/>
    <cellStyle name="Normal 3 9 4" xfId="5395"/>
    <cellStyle name="Normal 30" xfId="5396"/>
    <cellStyle name="Normal 30 10" xfId="5397"/>
    <cellStyle name="Normal 30 11" xfId="5398"/>
    <cellStyle name="Normal 30 12" xfId="5399"/>
    <cellStyle name="Normal 30 13" xfId="5400"/>
    <cellStyle name="Normal 30 14" xfId="5401"/>
    <cellStyle name="Normal 30 15" xfId="5402"/>
    <cellStyle name="Normal 30 2" xfId="5403"/>
    <cellStyle name="Normal 30 3" xfId="5404"/>
    <cellStyle name="Normal 30 4" xfId="5405"/>
    <cellStyle name="Normal 30 5" xfId="5406"/>
    <cellStyle name="Normal 30 6" xfId="5407"/>
    <cellStyle name="Normal 30 7" xfId="5408"/>
    <cellStyle name="Normal 30 8" xfId="5409"/>
    <cellStyle name="Normal 30 9" xfId="5410"/>
    <cellStyle name="Normal 31" xfId="5411"/>
    <cellStyle name="Normal 31 10" xfId="5412"/>
    <cellStyle name="Normal 31 11" xfId="5413"/>
    <cellStyle name="Normal 31 12" xfId="5414"/>
    <cellStyle name="Normal 31 13" xfId="5415"/>
    <cellStyle name="Normal 31 14" xfId="5416"/>
    <cellStyle name="Normal 31 15" xfId="5417"/>
    <cellStyle name="Normal 31 2" xfId="5418"/>
    <cellStyle name="Normal 31 3" xfId="5419"/>
    <cellStyle name="Normal 31 4" xfId="5420"/>
    <cellStyle name="Normal 31 5" xfId="5421"/>
    <cellStyle name="Normal 31 6" xfId="5422"/>
    <cellStyle name="Normal 31 7" xfId="5423"/>
    <cellStyle name="Normal 31 8" xfId="5424"/>
    <cellStyle name="Normal 31 9" xfId="5425"/>
    <cellStyle name="Normal 32" xfId="5426"/>
    <cellStyle name="Normal 32 10" xfId="5427"/>
    <cellStyle name="Normal 32 11" xfId="5428"/>
    <cellStyle name="Normal 32 12" xfId="5429"/>
    <cellStyle name="Normal 32 13" xfId="5430"/>
    <cellStyle name="Normal 32 14" xfId="5431"/>
    <cellStyle name="Normal 32 15" xfId="5432"/>
    <cellStyle name="Normal 32 2" xfId="5433"/>
    <cellStyle name="Normal 32 3" xfId="5434"/>
    <cellStyle name="Normal 32 4" xfId="5435"/>
    <cellStyle name="Normal 32 5" xfId="5436"/>
    <cellStyle name="Normal 32 6" xfId="5437"/>
    <cellStyle name="Normal 32 7" xfId="5438"/>
    <cellStyle name="Normal 32 8" xfId="5439"/>
    <cellStyle name="Normal 32 9" xfId="5440"/>
    <cellStyle name="Normal 33" xfId="5441"/>
    <cellStyle name="Normal 33 10" xfId="5442"/>
    <cellStyle name="Normal 33 11" xfId="5443"/>
    <cellStyle name="Normal 33 12" xfId="5444"/>
    <cellStyle name="Normal 33 13" xfId="5445"/>
    <cellStyle name="Normal 33 14" xfId="5446"/>
    <cellStyle name="Normal 33 15" xfId="5447"/>
    <cellStyle name="Normal 33 2" xfId="5448"/>
    <cellStyle name="Normal 33 3" xfId="5449"/>
    <cellStyle name="Normal 33 4" xfId="5450"/>
    <cellStyle name="Normal 33 5" xfId="5451"/>
    <cellStyle name="Normal 33 6" xfId="5452"/>
    <cellStyle name="Normal 33 7" xfId="5453"/>
    <cellStyle name="Normal 33 8" xfId="5454"/>
    <cellStyle name="Normal 33 9" xfId="5455"/>
    <cellStyle name="Normal 34" xfId="5456"/>
    <cellStyle name="Normal 34 10" xfId="5457"/>
    <cellStyle name="Normal 34 11" xfId="5458"/>
    <cellStyle name="Normal 34 2" xfId="5459"/>
    <cellStyle name="Normal 34 3" xfId="5460"/>
    <cellStyle name="Normal 34 4" xfId="5461"/>
    <cellStyle name="Normal 34 5" xfId="5462"/>
    <cellStyle name="Normal 34 6" xfId="5463"/>
    <cellStyle name="Normal 34 7" xfId="5464"/>
    <cellStyle name="Normal 34 8" xfId="5465"/>
    <cellStyle name="Normal 34 9" xfId="5466"/>
    <cellStyle name="Normal 35" xfId="5467"/>
    <cellStyle name="Normal 35 10" xfId="5468"/>
    <cellStyle name="Normal 35 11" xfId="5469"/>
    <cellStyle name="Normal 35 12" xfId="5470"/>
    <cellStyle name="Normal 35 13" xfId="5471"/>
    <cellStyle name="Normal 35 14" xfId="5472"/>
    <cellStyle name="Normal 35 2" xfId="5473"/>
    <cellStyle name="Normal 35 2 2" xfId="5474"/>
    <cellStyle name="Normal 35 2 3" xfId="5475"/>
    <cellStyle name="Normal 35 2 4" xfId="5476"/>
    <cellStyle name="Normal 35 3" xfId="5477"/>
    <cellStyle name="Normal 35 4" xfId="5478"/>
    <cellStyle name="Normal 35 5" xfId="5479"/>
    <cellStyle name="Normal 35 6" xfId="5480"/>
    <cellStyle name="Normal 35 7" xfId="5481"/>
    <cellStyle name="Normal 35 8" xfId="5482"/>
    <cellStyle name="Normal 35 9" xfId="5483"/>
    <cellStyle name="Normal 36" xfId="5484"/>
    <cellStyle name="Normal 36 10" xfId="5485"/>
    <cellStyle name="Normal 36 11" xfId="5486"/>
    <cellStyle name="Normal 36 2" xfId="5487"/>
    <cellStyle name="Normal 36 3" xfId="5488"/>
    <cellStyle name="Normal 36 4" xfId="5489"/>
    <cellStyle name="Normal 36 5" xfId="5490"/>
    <cellStyle name="Normal 36 6" xfId="5491"/>
    <cellStyle name="Normal 36 7" xfId="5492"/>
    <cellStyle name="Normal 36 8" xfId="5493"/>
    <cellStyle name="Normal 36 9" xfId="5494"/>
    <cellStyle name="Normal 37" xfId="5495"/>
    <cellStyle name="Normal 37 10" xfId="5496"/>
    <cellStyle name="Normal 37 11" xfId="5497"/>
    <cellStyle name="Normal 37 2" xfId="5498"/>
    <cellStyle name="Normal 37 3" xfId="5499"/>
    <cellStyle name="Normal 37 4" xfId="5500"/>
    <cellStyle name="Normal 37 5" xfId="5501"/>
    <cellStyle name="Normal 37 6" xfId="5502"/>
    <cellStyle name="Normal 37 7" xfId="5503"/>
    <cellStyle name="Normal 37 8" xfId="5504"/>
    <cellStyle name="Normal 37 9" xfId="5505"/>
    <cellStyle name="Normal 38" xfId="5506"/>
    <cellStyle name="Normal 38 10" xfId="5507"/>
    <cellStyle name="Normal 38 11" xfId="5508"/>
    <cellStyle name="Normal 38 12" xfId="5509"/>
    <cellStyle name="Normal 38 13" xfId="5510"/>
    <cellStyle name="Normal 38 14" xfId="5511"/>
    <cellStyle name="Normal 38 15" xfId="5512"/>
    <cellStyle name="Normal 38 16" xfId="5513"/>
    <cellStyle name="Normal 38 17" xfId="5514"/>
    <cellStyle name="Normal 38 18" xfId="5515"/>
    <cellStyle name="Normal 38 19" xfId="5516"/>
    <cellStyle name="Normal 38 2" xfId="5517"/>
    <cellStyle name="Normal 38 20" xfId="5518"/>
    <cellStyle name="Normal 38 21" xfId="5519"/>
    <cellStyle name="Normal 38 22" xfId="5520"/>
    <cellStyle name="Normal 38 23" xfId="5521"/>
    <cellStyle name="Normal 38 24" xfId="5522"/>
    <cellStyle name="Normal 38 25" xfId="5523"/>
    <cellStyle name="Normal 38 26" xfId="5524"/>
    <cellStyle name="Normal 38 27" xfId="5525"/>
    <cellStyle name="Normal 38 28" xfId="5526"/>
    <cellStyle name="Normal 38 29" xfId="5527"/>
    <cellStyle name="Normal 38 3" xfId="5528"/>
    <cellStyle name="Normal 38 30" xfId="5529"/>
    <cellStyle name="Normal 38 31" xfId="5530"/>
    <cellStyle name="Normal 38 4" xfId="5531"/>
    <cellStyle name="Normal 38 5" xfId="5532"/>
    <cellStyle name="Normal 38 6" xfId="5533"/>
    <cellStyle name="Normal 38 7" xfId="5534"/>
    <cellStyle name="Normal 38 8" xfId="5535"/>
    <cellStyle name="Normal 38 9" xfId="5536"/>
    <cellStyle name="Normal 39" xfId="5537"/>
    <cellStyle name="Normal 39 10" xfId="5538"/>
    <cellStyle name="Normal 39 11" xfId="5539"/>
    <cellStyle name="Normal 39 2" xfId="5540"/>
    <cellStyle name="Normal 39 3" xfId="5541"/>
    <cellStyle name="Normal 39 4" xfId="5542"/>
    <cellStyle name="Normal 39 5" xfId="5543"/>
    <cellStyle name="Normal 39 6" xfId="5544"/>
    <cellStyle name="Normal 39 7" xfId="5545"/>
    <cellStyle name="Normal 39 8" xfId="5546"/>
    <cellStyle name="Normal 39 9" xfId="5547"/>
    <cellStyle name="Normal 4" xfId="2"/>
    <cellStyle name="Normal 4 10" xfId="5548"/>
    <cellStyle name="Normal 4 11" xfId="5549"/>
    <cellStyle name="Normal 4 12" xfId="5550"/>
    <cellStyle name="Normal 4 13" xfId="5551"/>
    <cellStyle name="Normal 4 14" xfId="5552"/>
    <cellStyle name="Normal 4 15" xfId="6551"/>
    <cellStyle name="Normal 4 16" xfId="6611"/>
    <cellStyle name="Normal 4 17" xfId="6631"/>
    <cellStyle name="Normal 4 2" xfId="5553"/>
    <cellStyle name="Normal 4 2 2" xfId="5554"/>
    <cellStyle name="Normal 4 2 2 2" xfId="6687"/>
    <cellStyle name="Normal 4 2 3" xfId="6666"/>
    <cellStyle name="Normal 4 2 4" xfId="6650"/>
    <cellStyle name="Normal 4 3" xfId="5555"/>
    <cellStyle name="Normal 4 3 2" xfId="6680"/>
    <cellStyle name="Normal 4 3 3" xfId="6642"/>
    <cellStyle name="Normal 4 4" xfId="5556"/>
    <cellStyle name="Normal 4 4 2" xfId="6673"/>
    <cellStyle name="Normal 4 5" xfId="5557"/>
    <cellStyle name="Normal 4 5 2" xfId="6659"/>
    <cellStyle name="Normal 4 6" xfId="5558"/>
    <cellStyle name="Normal 4 7" xfId="5559"/>
    <cellStyle name="Normal 4 8" xfId="5560"/>
    <cellStyle name="Normal 4 9" xfId="5561"/>
    <cellStyle name="Normal 40" xfId="5562"/>
    <cellStyle name="Normal 41" xfId="5563"/>
    <cellStyle name="Normal 42" xfId="5564"/>
    <cellStyle name="Normal 43" xfId="5565"/>
    <cellStyle name="Normal 44" xfId="5566"/>
    <cellStyle name="Normal 44 10" xfId="5567"/>
    <cellStyle name="Normal 44 11" xfId="5568"/>
    <cellStyle name="Normal 44 2" xfId="5569"/>
    <cellStyle name="Normal 44 3" xfId="5570"/>
    <cellStyle name="Normal 44 4" xfId="5571"/>
    <cellStyle name="Normal 44 5" xfId="5572"/>
    <cellStyle name="Normal 44 6" xfId="5573"/>
    <cellStyle name="Normal 44 7" xfId="5574"/>
    <cellStyle name="Normal 44 8" xfId="5575"/>
    <cellStyle name="Normal 44 9" xfId="5576"/>
    <cellStyle name="Normal 45" xfId="5577"/>
    <cellStyle name="Normal 46" xfId="5578"/>
    <cellStyle name="Normal 47" xfId="5579"/>
    <cellStyle name="Normal 48" xfId="5580"/>
    <cellStyle name="Normal 49" xfId="5581"/>
    <cellStyle name="Normal 5" xfId="5582"/>
    <cellStyle name="Normal 5 2" xfId="6553"/>
    <cellStyle name="Normal 5 3" xfId="6552"/>
    <cellStyle name="Normal 5 4" xfId="6633"/>
    <cellStyle name="Normal 50" xfId="5583"/>
    <cellStyle name="Normal 51" xfId="5584"/>
    <cellStyle name="Normal 52" xfId="5585"/>
    <cellStyle name="Normal 53" xfId="5586"/>
    <cellStyle name="Normal 54" xfId="5587"/>
    <cellStyle name="Normal 55" xfId="5588"/>
    <cellStyle name="Normal 56" xfId="5589"/>
    <cellStyle name="Normal 57" xfId="5590"/>
    <cellStyle name="Normal 58" xfId="5591"/>
    <cellStyle name="Normal 59" xfId="5592"/>
    <cellStyle name="Normal 6" xfId="5593"/>
    <cellStyle name="Normal 6 10" xfId="5594"/>
    <cellStyle name="Normal 6 11" xfId="5595"/>
    <cellStyle name="Normal 6 12" xfId="6554"/>
    <cellStyle name="Normal 6 13" xfId="6651"/>
    <cellStyle name="Normal 6 2" xfId="5596"/>
    <cellStyle name="Normal 6 3" xfId="5597"/>
    <cellStyle name="Normal 6 4" xfId="5598"/>
    <cellStyle name="Normal 6 5" xfId="5599"/>
    <cellStyle name="Normal 6 6" xfId="5600"/>
    <cellStyle name="Normal 6 7" xfId="5601"/>
    <cellStyle name="Normal 6 8" xfId="5602"/>
    <cellStyle name="Normal 6 9" xfId="5603"/>
    <cellStyle name="Normal 60" xfId="5604"/>
    <cellStyle name="Normal 61" xfId="6531"/>
    <cellStyle name="Normal 62" xfId="5605"/>
    <cellStyle name="Normal 63" xfId="6537"/>
    <cellStyle name="Normal 64" xfId="6608"/>
    <cellStyle name="Normal 65" xfId="6622"/>
    <cellStyle name="Normal 7" xfId="5606"/>
    <cellStyle name="Normal 7 10" xfId="5607"/>
    <cellStyle name="Normal 7 11" xfId="5608"/>
    <cellStyle name="Normal 7 12" xfId="6562"/>
    <cellStyle name="Normal 7 13" xfId="6612"/>
    <cellStyle name="Normal 7 2" xfId="5609"/>
    <cellStyle name="Normal 7 3" xfId="5610"/>
    <cellStyle name="Normal 7 4" xfId="5611"/>
    <cellStyle name="Normal 7 5" xfId="5612"/>
    <cellStyle name="Normal 7 6" xfId="5613"/>
    <cellStyle name="Normal 7 7" xfId="5614"/>
    <cellStyle name="Normal 7 8" xfId="5615"/>
    <cellStyle name="Normal 7 9" xfId="5616"/>
    <cellStyle name="Normal 8" xfId="5617"/>
    <cellStyle name="Normal 8 10" xfId="5618"/>
    <cellStyle name="Normal 8 11" xfId="5619"/>
    <cellStyle name="Normal 8 12" xfId="6560"/>
    <cellStyle name="Normal 8 2" xfId="5620"/>
    <cellStyle name="Normal 8 3" xfId="5621"/>
    <cellStyle name="Normal 8 4" xfId="5622"/>
    <cellStyle name="Normal 8 5" xfId="5623"/>
    <cellStyle name="Normal 8 6" xfId="5624"/>
    <cellStyle name="Normal 8 7" xfId="5625"/>
    <cellStyle name="Normal 8 8" xfId="5626"/>
    <cellStyle name="Normal 8 9" xfId="5627"/>
    <cellStyle name="Normal 9" xfId="5628"/>
    <cellStyle name="Normal 9 10" xfId="5629"/>
    <cellStyle name="Normal 9 11" xfId="5630"/>
    <cellStyle name="Normal 9 2" xfId="5631"/>
    <cellStyle name="Normal 9 3" xfId="5632"/>
    <cellStyle name="Normal 9 4" xfId="5633"/>
    <cellStyle name="Normal 9 5" xfId="5634"/>
    <cellStyle name="Normal 9 6" xfId="5635"/>
    <cellStyle name="Normal 9 7" xfId="5636"/>
    <cellStyle name="Normal 9 8" xfId="5637"/>
    <cellStyle name="Normal 9 9" xfId="5638"/>
    <cellStyle name="NormalRed" xfId="5639"/>
    <cellStyle name="Note 10" xfId="5640"/>
    <cellStyle name="Note 10 10" xfId="5641"/>
    <cellStyle name="Note 10 11" xfId="5642"/>
    <cellStyle name="Note 10 2" xfId="5643"/>
    <cellStyle name="Note 10 3" xfId="5644"/>
    <cellStyle name="Note 10 4" xfId="5645"/>
    <cellStyle name="Note 10 5" xfId="5646"/>
    <cellStyle name="Note 10 6" xfId="5647"/>
    <cellStyle name="Note 10 7" xfId="5648"/>
    <cellStyle name="Note 10 8" xfId="5649"/>
    <cellStyle name="Note 10 9" xfId="5650"/>
    <cellStyle name="Note 11" xfId="5651"/>
    <cellStyle name="Note 11 10" xfId="5652"/>
    <cellStyle name="Note 11 11" xfId="5653"/>
    <cellStyle name="Note 11 2" xfId="5654"/>
    <cellStyle name="Note 11 3" xfId="5655"/>
    <cellStyle name="Note 11 4" xfId="5656"/>
    <cellStyle name="Note 11 5" xfId="5657"/>
    <cellStyle name="Note 11 6" xfId="5658"/>
    <cellStyle name="Note 11 7" xfId="5659"/>
    <cellStyle name="Note 11 8" xfId="5660"/>
    <cellStyle name="Note 11 9" xfId="5661"/>
    <cellStyle name="Note 12" xfId="5662"/>
    <cellStyle name="Note 12 10" xfId="5663"/>
    <cellStyle name="Note 12 11" xfId="5664"/>
    <cellStyle name="Note 12 2" xfId="5665"/>
    <cellStyle name="Note 12 3" xfId="5666"/>
    <cellStyle name="Note 12 4" xfId="5667"/>
    <cellStyle name="Note 12 5" xfId="5668"/>
    <cellStyle name="Note 12 6" xfId="5669"/>
    <cellStyle name="Note 12 7" xfId="5670"/>
    <cellStyle name="Note 12 8" xfId="5671"/>
    <cellStyle name="Note 12 9" xfId="5672"/>
    <cellStyle name="Note 13" xfId="5673"/>
    <cellStyle name="Note 13 10" xfId="5674"/>
    <cellStyle name="Note 13 11" xfId="5675"/>
    <cellStyle name="Note 13 2" xfId="5676"/>
    <cellStyle name="Note 13 3" xfId="5677"/>
    <cellStyle name="Note 13 4" xfId="5678"/>
    <cellStyle name="Note 13 5" xfId="5679"/>
    <cellStyle name="Note 13 6" xfId="5680"/>
    <cellStyle name="Note 13 7" xfId="5681"/>
    <cellStyle name="Note 13 8" xfId="5682"/>
    <cellStyle name="Note 13 9" xfId="5683"/>
    <cellStyle name="Note 14" xfId="5684"/>
    <cellStyle name="Note 14 10" xfId="5685"/>
    <cellStyle name="Note 14 11" xfId="5686"/>
    <cellStyle name="Note 14 2" xfId="5687"/>
    <cellStyle name="Note 14 3" xfId="5688"/>
    <cellStyle name="Note 14 4" xfId="5689"/>
    <cellStyle name="Note 14 5" xfId="5690"/>
    <cellStyle name="Note 14 6" xfId="5691"/>
    <cellStyle name="Note 14 7" xfId="5692"/>
    <cellStyle name="Note 14 8" xfId="5693"/>
    <cellStyle name="Note 14 9" xfId="5694"/>
    <cellStyle name="Note 15" xfId="5695"/>
    <cellStyle name="Note 15 10" xfId="5696"/>
    <cellStyle name="Note 15 11" xfId="5697"/>
    <cellStyle name="Note 15 2" xfId="5698"/>
    <cellStyle name="Note 15 3" xfId="5699"/>
    <cellStyle name="Note 15 4" xfId="5700"/>
    <cellStyle name="Note 15 5" xfId="5701"/>
    <cellStyle name="Note 15 6" xfId="5702"/>
    <cellStyle name="Note 15 7" xfId="5703"/>
    <cellStyle name="Note 15 8" xfId="5704"/>
    <cellStyle name="Note 15 9" xfId="5705"/>
    <cellStyle name="Note 16" xfId="5706"/>
    <cellStyle name="Note 16 10" xfId="5707"/>
    <cellStyle name="Note 16 11" xfId="5708"/>
    <cellStyle name="Note 16 2" xfId="5709"/>
    <cellStyle name="Note 16 3" xfId="5710"/>
    <cellStyle name="Note 16 4" xfId="5711"/>
    <cellStyle name="Note 16 5" xfId="5712"/>
    <cellStyle name="Note 16 6" xfId="5713"/>
    <cellStyle name="Note 16 7" xfId="5714"/>
    <cellStyle name="Note 16 8" xfId="5715"/>
    <cellStyle name="Note 16 9" xfId="5716"/>
    <cellStyle name="Note 17" xfId="5717"/>
    <cellStyle name="Note 17 10" xfId="5718"/>
    <cellStyle name="Note 17 11" xfId="5719"/>
    <cellStyle name="Note 17 2" xfId="5720"/>
    <cellStyle name="Note 17 3" xfId="5721"/>
    <cellStyle name="Note 17 4" xfId="5722"/>
    <cellStyle name="Note 17 5" xfId="5723"/>
    <cellStyle name="Note 17 6" xfId="5724"/>
    <cellStyle name="Note 17 7" xfId="5725"/>
    <cellStyle name="Note 17 8" xfId="5726"/>
    <cellStyle name="Note 17 9" xfId="5727"/>
    <cellStyle name="Note 18" xfId="5728"/>
    <cellStyle name="Note 18 10" xfId="5729"/>
    <cellStyle name="Note 18 11" xfId="5730"/>
    <cellStyle name="Note 18 2" xfId="5731"/>
    <cellStyle name="Note 18 3" xfId="5732"/>
    <cellStyle name="Note 18 4" xfId="5733"/>
    <cellStyle name="Note 18 5" xfId="5734"/>
    <cellStyle name="Note 18 6" xfId="5735"/>
    <cellStyle name="Note 18 7" xfId="5736"/>
    <cellStyle name="Note 18 8" xfId="5737"/>
    <cellStyle name="Note 18 9" xfId="5738"/>
    <cellStyle name="Note 19" xfId="5739"/>
    <cellStyle name="Note 19 10" xfId="5740"/>
    <cellStyle name="Note 19 11" xfId="5741"/>
    <cellStyle name="Note 19 2" xfId="5742"/>
    <cellStyle name="Note 19 3" xfId="5743"/>
    <cellStyle name="Note 19 4" xfId="5744"/>
    <cellStyle name="Note 19 5" xfId="5745"/>
    <cellStyle name="Note 19 6" xfId="5746"/>
    <cellStyle name="Note 19 7" xfId="5747"/>
    <cellStyle name="Note 19 8" xfId="5748"/>
    <cellStyle name="Note 19 9" xfId="5749"/>
    <cellStyle name="Note 2" xfId="5750"/>
    <cellStyle name="Note 2 10" xfId="5751"/>
    <cellStyle name="Note 2 11" xfId="5752"/>
    <cellStyle name="Note 2 12" xfId="6555"/>
    <cellStyle name="Note 2 13" xfId="6627"/>
    <cellStyle name="Note 2 2" xfId="5753"/>
    <cellStyle name="Note 2 2 2" xfId="6684"/>
    <cellStyle name="Note 2 2 3" xfId="6663"/>
    <cellStyle name="Note 2 2 4" xfId="6646"/>
    <cellStyle name="Note 2 3" xfId="5754"/>
    <cellStyle name="Note 2 3 2" xfId="6677"/>
    <cellStyle name="Note 2 3 3" xfId="6638"/>
    <cellStyle name="Note 2 4" xfId="5755"/>
    <cellStyle name="Note 2 4 2" xfId="6670"/>
    <cellStyle name="Note 2 5" xfId="5756"/>
    <cellStyle name="Note 2 5 2" xfId="6656"/>
    <cellStyle name="Note 2 6" xfId="5757"/>
    <cellStyle name="Note 2 7" xfId="5758"/>
    <cellStyle name="Note 2 8" xfId="5759"/>
    <cellStyle name="Note 2 9" xfId="5760"/>
    <cellStyle name="Note 20" xfId="5761"/>
    <cellStyle name="Note 20 10" xfId="5762"/>
    <cellStyle name="Note 20 11" xfId="5763"/>
    <cellStyle name="Note 20 2" xfId="5764"/>
    <cellStyle name="Note 20 3" xfId="5765"/>
    <cellStyle name="Note 20 4" xfId="5766"/>
    <cellStyle name="Note 20 5" xfId="5767"/>
    <cellStyle name="Note 20 6" xfId="5768"/>
    <cellStyle name="Note 20 7" xfId="5769"/>
    <cellStyle name="Note 20 8" xfId="5770"/>
    <cellStyle name="Note 20 9" xfId="5771"/>
    <cellStyle name="Note 21" xfId="5772"/>
    <cellStyle name="Note 21 10" xfId="5773"/>
    <cellStyle name="Note 21 11" xfId="5774"/>
    <cellStyle name="Note 21 2" xfId="5775"/>
    <cellStyle name="Note 21 3" xfId="5776"/>
    <cellStyle name="Note 21 4" xfId="5777"/>
    <cellStyle name="Note 21 5" xfId="5778"/>
    <cellStyle name="Note 21 6" xfId="5779"/>
    <cellStyle name="Note 21 7" xfId="5780"/>
    <cellStyle name="Note 21 8" xfId="5781"/>
    <cellStyle name="Note 21 9" xfId="5782"/>
    <cellStyle name="Note 22" xfId="5783"/>
    <cellStyle name="Note 22 10" xfId="5784"/>
    <cellStyle name="Note 22 11" xfId="5785"/>
    <cellStyle name="Note 22 2" xfId="5786"/>
    <cellStyle name="Note 22 3" xfId="5787"/>
    <cellStyle name="Note 22 4" xfId="5788"/>
    <cellStyle name="Note 22 5" xfId="5789"/>
    <cellStyle name="Note 22 6" xfId="5790"/>
    <cellStyle name="Note 22 7" xfId="5791"/>
    <cellStyle name="Note 22 8" xfId="5792"/>
    <cellStyle name="Note 22 9" xfId="5793"/>
    <cellStyle name="Note 23" xfId="5794"/>
    <cellStyle name="Note 23 10" xfId="5795"/>
    <cellStyle name="Note 23 11" xfId="5796"/>
    <cellStyle name="Note 23 2" xfId="5797"/>
    <cellStyle name="Note 23 3" xfId="5798"/>
    <cellStyle name="Note 23 4" xfId="5799"/>
    <cellStyle name="Note 23 5" xfId="5800"/>
    <cellStyle name="Note 23 6" xfId="5801"/>
    <cellStyle name="Note 23 7" xfId="5802"/>
    <cellStyle name="Note 23 8" xfId="5803"/>
    <cellStyle name="Note 23 9" xfId="5804"/>
    <cellStyle name="Note 24" xfId="5805"/>
    <cellStyle name="Note 24 10" xfId="5806"/>
    <cellStyle name="Note 24 11" xfId="5807"/>
    <cellStyle name="Note 24 2" xfId="5808"/>
    <cellStyle name="Note 24 3" xfId="5809"/>
    <cellStyle name="Note 24 4" xfId="5810"/>
    <cellStyle name="Note 24 5" xfId="5811"/>
    <cellStyle name="Note 24 6" xfId="5812"/>
    <cellStyle name="Note 24 7" xfId="5813"/>
    <cellStyle name="Note 24 8" xfId="5814"/>
    <cellStyle name="Note 24 9" xfId="5815"/>
    <cellStyle name="Note 25" xfId="5816"/>
    <cellStyle name="Note 25 10" xfId="5817"/>
    <cellStyle name="Note 25 11" xfId="5818"/>
    <cellStyle name="Note 25 2" xfId="5819"/>
    <cellStyle name="Note 25 3" xfId="5820"/>
    <cellStyle name="Note 25 4" xfId="5821"/>
    <cellStyle name="Note 25 5" xfId="5822"/>
    <cellStyle name="Note 25 6" xfId="5823"/>
    <cellStyle name="Note 25 7" xfId="5824"/>
    <cellStyle name="Note 25 8" xfId="5825"/>
    <cellStyle name="Note 25 9" xfId="5826"/>
    <cellStyle name="Note 26" xfId="5827"/>
    <cellStyle name="Note 26 10" xfId="5828"/>
    <cellStyle name="Note 26 11" xfId="5829"/>
    <cellStyle name="Note 26 2" xfId="5830"/>
    <cellStyle name="Note 26 3" xfId="5831"/>
    <cellStyle name="Note 26 4" xfId="5832"/>
    <cellStyle name="Note 26 5" xfId="5833"/>
    <cellStyle name="Note 26 6" xfId="5834"/>
    <cellStyle name="Note 26 7" xfId="5835"/>
    <cellStyle name="Note 26 8" xfId="5836"/>
    <cellStyle name="Note 26 9" xfId="5837"/>
    <cellStyle name="Note 27" xfId="5838"/>
    <cellStyle name="Note 27 10" xfId="5839"/>
    <cellStyle name="Note 27 11" xfId="5840"/>
    <cellStyle name="Note 27 2" xfId="5841"/>
    <cellStyle name="Note 27 3" xfId="5842"/>
    <cellStyle name="Note 27 4" xfId="5843"/>
    <cellStyle name="Note 27 5" xfId="5844"/>
    <cellStyle name="Note 27 6" xfId="5845"/>
    <cellStyle name="Note 27 7" xfId="5846"/>
    <cellStyle name="Note 27 8" xfId="5847"/>
    <cellStyle name="Note 27 9" xfId="5848"/>
    <cellStyle name="Note 28" xfId="5849"/>
    <cellStyle name="Note 28 10" xfId="5850"/>
    <cellStyle name="Note 28 11" xfId="5851"/>
    <cellStyle name="Note 28 2" xfId="5852"/>
    <cellStyle name="Note 28 3" xfId="5853"/>
    <cellStyle name="Note 28 4" xfId="5854"/>
    <cellStyle name="Note 28 5" xfId="5855"/>
    <cellStyle name="Note 28 6" xfId="5856"/>
    <cellStyle name="Note 28 7" xfId="5857"/>
    <cellStyle name="Note 28 8" xfId="5858"/>
    <cellStyle name="Note 28 9" xfId="5859"/>
    <cellStyle name="Note 29" xfId="5860"/>
    <cellStyle name="Note 29 10" xfId="5861"/>
    <cellStyle name="Note 29 11" xfId="5862"/>
    <cellStyle name="Note 29 2" xfId="5863"/>
    <cellStyle name="Note 29 3" xfId="5864"/>
    <cellStyle name="Note 29 4" xfId="5865"/>
    <cellStyle name="Note 29 5" xfId="5866"/>
    <cellStyle name="Note 29 6" xfId="5867"/>
    <cellStyle name="Note 29 7" xfId="5868"/>
    <cellStyle name="Note 29 8" xfId="5869"/>
    <cellStyle name="Note 29 9" xfId="5870"/>
    <cellStyle name="Note 3" xfId="5871"/>
    <cellStyle name="Note 3 10" xfId="5872"/>
    <cellStyle name="Note 3 11" xfId="5873"/>
    <cellStyle name="Note 3 2" xfId="5874"/>
    <cellStyle name="Note 3 3" xfId="5875"/>
    <cellStyle name="Note 3 4" xfId="5876"/>
    <cellStyle name="Note 3 5" xfId="5877"/>
    <cellStyle name="Note 3 6" xfId="5878"/>
    <cellStyle name="Note 3 7" xfId="5879"/>
    <cellStyle name="Note 3 8" xfId="5880"/>
    <cellStyle name="Note 3 9" xfId="5881"/>
    <cellStyle name="Note 30" xfId="5882"/>
    <cellStyle name="Note 30 10" xfId="5883"/>
    <cellStyle name="Note 30 11" xfId="5884"/>
    <cellStyle name="Note 30 2" xfId="5885"/>
    <cellStyle name="Note 30 3" xfId="5886"/>
    <cellStyle name="Note 30 4" xfId="5887"/>
    <cellStyle name="Note 30 5" xfId="5888"/>
    <cellStyle name="Note 30 6" xfId="5889"/>
    <cellStyle name="Note 30 7" xfId="5890"/>
    <cellStyle name="Note 30 8" xfId="5891"/>
    <cellStyle name="Note 30 9" xfId="5892"/>
    <cellStyle name="Note 31" xfId="5893"/>
    <cellStyle name="Note 31 10" xfId="5894"/>
    <cellStyle name="Note 31 11" xfId="5895"/>
    <cellStyle name="Note 31 2" xfId="5896"/>
    <cellStyle name="Note 31 3" xfId="5897"/>
    <cellStyle name="Note 31 4" xfId="5898"/>
    <cellStyle name="Note 31 5" xfId="5899"/>
    <cellStyle name="Note 31 6" xfId="5900"/>
    <cellStyle name="Note 31 7" xfId="5901"/>
    <cellStyle name="Note 31 8" xfId="5902"/>
    <cellStyle name="Note 31 9" xfId="5903"/>
    <cellStyle name="Note 32" xfId="5904"/>
    <cellStyle name="Note 32 10" xfId="5905"/>
    <cellStyle name="Note 32 11" xfId="5906"/>
    <cellStyle name="Note 32 2" xfId="5907"/>
    <cellStyle name="Note 32 3" xfId="5908"/>
    <cellStyle name="Note 32 4" xfId="5909"/>
    <cellStyle name="Note 32 5" xfId="5910"/>
    <cellStyle name="Note 32 6" xfId="5911"/>
    <cellStyle name="Note 32 7" xfId="5912"/>
    <cellStyle name="Note 32 8" xfId="5913"/>
    <cellStyle name="Note 32 9" xfId="5914"/>
    <cellStyle name="Note 33" xfId="5915"/>
    <cellStyle name="Note 33 10" xfId="5916"/>
    <cellStyle name="Note 33 11" xfId="5917"/>
    <cellStyle name="Note 33 2" xfId="5918"/>
    <cellStyle name="Note 33 3" xfId="5919"/>
    <cellStyle name="Note 33 4" xfId="5920"/>
    <cellStyle name="Note 33 5" xfId="5921"/>
    <cellStyle name="Note 33 6" xfId="5922"/>
    <cellStyle name="Note 33 7" xfId="5923"/>
    <cellStyle name="Note 33 8" xfId="5924"/>
    <cellStyle name="Note 33 9" xfId="5925"/>
    <cellStyle name="Note 34" xfId="5926"/>
    <cellStyle name="Note 34 10" xfId="5927"/>
    <cellStyle name="Note 34 11" xfId="5928"/>
    <cellStyle name="Note 34 2" xfId="5929"/>
    <cellStyle name="Note 34 3" xfId="5930"/>
    <cellStyle name="Note 34 4" xfId="5931"/>
    <cellStyle name="Note 34 5" xfId="5932"/>
    <cellStyle name="Note 34 6" xfId="5933"/>
    <cellStyle name="Note 34 7" xfId="5934"/>
    <cellStyle name="Note 34 8" xfId="5935"/>
    <cellStyle name="Note 34 9" xfId="5936"/>
    <cellStyle name="Note 35" xfId="5937"/>
    <cellStyle name="Note 35 10" xfId="5938"/>
    <cellStyle name="Note 35 11" xfId="5939"/>
    <cellStyle name="Note 35 2" xfId="5940"/>
    <cellStyle name="Note 35 3" xfId="5941"/>
    <cellStyle name="Note 35 4" xfId="5942"/>
    <cellStyle name="Note 35 5" xfId="5943"/>
    <cellStyle name="Note 35 6" xfId="5944"/>
    <cellStyle name="Note 35 7" xfId="5945"/>
    <cellStyle name="Note 35 8" xfId="5946"/>
    <cellStyle name="Note 35 9" xfId="5947"/>
    <cellStyle name="Note 36" xfId="5948"/>
    <cellStyle name="Note 36 10" xfId="5949"/>
    <cellStyle name="Note 36 11" xfId="5950"/>
    <cellStyle name="Note 36 2" xfId="5951"/>
    <cellStyle name="Note 36 3" xfId="5952"/>
    <cellStyle name="Note 36 4" xfId="5953"/>
    <cellStyle name="Note 36 5" xfId="5954"/>
    <cellStyle name="Note 36 6" xfId="5955"/>
    <cellStyle name="Note 36 7" xfId="5956"/>
    <cellStyle name="Note 36 8" xfId="5957"/>
    <cellStyle name="Note 36 9" xfId="5958"/>
    <cellStyle name="Note 37" xfId="5959"/>
    <cellStyle name="Note 37 10" xfId="5960"/>
    <cellStyle name="Note 37 11" xfId="5961"/>
    <cellStyle name="Note 37 2" xfId="5962"/>
    <cellStyle name="Note 37 3" xfId="5963"/>
    <cellStyle name="Note 37 4" xfId="5964"/>
    <cellStyle name="Note 37 5" xfId="5965"/>
    <cellStyle name="Note 37 6" xfId="5966"/>
    <cellStyle name="Note 37 7" xfId="5967"/>
    <cellStyle name="Note 37 8" xfId="5968"/>
    <cellStyle name="Note 37 9" xfId="5969"/>
    <cellStyle name="Note 38" xfId="5970"/>
    <cellStyle name="Note 38 10" xfId="5971"/>
    <cellStyle name="Note 38 11" xfId="5972"/>
    <cellStyle name="Note 38 2" xfId="5973"/>
    <cellStyle name="Note 38 3" xfId="5974"/>
    <cellStyle name="Note 38 4" xfId="5975"/>
    <cellStyle name="Note 38 5" xfId="5976"/>
    <cellStyle name="Note 38 6" xfId="5977"/>
    <cellStyle name="Note 38 7" xfId="5978"/>
    <cellStyle name="Note 38 8" xfId="5979"/>
    <cellStyle name="Note 38 9" xfId="5980"/>
    <cellStyle name="Note 39" xfId="5981"/>
    <cellStyle name="Note 4" xfId="5982"/>
    <cellStyle name="Note 4 10" xfId="5983"/>
    <cellStyle name="Note 4 11" xfId="5984"/>
    <cellStyle name="Note 4 2" xfId="5985"/>
    <cellStyle name="Note 4 3" xfId="5986"/>
    <cellStyle name="Note 4 4" xfId="5987"/>
    <cellStyle name="Note 4 5" xfId="5988"/>
    <cellStyle name="Note 4 6" xfId="5989"/>
    <cellStyle name="Note 4 7" xfId="5990"/>
    <cellStyle name="Note 4 8" xfId="5991"/>
    <cellStyle name="Note 4 9" xfId="5992"/>
    <cellStyle name="Note 40" xfId="5993"/>
    <cellStyle name="Note 41" xfId="5994"/>
    <cellStyle name="Note 42" xfId="5995"/>
    <cellStyle name="Note 43" xfId="5996"/>
    <cellStyle name="Note 44" xfId="5997"/>
    <cellStyle name="Note 45" xfId="5998"/>
    <cellStyle name="Note 46" xfId="6619"/>
    <cellStyle name="Note 5" xfId="5999"/>
    <cellStyle name="Note 5 10" xfId="6000"/>
    <cellStyle name="Note 5 11" xfId="6001"/>
    <cellStyle name="Note 5 2" xfId="6002"/>
    <cellStyle name="Note 5 3" xfId="6003"/>
    <cellStyle name="Note 5 4" xfId="6004"/>
    <cellStyle name="Note 5 5" xfId="6005"/>
    <cellStyle name="Note 5 6" xfId="6006"/>
    <cellStyle name="Note 5 7" xfId="6007"/>
    <cellStyle name="Note 5 8" xfId="6008"/>
    <cellStyle name="Note 5 9" xfId="6009"/>
    <cellStyle name="Note 6" xfId="6010"/>
    <cellStyle name="Note 6 10" xfId="6011"/>
    <cellStyle name="Note 6 11" xfId="6012"/>
    <cellStyle name="Note 6 2" xfId="6013"/>
    <cellStyle name="Note 6 3" xfId="6014"/>
    <cellStyle name="Note 6 4" xfId="6015"/>
    <cellStyle name="Note 6 5" xfId="6016"/>
    <cellStyle name="Note 6 6" xfId="6017"/>
    <cellStyle name="Note 6 7" xfId="6018"/>
    <cellStyle name="Note 6 8" xfId="6019"/>
    <cellStyle name="Note 6 9" xfId="6020"/>
    <cellStyle name="Note 7" xfId="6021"/>
    <cellStyle name="Note 7 10" xfId="6022"/>
    <cellStyle name="Note 7 11" xfId="6023"/>
    <cellStyle name="Note 7 2" xfId="6024"/>
    <cellStyle name="Note 7 3" xfId="6025"/>
    <cellStyle name="Note 7 4" xfId="6026"/>
    <cellStyle name="Note 7 5" xfId="6027"/>
    <cellStyle name="Note 7 6" xfId="6028"/>
    <cellStyle name="Note 7 7" xfId="6029"/>
    <cellStyle name="Note 7 8" xfId="6030"/>
    <cellStyle name="Note 7 9" xfId="6031"/>
    <cellStyle name="Note 8" xfId="6032"/>
    <cellStyle name="Note 8 10" xfId="6033"/>
    <cellStyle name="Note 8 11" xfId="6034"/>
    <cellStyle name="Note 8 2" xfId="6035"/>
    <cellStyle name="Note 8 3" xfId="6036"/>
    <cellStyle name="Note 8 4" xfId="6037"/>
    <cellStyle name="Note 8 5" xfId="6038"/>
    <cellStyle name="Note 8 6" xfId="6039"/>
    <cellStyle name="Note 8 7" xfId="6040"/>
    <cellStyle name="Note 8 8" xfId="6041"/>
    <cellStyle name="Note 8 9" xfId="6042"/>
    <cellStyle name="Note 9" xfId="6043"/>
    <cellStyle name="Note 9 10" xfId="6044"/>
    <cellStyle name="Note 9 11" xfId="6045"/>
    <cellStyle name="Note 9 2" xfId="6046"/>
    <cellStyle name="Note 9 3" xfId="6047"/>
    <cellStyle name="Note 9 4" xfId="6048"/>
    <cellStyle name="Note 9 5" xfId="6049"/>
    <cellStyle name="Note 9 6" xfId="6050"/>
    <cellStyle name="Note 9 7" xfId="6051"/>
    <cellStyle name="Note 9 8" xfId="6052"/>
    <cellStyle name="Note 9 9" xfId="6053"/>
    <cellStyle name="Output" xfId="6577" builtinId="21" customBuiltin="1"/>
    <cellStyle name="Parent row" xfId="6556"/>
    <cellStyle name="Percent" xfId="6161" builtinId="5"/>
    <cellStyle name="Percent 2" xfId="12"/>
    <cellStyle name="Percent 2 10" xfId="6054"/>
    <cellStyle name="Percent 2 11" xfId="6630"/>
    <cellStyle name="Percent 2 2" xfId="6055"/>
    <cellStyle name="Percent 2 2 10" xfId="6056"/>
    <cellStyle name="Percent 2 2 11" xfId="6057"/>
    <cellStyle name="Percent 2 2 12" xfId="6535"/>
    <cellStyle name="Percent 2 2 13" xfId="6649"/>
    <cellStyle name="Percent 2 2 2" xfId="6058"/>
    <cellStyle name="Percent 2 2 2 2" xfId="6686"/>
    <cellStyle name="Percent 2 2 3" xfId="6059"/>
    <cellStyle name="Percent 2 2 3 2" xfId="6665"/>
    <cellStyle name="Percent 2 2 4" xfId="6060"/>
    <cellStyle name="Percent 2 2 5" xfId="6061"/>
    <cellStyle name="Percent 2 2 6" xfId="6062"/>
    <cellStyle name="Percent 2 2 7" xfId="6063"/>
    <cellStyle name="Percent 2 2 8" xfId="6064"/>
    <cellStyle name="Percent 2 2 9" xfId="6065"/>
    <cellStyle name="Percent 2 3" xfId="6066"/>
    <cellStyle name="Percent 2 3 10" xfId="6067"/>
    <cellStyle name="Percent 2 3 11" xfId="6068"/>
    <cellStyle name="Percent 2 3 12" xfId="6069"/>
    <cellStyle name="Percent 2 3 13" xfId="6070"/>
    <cellStyle name="Percent 2 3 14" xfId="6071"/>
    <cellStyle name="Percent 2 3 15" xfId="6072"/>
    <cellStyle name="Percent 2 3 16" xfId="6073"/>
    <cellStyle name="Percent 2 3 17" xfId="6074"/>
    <cellStyle name="Percent 2 3 18" xfId="6075"/>
    <cellStyle name="Percent 2 3 19" xfId="6076"/>
    <cellStyle name="Percent 2 3 2" xfId="6077"/>
    <cellStyle name="Percent 2 3 2 2" xfId="6679"/>
    <cellStyle name="Percent 2 3 20" xfId="6641"/>
    <cellStyle name="Percent 2 3 3" xfId="6078"/>
    <cellStyle name="Percent 2 3 4" xfId="6079"/>
    <cellStyle name="Percent 2 3 5" xfId="6080"/>
    <cellStyle name="Percent 2 3 6" xfId="6081"/>
    <cellStyle name="Percent 2 3 7" xfId="6082"/>
    <cellStyle name="Percent 2 3 8" xfId="6083"/>
    <cellStyle name="Percent 2 3 9" xfId="6084"/>
    <cellStyle name="Percent 2 4" xfId="6085"/>
    <cellStyle name="Percent 2 4 10" xfId="6086"/>
    <cellStyle name="Percent 2 4 11" xfId="6087"/>
    <cellStyle name="Percent 2 4 12" xfId="6672"/>
    <cellStyle name="Percent 2 4 2" xfId="6088"/>
    <cellStyle name="Percent 2 4 3" xfId="6089"/>
    <cellStyle name="Percent 2 4 4" xfId="6090"/>
    <cellStyle name="Percent 2 4 5" xfId="6091"/>
    <cellStyle name="Percent 2 4 6" xfId="6092"/>
    <cellStyle name="Percent 2 4 7" xfId="6093"/>
    <cellStyle name="Percent 2 4 8" xfId="6094"/>
    <cellStyle name="Percent 2 4 9" xfId="6095"/>
    <cellStyle name="Percent 2 5" xfId="6096"/>
    <cellStyle name="Percent 2 5 10" xfId="6097"/>
    <cellStyle name="Percent 2 5 11" xfId="6098"/>
    <cellStyle name="Percent 2 5 12" xfId="6658"/>
    <cellStyle name="Percent 2 5 2" xfId="6099"/>
    <cellStyle name="Percent 2 5 3" xfId="6100"/>
    <cellStyle name="Percent 2 5 4" xfId="6101"/>
    <cellStyle name="Percent 2 5 5" xfId="6102"/>
    <cellStyle name="Percent 2 5 6" xfId="6103"/>
    <cellStyle name="Percent 2 5 7" xfId="6104"/>
    <cellStyle name="Percent 2 5 8" xfId="6105"/>
    <cellStyle name="Percent 2 5 9" xfId="6106"/>
    <cellStyle name="Percent 2 6" xfId="6107"/>
    <cellStyle name="Percent 2 7" xfId="6108"/>
    <cellStyle name="Percent 2 8" xfId="6109"/>
    <cellStyle name="Percent 2 9" xfId="6110"/>
    <cellStyle name="Percent 3" xfId="6111"/>
    <cellStyle name="Percent 3 10" xfId="6112"/>
    <cellStyle name="Percent 3 11" xfId="6113"/>
    <cellStyle name="Percent 3 12" xfId="6114"/>
    <cellStyle name="Percent 3 13" xfId="6115"/>
    <cellStyle name="Percent 3 14" xfId="6116"/>
    <cellStyle name="Percent 3 15" xfId="6117"/>
    <cellStyle name="Percent 3 16" xfId="6118"/>
    <cellStyle name="Percent 3 17" xfId="6119"/>
    <cellStyle name="Percent 3 18" xfId="6120"/>
    <cellStyle name="Percent 3 19" xfId="6121"/>
    <cellStyle name="Percent 3 2" xfId="6122"/>
    <cellStyle name="Percent 3 20" xfId="6536"/>
    <cellStyle name="Percent 3 21" xfId="6565"/>
    <cellStyle name="Percent 3 22" xfId="6615"/>
    <cellStyle name="Percent 3 23" xfId="6634"/>
    <cellStyle name="Percent 3 3" xfId="6123"/>
    <cellStyle name="Percent 3 4" xfId="6124"/>
    <cellStyle name="Percent 3 5" xfId="6125"/>
    <cellStyle name="Percent 3 6" xfId="6126"/>
    <cellStyle name="Percent 3 7" xfId="6127"/>
    <cellStyle name="Percent 3 8" xfId="6128"/>
    <cellStyle name="Percent 3 9" xfId="6129"/>
    <cellStyle name="Percent 4" xfId="6534"/>
    <cellStyle name="Percent 4 2" xfId="6561"/>
    <cellStyle name="Percent 4 3" xfId="6647"/>
    <cellStyle name="Percent 5" xfId="6130"/>
    <cellStyle name="Percent 5 2" xfId="6639"/>
    <cellStyle name="Percent 6" xfId="6131"/>
    <cellStyle name="Percent 7" xfId="6567"/>
    <cellStyle name="Percent 8" xfId="6617"/>
    <cellStyle name="Percent 9" xfId="6628"/>
    <cellStyle name="Percent.0" xfId="6132"/>
    <cellStyle name="Percent.00" xfId="6133"/>
    <cellStyle name="RED POSTED" xfId="6134"/>
    <cellStyle name="RSE" xfId="6568"/>
    <cellStyle name="Section Break" xfId="6557"/>
    <cellStyle name="Section Break: parent row" xfId="6558"/>
    <cellStyle name="Standard_Anpassen der Amortisation" xfId="6135"/>
    <cellStyle name="Table title" xfId="6559"/>
    <cellStyle name="Text_simple" xfId="6136"/>
    <cellStyle name="Title 2" xfId="6618"/>
    <cellStyle name="TmsRmn10BlueItalic" xfId="6137"/>
    <cellStyle name="TmsRmn10Bold" xfId="6138"/>
    <cellStyle name="Total" xfId="6583" builtinId="25" customBuiltin="1"/>
    <cellStyle name="Währung [0]_Compiling Utility Macros" xfId="6139"/>
    <cellStyle name="Währung_Compiling Utility Macros" xfId="6140"/>
    <cellStyle name="Warning Text" xfId="6581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Medium4">
    <tableStyle name="Table Style 1" pivot="0" count="2">
      <tableStyleElement type="wholeTable" dxfId="1"/>
      <tableStyleElement type="headerRow" dxfId="0"/>
    </tableStyle>
  </tableStyles>
  <colors>
    <mruColors>
      <color rgb="FFFFFFCC"/>
      <color rgb="FF77BC1F"/>
      <color rgb="FF0070CD"/>
      <color rgb="FFFA7F11"/>
      <color rgb="FFBDE3CF"/>
      <color rgb="FF33CCFF"/>
      <color rgb="FF0099FF"/>
      <color rgb="FF00CCFF"/>
      <color rgb="FF0099CC"/>
      <color rgb="FF0DB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 Solar Output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DEF!$H$2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DEF!$G$3:$G$26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DEF!$H$3:$H$26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2109.6495</c:v>
                </c:pt>
                <c:pt idx="8">
                  <c:v>24180.525299999998</c:v>
                </c:pt>
                <c:pt idx="9">
                  <c:v>44795.505349999992</c:v>
                </c:pt>
                <c:pt idx="10">
                  <c:v>62195.498350000009</c:v>
                </c:pt>
                <c:pt idx="11">
                  <c:v>69628.903600000005</c:v>
                </c:pt>
                <c:pt idx="12">
                  <c:v>73121.134999999995</c:v>
                </c:pt>
                <c:pt idx="13">
                  <c:v>68274.703300000023</c:v>
                </c:pt>
                <c:pt idx="14">
                  <c:v>60146.228499999997</c:v>
                </c:pt>
                <c:pt idx="15">
                  <c:v>46187.509399999995</c:v>
                </c:pt>
                <c:pt idx="16">
                  <c:v>27786.50935</c:v>
                </c:pt>
                <c:pt idx="17">
                  <c:v>7875.4512000000013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B5-4E2C-8943-881E0D839C9C}"/>
            </c:ext>
          </c:extLst>
        </c:ser>
        <c:ser>
          <c:idx val="1"/>
          <c:order val="1"/>
          <c:tx>
            <c:strRef>
              <c:f>DEF!$I$2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DEF!$G$3:$G$26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DEF!$I$3:$I$26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2294.2568000000001</c:v>
                </c:pt>
                <c:pt idx="7">
                  <c:v>15768.7215</c:v>
                </c:pt>
                <c:pt idx="8">
                  <c:v>35610.673000000003</c:v>
                </c:pt>
                <c:pt idx="9">
                  <c:v>52434.73339999999</c:v>
                </c:pt>
                <c:pt idx="10">
                  <c:v>62413.83905000001</c:v>
                </c:pt>
                <c:pt idx="11">
                  <c:v>65915.580449999994</c:v>
                </c:pt>
                <c:pt idx="12">
                  <c:v>67205.479200000002</c:v>
                </c:pt>
                <c:pt idx="13">
                  <c:v>60253.32680000001</c:v>
                </c:pt>
                <c:pt idx="14">
                  <c:v>52789.666300000004</c:v>
                </c:pt>
                <c:pt idx="15">
                  <c:v>40046.740100000003</c:v>
                </c:pt>
                <c:pt idx="16">
                  <c:v>26712.367549999995</c:v>
                </c:pt>
                <c:pt idx="17">
                  <c:v>13224.24245</c:v>
                </c:pt>
                <c:pt idx="18">
                  <c:v>2173.3650000000002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B5-4E2C-8943-881E0D839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466496"/>
        <c:axId val="693467056"/>
      </c:lineChart>
      <c:catAx>
        <c:axId val="693466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67056"/>
        <c:crosses val="autoZero"/>
        <c:auto val="1"/>
        <c:lblAlgn val="ctr"/>
        <c:lblOffset val="100"/>
        <c:noMultiLvlLbl val="0"/>
      </c:catAx>
      <c:valAx>
        <c:axId val="6934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Solar Output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095503255042178E-2"/>
              <c:y val="0.38950580626832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 Solar Output</a:t>
            </a:r>
          </a:p>
        </c:rich>
      </c:tx>
      <c:layout>
        <c:manualLayout>
          <c:xMode val="edge"/>
          <c:yMode val="edge"/>
          <c:x val="0.4313848860404928"/>
          <c:y val="2.1781410680780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FPL!$H$2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FPL!$G$3:$G$26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FPL!$H$3:$H$26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6868.0899999999992</c:v>
                </c:pt>
                <c:pt idx="8">
                  <c:v>30448.546000000009</c:v>
                </c:pt>
                <c:pt idx="9">
                  <c:v>47943.267999999996</c:v>
                </c:pt>
                <c:pt idx="10">
                  <c:v>63337.208999999995</c:v>
                </c:pt>
                <c:pt idx="11">
                  <c:v>67654.665000000008</c:v>
                </c:pt>
                <c:pt idx="12">
                  <c:v>70304.917000000001</c:v>
                </c:pt>
                <c:pt idx="13">
                  <c:v>65901.756999999998</c:v>
                </c:pt>
                <c:pt idx="14">
                  <c:v>57821.638999999996</c:v>
                </c:pt>
                <c:pt idx="15">
                  <c:v>47736.131000000001</c:v>
                </c:pt>
                <c:pt idx="16">
                  <c:v>26108.608000000004</c:v>
                </c:pt>
                <c:pt idx="17">
                  <c:v>6583.978000000001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9E-4DCF-82F9-2C8C546C70CF}"/>
            </c:ext>
          </c:extLst>
        </c:ser>
        <c:ser>
          <c:idx val="1"/>
          <c:order val="1"/>
          <c:tx>
            <c:strRef>
              <c:f>FPL!$I$2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FPL!$G$3:$G$26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FPL!$I$3:$I$26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2507.3690000000006</c:v>
                </c:pt>
                <c:pt idx="7">
                  <c:v>16199.007999999998</c:v>
                </c:pt>
                <c:pt idx="8">
                  <c:v>34571.353999999992</c:v>
                </c:pt>
                <c:pt idx="9">
                  <c:v>53132.075000000004</c:v>
                </c:pt>
                <c:pt idx="10">
                  <c:v>64158.109999999993</c:v>
                </c:pt>
                <c:pt idx="11">
                  <c:v>70632.344000000012</c:v>
                </c:pt>
                <c:pt idx="12">
                  <c:v>72034.693999999989</c:v>
                </c:pt>
                <c:pt idx="13">
                  <c:v>69268.972000000009</c:v>
                </c:pt>
                <c:pt idx="14">
                  <c:v>64905.729000000021</c:v>
                </c:pt>
                <c:pt idx="15">
                  <c:v>50313.463000000011</c:v>
                </c:pt>
                <c:pt idx="16">
                  <c:v>31521.097999999994</c:v>
                </c:pt>
                <c:pt idx="17">
                  <c:v>13308.456999999997</c:v>
                </c:pt>
                <c:pt idx="18">
                  <c:v>1572.0509999999999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9E-4DCF-82F9-2C8C546C7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470976"/>
        <c:axId val="693471536"/>
      </c:lineChart>
      <c:catAx>
        <c:axId val="69347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71536"/>
        <c:crosses val="autoZero"/>
        <c:auto val="1"/>
        <c:lblAlgn val="ctr"/>
        <c:lblOffset val="100"/>
        <c:noMultiLvlLbl val="0"/>
      </c:catAx>
      <c:valAx>
        <c:axId val="69347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Solar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FPU!$H$2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FPU!$G$3:$G$26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FPU!$H$3:$H$26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15.333</c:v>
                </c:pt>
                <c:pt idx="8">
                  <c:v>23219.640999999996</c:v>
                </c:pt>
                <c:pt idx="9">
                  <c:v>43264.590999999993</c:v>
                </c:pt>
                <c:pt idx="10">
                  <c:v>53617.267</c:v>
                </c:pt>
                <c:pt idx="11">
                  <c:v>60844.538999999997</c:v>
                </c:pt>
                <c:pt idx="12">
                  <c:v>65529.266000000011</c:v>
                </c:pt>
                <c:pt idx="13">
                  <c:v>62544.887999999992</c:v>
                </c:pt>
                <c:pt idx="14">
                  <c:v>60396.074000000008</c:v>
                </c:pt>
                <c:pt idx="15">
                  <c:v>45020.623999999989</c:v>
                </c:pt>
                <c:pt idx="16">
                  <c:v>28656.582000000006</c:v>
                </c:pt>
                <c:pt idx="17">
                  <c:v>5897.1219999999994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DA-4605-8980-87AAA51ACDF2}"/>
            </c:ext>
          </c:extLst>
        </c:ser>
        <c:ser>
          <c:idx val="1"/>
          <c:order val="1"/>
          <c:tx>
            <c:strRef>
              <c:f>FPU!$I$2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FPU!$G$3:$G$26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FPU!$I$3:$I$26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2798.3760000000002</c:v>
                </c:pt>
                <c:pt idx="7">
                  <c:v>16598.977999999999</c:v>
                </c:pt>
                <c:pt idx="8">
                  <c:v>37254.889999999992</c:v>
                </c:pt>
                <c:pt idx="9">
                  <c:v>52901.348999999987</c:v>
                </c:pt>
                <c:pt idx="10">
                  <c:v>61751.858999999989</c:v>
                </c:pt>
                <c:pt idx="11">
                  <c:v>65778.010999999999</c:v>
                </c:pt>
                <c:pt idx="12">
                  <c:v>61739.352000000014</c:v>
                </c:pt>
                <c:pt idx="13">
                  <c:v>57559.322000000007</c:v>
                </c:pt>
                <c:pt idx="14">
                  <c:v>54141.723999999995</c:v>
                </c:pt>
                <c:pt idx="15">
                  <c:v>41969.575000000004</c:v>
                </c:pt>
                <c:pt idx="16">
                  <c:v>28942.373</c:v>
                </c:pt>
                <c:pt idx="17">
                  <c:v>13199.883</c:v>
                </c:pt>
                <c:pt idx="18">
                  <c:v>2442.1669999999999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A-4605-8980-87AAA51A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6741264"/>
        <c:axId val="1276741824"/>
      </c:lineChart>
      <c:catAx>
        <c:axId val="127674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41824"/>
        <c:crosses val="autoZero"/>
        <c:auto val="1"/>
        <c:lblAlgn val="ctr"/>
        <c:lblOffset val="100"/>
        <c:noMultiLvlLbl val="0"/>
      </c:catAx>
      <c:valAx>
        <c:axId val="127674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</a:t>
                </a:r>
                <a:r>
                  <a:rPr lang="en-US" baseline="0"/>
                  <a:t>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4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Gulf!$H$2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Gulf!$G$3:$G$26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Gulf!$H$3:$H$26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9176.5319999999992</c:v>
                </c:pt>
                <c:pt idx="8">
                  <c:v>33109.969999999994</c:v>
                </c:pt>
                <c:pt idx="9">
                  <c:v>49306.516999999993</c:v>
                </c:pt>
                <c:pt idx="10">
                  <c:v>60895.471000000005</c:v>
                </c:pt>
                <c:pt idx="11">
                  <c:v>65793.071999999986</c:v>
                </c:pt>
                <c:pt idx="12">
                  <c:v>61894.154999999999</c:v>
                </c:pt>
                <c:pt idx="13">
                  <c:v>56785.784</c:v>
                </c:pt>
                <c:pt idx="14">
                  <c:v>49047.561999999998</c:v>
                </c:pt>
                <c:pt idx="15">
                  <c:v>33946.387999999999</c:v>
                </c:pt>
                <c:pt idx="16">
                  <c:v>13439.724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B5-4877-A144-C4BAE53D1300}"/>
            </c:ext>
          </c:extLst>
        </c:ser>
        <c:ser>
          <c:idx val="1"/>
          <c:order val="1"/>
          <c:tx>
            <c:strRef>
              <c:f>Gulf!$I$2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Gulf!$G$3:$G$26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Gulf!$I$3:$I$26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390.08600000000007</c:v>
                </c:pt>
                <c:pt idx="6">
                  <c:v>9338.3669999999984</c:v>
                </c:pt>
                <c:pt idx="7">
                  <c:v>25369.758000000005</c:v>
                </c:pt>
                <c:pt idx="8">
                  <c:v>43516.042999999991</c:v>
                </c:pt>
                <c:pt idx="9">
                  <c:v>58495.970999999998</c:v>
                </c:pt>
                <c:pt idx="10">
                  <c:v>63259.679999999993</c:v>
                </c:pt>
                <c:pt idx="11">
                  <c:v>64488.383000000009</c:v>
                </c:pt>
                <c:pt idx="12">
                  <c:v>69427.379000000015</c:v>
                </c:pt>
                <c:pt idx="13">
                  <c:v>64291.603999999985</c:v>
                </c:pt>
                <c:pt idx="14">
                  <c:v>51025.578000000001</c:v>
                </c:pt>
                <c:pt idx="15">
                  <c:v>38942.450999999994</c:v>
                </c:pt>
                <c:pt idx="16">
                  <c:v>21464.464999999997</c:v>
                </c:pt>
                <c:pt idx="17">
                  <c:v>6270.0450000000001</c:v>
                </c:pt>
                <c:pt idx="18">
                  <c:v>12.02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B5-4877-A144-C4BAE53D1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6745184"/>
        <c:axId val="1276745744"/>
      </c:lineChart>
      <c:catAx>
        <c:axId val="127674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45744"/>
        <c:crosses val="autoZero"/>
        <c:auto val="1"/>
        <c:lblAlgn val="ctr"/>
        <c:lblOffset val="100"/>
        <c:noMultiLvlLbl val="0"/>
      </c:catAx>
      <c:valAx>
        <c:axId val="127674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 Output (w)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4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 Solar Output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JEA!$H$1:$H$2</c:f>
              <c:strCache>
                <c:ptCount val="2"/>
                <c:pt idx="0">
                  <c:v>Sum of AC System Output (W)</c:v>
                </c:pt>
                <c:pt idx="1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JEA!$G$3:$G$26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JEA!$H$3:$H$26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15.333</c:v>
                </c:pt>
                <c:pt idx="8">
                  <c:v>23219.640999999996</c:v>
                </c:pt>
                <c:pt idx="9">
                  <c:v>43264.590999999993</c:v>
                </c:pt>
                <c:pt idx="10">
                  <c:v>53617.267</c:v>
                </c:pt>
                <c:pt idx="11">
                  <c:v>60844.538999999997</c:v>
                </c:pt>
                <c:pt idx="12">
                  <c:v>65529.266000000011</c:v>
                </c:pt>
                <c:pt idx="13">
                  <c:v>62544.887999999992</c:v>
                </c:pt>
                <c:pt idx="14">
                  <c:v>60396.074000000008</c:v>
                </c:pt>
                <c:pt idx="15">
                  <c:v>45020.623999999989</c:v>
                </c:pt>
                <c:pt idx="16">
                  <c:v>28656.582000000006</c:v>
                </c:pt>
                <c:pt idx="17">
                  <c:v>5897.1219999999994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B6-4E3C-B831-FE198AF5E547}"/>
            </c:ext>
          </c:extLst>
        </c:ser>
        <c:ser>
          <c:idx val="1"/>
          <c:order val="1"/>
          <c:tx>
            <c:strRef>
              <c:f>JEA!$I$1:$I$2</c:f>
              <c:strCache>
                <c:ptCount val="2"/>
                <c:pt idx="0">
                  <c:v>Sum of AC System Output (W)</c:v>
                </c:pt>
                <c:pt idx="1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JEA!$G$3:$G$26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JEA!$I$3:$I$26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2798.3760000000002</c:v>
                </c:pt>
                <c:pt idx="7">
                  <c:v>16598.977999999999</c:v>
                </c:pt>
                <c:pt idx="8">
                  <c:v>37254.889999999992</c:v>
                </c:pt>
                <c:pt idx="9">
                  <c:v>52901.348999999987</c:v>
                </c:pt>
                <c:pt idx="10">
                  <c:v>61751.858999999989</c:v>
                </c:pt>
                <c:pt idx="11">
                  <c:v>65778.010999999999</c:v>
                </c:pt>
                <c:pt idx="12">
                  <c:v>61739.352000000014</c:v>
                </c:pt>
                <c:pt idx="13">
                  <c:v>57559.322000000007</c:v>
                </c:pt>
                <c:pt idx="14">
                  <c:v>54141.723999999995</c:v>
                </c:pt>
                <c:pt idx="15">
                  <c:v>41969.575000000004</c:v>
                </c:pt>
                <c:pt idx="16">
                  <c:v>28942.373</c:v>
                </c:pt>
                <c:pt idx="17">
                  <c:v>13199.883</c:v>
                </c:pt>
                <c:pt idx="18">
                  <c:v>2442.1669999999999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B6-4E3C-B831-FE198AF5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679936"/>
        <c:axId val="2052680496"/>
      </c:lineChart>
      <c:catAx>
        <c:axId val="205267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680496"/>
        <c:crosses val="autoZero"/>
        <c:auto val="1"/>
        <c:lblAlgn val="ctr"/>
        <c:lblOffset val="100"/>
        <c:noMultiLvlLbl val="0"/>
      </c:catAx>
      <c:valAx>
        <c:axId val="20526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</a:t>
                </a:r>
                <a:r>
                  <a:rPr lang="en-US" baseline="0"/>
                  <a:t>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67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OUC!$H$2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OUC!$G$3:$G$26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OUC!$H$3:$H$26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3632.5429999999997</c:v>
                </c:pt>
                <c:pt idx="8">
                  <c:v>26422.35</c:v>
                </c:pt>
                <c:pt idx="9">
                  <c:v>47833.297999999988</c:v>
                </c:pt>
                <c:pt idx="10">
                  <c:v>65933.256999999998</c:v>
                </c:pt>
                <c:pt idx="11">
                  <c:v>67713.985000000001</c:v>
                </c:pt>
                <c:pt idx="12">
                  <c:v>71587.249000000011</c:v>
                </c:pt>
                <c:pt idx="13">
                  <c:v>66727.165000000023</c:v>
                </c:pt>
                <c:pt idx="14">
                  <c:v>59058.269000000015</c:v>
                </c:pt>
                <c:pt idx="15">
                  <c:v>44390.894999999997</c:v>
                </c:pt>
                <c:pt idx="16">
                  <c:v>28409.252999999993</c:v>
                </c:pt>
                <c:pt idx="17">
                  <c:v>6461.5250000000015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96-499D-87EC-0A7077F17331}"/>
            </c:ext>
          </c:extLst>
        </c:ser>
        <c:ser>
          <c:idx val="1"/>
          <c:order val="1"/>
          <c:tx>
            <c:strRef>
              <c:f>OUC!$I$2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OUC!$G$3:$G$26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OUC!$I$3:$I$26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2728.3209999999999</c:v>
                </c:pt>
                <c:pt idx="7">
                  <c:v>17715.89</c:v>
                </c:pt>
                <c:pt idx="8">
                  <c:v>38497.021000000008</c:v>
                </c:pt>
                <c:pt idx="9">
                  <c:v>56513.555999999982</c:v>
                </c:pt>
                <c:pt idx="10">
                  <c:v>65562.785999999993</c:v>
                </c:pt>
                <c:pt idx="11">
                  <c:v>67220.431999999986</c:v>
                </c:pt>
                <c:pt idx="12">
                  <c:v>69321.463000000003</c:v>
                </c:pt>
                <c:pt idx="13">
                  <c:v>57278.402000000002</c:v>
                </c:pt>
                <c:pt idx="14">
                  <c:v>48606.05</c:v>
                </c:pt>
                <c:pt idx="15">
                  <c:v>37712.954000000005</c:v>
                </c:pt>
                <c:pt idx="16">
                  <c:v>24289.55</c:v>
                </c:pt>
                <c:pt idx="17">
                  <c:v>11151.625000000002</c:v>
                </c:pt>
                <c:pt idx="18">
                  <c:v>1891.8400000000001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96-499D-87EC-0A7077F17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683856"/>
        <c:axId val="2052684416"/>
      </c:lineChart>
      <c:catAx>
        <c:axId val="205268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684416"/>
        <c:crosses val="autoZero"/>
        <c:auto val="1"/>
        <c:lblAlgn val="ctr"/>
        <c:lblOffset val="100"/>
        <c:noMultiLvlLbl val="0"/>
      </c:catAx>
      <c:valAx>
        <c:axId val="20526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</a:t>
                </a:r>
                <a:r>
                  <a:rPr lang="en-US" baseline="0"/>
                  <a:t>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68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</a:t>
            </a:r>
            <a:r>
              <a:rPr lang="en-US" baseline="0"/>
              <a:t> Solar Output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TECO!$H$2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rgbClr val="0070CD"/>
              </a:solidFill>
              <a:round/>
            </a:ln>
            <a:effectLst/>
          </c:spPr>
          <c:marker>
            <c:symbol val="none"/>
          </c:marker>
          <c:cat>
            <c:numRef>
              <c:f>TECO!$G$3:$G$26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TECO!$H$3:$H$26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1055.567</c:v>
                </c:pt>
                <c:pt idx="8">
                  <c:v>23127.85</c:v>
                </c:pt>
                <c:pt idx="9">
                  <c:v>43010.017</c:v>
                </c:pt>
                <c:pt idx="10">
                  <c:v>60592.506000000016</c:v>
                </c:pt>
                <c:pt idx="11">
                  <c:v>73113.369000000006</c:v>
                </c:pt>
                <c:pt idx="12">
                  <c:v>76740.512999999977</c:v>
                </c:pt>
                <c:pt idx="13">
                  <c:v>71387.287000000026</c:v>
                </c:pt>
                <c:pt idx="14">
                  <c:v>62255.100999999988</c:v>
                </c:pt>
                <c:pt idx="15">
                  <c:v>48385.93499999999</c:v>
                </c:pt>
                <c:pt idx="16">
                  <c:v>27011.610000000004</c:v>
                </c:pt>
                <c:pt idx="17">
                  <c:v>8591.7950000000019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EA-40D1-8CF0-2AA8817ADE12}"/>
            </c:ext>
          </c:extLst>
        </c:ser>
        <c:ser>
          <c:idx val="1"/>
          <c:order val="1"/>
          <c:tx>
            <c:strRef>
              <c:f>TECO!$I$2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rgbClr val="77BC1F"/>
              </a:solidFill>
              <a:round/>
            </a:ln>
            <a:effectLst/>
          </c:spPr>
          <c:marker>
            <c:symbol val="none"/>
          </c:marker>
          <c:cat>
            <c:numRef>
              <c:f>TECO!$G$3:$G$26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TECO!$I$3:$I$26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2035.9970000000001</c:v>
                </c:pt>
                <c:pt idx="7">
                  <c:v>14651.598</c:v>
                </c:pt>
                <c:pt idx="8">
                  <c:v>34223.955000000002</c:v>
                </c:pt>
                <c:pt idx="9">
                  <c:v>49540.123999999996</c:v>
                </c:pt>
                <c:pt idx="10">
                  <c:v>60303.343000000008</c:v>
                </c:pt>
                <c:pt idx="11">
                  <c:v>65663.979000000021</c:v>
                </c:pt>
                <c:pt idx="12">
                  <c:v>67268.464999999997</c:v>
                </c:pt>
                <c:pt idx="13">
                  <c:v>64365.58400000001</c:v>
                </c:pt>
                <c:pt idx="14">
                  <c:v>57461.952000000012</c:v>
                </c:pt>
                <c:pt idx="15">
                  <c:v>41890.240000000005</c:v>
                </c:pt>
                <c:pt idx="16">
                  <c:v>28320.778999999995</c:v>
                </c:pt>
                <c:pt idx="17">
                  <c:v>14696.853999999999</c:v>
                </c:pt>
                <c:pt idx="18">
                  <c:v>2166.0239999999999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EA-40D1-8CF0-2AA8817A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36304"/>
        <c:axId val="139036864"/>
      </c:lineChart>
      <c:catAx>
        <c:axId val="13903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36864"/>
        <c:crosses val="autoZero"/>
        <c:auto val="1"/>
        <c:lblAlgn val="ctr"/>
        <c:lblOffset val="100"/>
        <c:noMultiLvlLbl val="0"/>
      </c:catAx>
      <c:valAx>
        <c:axId val="1390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Solar Output (w)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36304"/>
        <c:crosses val="autoZero"/>
        <c:crossBetween val="between"/>
      </c:valAx>
      <c:spPr>
        <a:noFill/>
        <a:ln>
          <a:solidFill>
            <a:srgbClr val="77BC1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174171</xdr:colOff>
      <xdr:row>2</xdr:row>
      <xdr:rowOff>48987</xdr:rowOff>
    </xdr:from>
    <xdr:to>
      <xdr:col>14</xdr:col>
      <xdr:colOff>468084</xdr:colOff>
      <xdr:row>20</xdr:row>
      <xdr:rowOff>21772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370112</xdr:colOff>
      <xdr:row>1</xdr:row>
      <xdr:rowOff>27215</xdr:rowOff>
    </xdr:from>
    <xdr:to>
      <xdr:col>14</xdr:col>
      <xdr:colOff>620484</xdr:colOff>
      <xdr:row>26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130627</xdr:colOff>
      <xdr:row>1</xdr:row>
      <xdr:rowOff>16329</xdr:rowOff>
    </xdr:from>
    <xdr:to>
      <xdr:col>14</xdr:col>
      <xdr:colOff>720437</xdr:colOff>
      <xdr:row>26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239484</xdr:colOff>
      <xdr:row>0</xdr:row>
      <xdr:rowOff>81643</xdr:rowOff>
    </xdr:from>
    <xdr:to>
      <xdr:col>14</xdr:col>
      <xdr:colOff>783771</xdr:colOff>
      <xdr:row>25</xdr:row>
      <xdr:rowOff>174170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188257</xdr:colOff>
      <xdr:row>0</xdr:row>
      <xdr:rowOff>147917</xdr:rowOff>
    </xdr:from>
    <xdr:to>
      <xdr:col>14</xdr:col>
      <xdr:colOff>412375</xdr:colOff>
      <xdr:row>27</xdr:row>
      <xdr:rowOff>35858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168408</xdr:colOff>
      <xdr:row>0</xdr:row>
      <xdr:rowOff>114619</xdr:rowOff>
    </xdr:from>
    <xdr:to>
      <xdr:col>14</xdr:col>
      <xdr:colOff>631371</xdr:colOff>
      <xdr:row>25</xdr:row>
      <xdr:rowOff>130628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235527</xdr:colOff>
      <xdr:row>0</xdr:row>
      <xdr:rowOff>103909</xdr:rowOff>
    </xdr:from>
    <xdr:to>
      <xdr:col>15</xdr:col>
      <xdr:colOff>775854</xdr:colOff>
      <xdr:row>26</xdr:row>
      <xdr:rowOff>55418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sridhar/Desktop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line"/>
      <sheetName val="Book1"/>
    </sheetNames>
    <definedNames>
      <definedName name="Data.Top.Left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census.gov/construction/chars/mfu.html" TargetMode="External"/><Relationship Id="rId1" Type="http://schemas.openxmlformats.org/officeDocument/2006/relationships/hyperlink" Target="https://www.census.gov/construction/chars/completed.html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rightstarsolar.net/common-sizes-of-solar-panels/" TargetMode="External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el.gov/docs/fy16osti/6529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2:I78"/>
  <sheetViews>
    <sheetView workbookViewId="0">
      <selection activeCell="B4" sqref="B4"/>
    </sheetView>
  </sheetViews>
  <sheetFormatPr defaultColWidth="8.69921875" defaultRowHeight="13.2"/>
  <cols>
    <col min="1" max="1" width="30.09765625" style="80" customWidth="1"/>
    <col min="2" max="2" width="11.8984375" style="80" customWidth="1"/>
    <col min="3" max="3" width="11.3984375" style="80" customWidth="1"/>
    <col min="4" max="4" width="12.69921875" style="80" customWidth="1"/>
    <col min="5" max="7" width="9.69921875" style="80" bestFit="1" customWidth="1"/>
    <col min="8" max="8" width="11.09765625" style="80" bestFit="1" customWidth="1"/>
    <col min="9" max="9" width="13.59765625" style="80" customWidth="1"/>
    <col min="10" max="11" width="8.69921875" style="80"/>
    <col min="12" max="12" width="9.59765625" style="80" bestFit="1" customWidth="1"/>
    <col min="13" max="16384" width="8.69921875" style="80"/>
  </cols>
  <sheetData>
    <row r="2" spans="1:9">
      <c r="A2" s="83" t="s">
        <v>183</v>
      </c>
      <c r="B2" s="83" t="s">
        <v>106</v>
      </c>
      <c r="C2" s="83" t="s">
        <v>105</v>
      </c>
      <c r="D2" s="83" t="s">
        <v>107</v>
      </c>
      <c r="E2" s="83" t="s">
        <v>109</v>
      </c>
      <c r="F2" s="83" t="s">
        <v>108</v>
      </c>
      <c r="G2" s="83" t="s">
        <v>110</v>
      </c>
      <c r="H2" s="83" t="s">
        <v>111</v>
      </c>
      <c r="I2" s="83" t="s">
        <v>21</v>
      </c>
    </row>
    <row r="3" spans="1:9">
      <c r="A3" s="80" t="s">
        <v>6</v>
      </c>
      <c r="B3" s="81">
        <f>Forecast!M12</f>
        <v>1005068.1465372915</v>
      </c>
      <c r="C3" s="81">
        <f>Forecast!N12</f>
        <v>2498389</v>
      </c>
      <c r="D3" s="81">
        <f>Forecast!O12</f>
        <v>17595</v>
      </c>
      <c r="E3" s="81">
        <f>Forecast!P12</f>
        <v>300867.1848626475</v>
      </c>
      <c r="F3" s="81">
        <f>Forecast!Q12</f>
        <v>339602</v>
      </c>
      <c r="G3" s="81">
        <f>Forecast!R12</f>
        <v>94161.894520000002</v>
      </c>
      <c r="H3" s="81">
        <f>Forecast!S12</f>
        <v>460678</v>
      </c>
      <c r="I3" s="81">
        <f>SUM(B3:H3)</f>
        <v>4716361.2259199386</v>
      </c>
    </row>
    <row r="4" spans="1:9">
      <c r="A4" s="80" t="s">
        <v>67</v>
      </c>
      <c r="B4" s="81">
        <f>Forecast!M13</f>
        <v>468469.48244488286</v>
      </c>
      <c r="C4" s="81">
        <f>Forecast!N13</f>
        <v>1749028</v>
      </c>
      <c r="D4" s="81">
        <f>Forecast!O13</f>
        <v>5249</v>
      </c>
      <c r="E4" s="81">
        <f>Forecast!P13</f>
        <v>89752.775198099145</v>
      </c>
      <c r="F4" s="81">
        <f>Forecast!Q13</f>
        <v>72165</v>
      </c>
      <c r="G4" s="81">
        <f>Forecast!R13</f>
        <v>132149.00263999999</v>
      </c>
      <c r="H4" s="81">
        <f>Forecast!S13</f>
        <v>153039</v>
      </c>
      <c r="I4" s="81">
        <f t="shared" ref="I4:I5" si="0">SUM(B4:H4)</f>
        <v>2669852.2602829821</v>
      </c>
    </row>
    <row r="5" spans="1:9">
      <c r="A5" s="79" t="s">
        <v>68</v>
      </c>
      <c r="B5" s="82">
        <f>Forecast!M14</f>
        <v>183746.37101782564</v>
      </c>
      <c r="C5" s="82">
        <f>Forecast!N14</f>
        <v>272744</v>
      </c>
      <c r="D5" s="82">
        <f>Forecast!O14</f>
        <v>1445</v>
      </c>
      <c r="E5" s="82">
        <f>Forecast!P14</f>
        <v>24701.039939253333</v>
      </c>
      <c r="F5" s="82">
        <f>Forecast!Q14</f>
        <v>12735</v>
      </c>
      <c r="G5" s="82">
        <f>Forecast!R14</f>
        <v>1550.2796800000001</v>
      </c>
      <c r="H5" s="82">
        <f>Forecast!S14</f>
        <v>57036</v>
      </c>
      <c r="I5" s="82">
        <f t="shared" si="0"/>
        <v>553957.69063707907</v>
      </c>
    </row>
    <row r="6" spans="1:9">
      <c r="A6" s="79" t="s">
        <v>21</v>
      </c>
      <c r="B6" s="82">
        <f>SUM(B3:B5)</f>
        <v>1657283.9999999998</v>
      </c>
      <c r="C6" s="82">
        <f t="shared" ref="C6:I6" si="1">SUM(C3:C5)</f>
        <v>4520161</v>
      </c>
      <c r="D6" s="82">
        <f t="shared" si="1"/>
        <v>24289</v>
      </c>
      <c r="E6" s="82">
        <f t="shared" si="1"/>
        <v>415321</v>
      </c>
      <c r="F6" s="82">
        <f t="shared" si="1"/>
        <v>424502</v>
      </c>
      <c r="G6" s="82">
        <f t="shared" si="1"/>
        <v>227861.17684</v>
      </c>
      <c r="H6" s="82">
        <f t="shared" si="1"/>
        <v>670753</v>
      </c>
      <c r="I6" s="82">
        <f t="shared" si="1"/>
        <v>7940171.1768399999</v>
      </c>
    </row>
    <row r="7" spans="1:9">
      <c r="A7" s="84"/>
      <c r="B7" s="84"/>
      <c r="C7" s="79"/>
      <c r="D7" s="79"/>
      <c r="E7" s="79"/>
      <c r="F7" s="79"/>
      <c r="G7" s="79"/>
      <c r="H7" s="79"/>
      <c r="I7" s="79"/>
    </row>
    <row r="8" spans="1:9">
      <c r="A8" s="83" t="s">
        <v>260</v>
      </c>
      <c r="B8" s="83" t="s">
        <v>106</v>
      </c>
      <c r="C8" s="83" t="s">
        <v>105</v>
      </c>
      <c r="D8" s="83" t="s">
        <v>107</v>
      </c>
      <c r="E8" s="83" t="s">
        <v>109</v>
      </c>
      <c r="F8" s="83" t="s">
        <v>108</v>
      </c>
      <c r="G8" s="83" t="s">
        <v>110</v>
      </c>
      <c r="H8" s="83" t="s">
        <v>111</v>
      </c>
      <c r="I8" s="83" t="s">
        <v>21</v>
      </c>
    </row>
    <row r="9" spans="1:9">
      <c r="A9" s="80" t="s">
        <v>6</v>
      </c>
      <c r="B9" s="81">
        <f ca="1">INDIRECT("'"&amp;B$8&amp;"'!B23")*B3/1000</f>
        <v>0</v>
      </c>
      <c r="C9" s="81">
        <f t="shared" ref="C9:H9" ca="1" si="2">INDIRECT("'"&amp;C$8&amp;"'!B23")*C3/1000</f>
        <v>0</v>
      </c>
      <c r="D9" s="81">
        <f t="shared" ca="1" si="2"/>
        <v>0</v>
      </c>
      <c r="E9" s="81">
        <f t="shared" ca="1" si="2"/>
        <v>0</v>
      </c>
      <c r="F9" s="81">
        <f t="shared" ca="1" si="2"/>
        <v>0</v>
      </c>
      <c r="G9" s="81">
        <f t="shared" ca="1" si="2"/>
        <v>0</v>
      </c>
      <c r="H9" s="81">
        <f t="shared" ca="1" si="2"/>
        <v>0</v>
      </c>
      <c r="I9" s="81">
        <f ca="1">SUM(B9:H9)</f>
        <v>0</v>
      </c>
    </row>
    <row r="10" spans="1:9">
      <c r="A10" s="80" t="s">
        <v>67</v>
      </c>
      <c r="B10" s="81">
        <f ca="1">INDIRECT("'"&amp;B$8&amp;"'!c23")*B4/1000</f>
        <v>0</v>
      </c>
      <c r="C10" s="81">
        <f t="shared" ref="C10:H10" ca="1" si="3">INDIRECT("'"&amp;C$8&amp;"'!c23")*C4/1000</f>
        <v>0</v>
      </c>
      <c r="D10" s="81">
        <f t="shared" ca="1" si="3"/>
        <v>0</v>
      </c>
      <c r="E10" s="81">
        <f t="shared" ca="1" si="3"/>
        <v>0</v>
      </c>
      <c r="F10" s="81">
        <f t="shared" ca="1" si="3"/>
        <v>0</v>
      </c>
      <c r="G10" s="81">
        <f t="shared" ca="1" si="3"/>
        <v>0</v>
      </c>
      <c r="H10" s="81">
        <f t="shared" ca="1" si="3"/>
        <v>0</v>
      </c>
      <c r="I10" s="81">
        <f t="shared" ref="I10:I11" ca="1" si="4">SUM(B10:H10)</f>
        <v>0</v>
      </c>
    </row>
    <row r="11" spans="1:9">
      <c r="A11" s="79" t="s">
        <v>68</v>
      </c>
      <c r="B11" s="148">
        <f ca="1">INDIRECT("'"&amp;B$8&amp;"'!d23")*B5/1000</f>
        <v>0</v>
      </c>
      <c r="C11" s="148">
        <f t="shared" ref="C11:H11" ca="1" si="5">INDIRECT("'"&amp;C$8&amp;"'!d23")*C5/1000</f>
        <v>0</v>
      </c>
      <c r="D11" s="148">
        <f t="shared" ca="1" si="5"/>
        <v>0</v>
      </c>
      <c r="E11" s="148">
        <f t="shared" ca="1" si="5"/>
        <v>0</v>
      </c>
      <c r="F11" s="148">
        <f t="shared" ca="1" si="5"/>
        <v>0</v>
      </c>
      <c r="G11" s="148">
        <f t="shared" ca="1" si="5"/>
        <v>0</v>
      </c>
      <c r="H11" s="148">
        <f t="shared" ca="1" si="5"/>
        <v>0</v>
      </c>
      <c r="I11" s="82">
        <f t="shared" ca="1" si="4"/>
        <v>0</v>
      </c>
    </row>
    <row r="12" spans="1:9">
      <c r="A12" s="79" t="s">
        <v>21</v>
      </c>
      <c r="B12" s="82">
        <f ca="1">SUM(B9:B11)</f>
        <v>0</v>
      </c>
      <c r="C12" s="82">
        <f t="shared" ref="C12:H12" ca="1" si="6">SUM(C9:C11)</f>
        <v>0</v>
      </c>
      <c r="D12" s="82">
        <f t="shared" ca="1" si="6"/>
        <v>0</v>
      </c>
      <c r="E12" s="82">
        <f t="shared" ca="1" si="6"/>
        <v>0</v>
      </c>
      <c r="F12" s="82">
        <f t="shared" ca="1" si="6"/>
        <v>0</v>
      </c>
      <c r="G12" s="82">
        <f t="shared" ca="1" si="6"/>
        <v>0</v>
      </c>
      <c r="H12" s="82">
        <f t="shared" ca="1" si="6"/>
        <v>0</v>
      </c>
      <c r="I12" s="82">
        <f t="shared" ref="I12" ca="1" si="7">SUM(I9:I11)</f>
        <v>0</v>
      </c>
    </row>
    <row r="13" spans="1:9">
      <c r="A13" s="84"/>
      <c r="B13" s="84"/>
      <c r="C13" s="79"/>
      <c r="D13" s="79"/>
      <c r="E13" s="79"/>
      <c r="F13" s="79"/>
      <c r="G13" s="79"/>
      <c r="H13" s="79"/>
      <c r="I13" s="79"/>
    </row>
    <row r="14" spans="1:9">
      <c r="A14" s="84"/>
      <c r="B14" s="84"/>
      <c r="C14" s="79"/>
      <c r="D14" s="79"/>
      <c r="E14" s="79"/>
      <c r="F14" s="79"/>
      <c r="G14" s="79"/>
      <c r="H14" s="79"/>
      <c r="I14" s="79"/>
    </row>
    <row r="15" spans="1:9">
      <c r="A15" s="83" t="s">
        <v>184</v>
      </c>
      <c r="B15" s="83" t="s">
        <v>106</v>
      </c>
      <c r="C15" s="83" t="s">
        <v>105</v>
      </c>
      <c r="D15" s="83" t="s">
        <v>107</v>
      </c>
      <c r="E15" s="83" t="s">
        <v>109</v>
      </c>
      <c r="F15" s="83" t="s">
        <v>108</v>
      </c>
      <c r="G15" s="83" t="s">
        <v>110</v>
      </c>
      <c r="H15" s="83" t="s">
        <v>111</v>
      </c>
      <c r="I15" s="83" t="s">
        <v>21</v>
      </c>
    </row>
    <row r="16" spans="1:9">
      <c r="A16" s="80" t="s">
        <v>6</v>
      </c>
      <c r="B16" s="81">
        <f t="shared" ref="B16:H16" ca="1" si="8">INDIRECT("'"&amp;B$15&amp;"'!B34")</f>
        <v>0</v>
      </c>
      <c r="C16" s="81">
        <f t="shared" ca="1" si="8"/>
        <v>0</v>
      </c>
      <c r="D16" s="81">
        <f t="shared" ca="1" si="8"/>
        <v>0</v>
      </c>
      <c r="E16" s="81">
        <f t="shared" ca="1" si="8"/>
        <v>0</v>
      </c>
      <c r="F16" s="81">
        <f t="shared" ca="1" si="8"/>
        <v>0</v>
      </c>
      <c r="G16" s="81">
        <f t="shared" ca="1" si="8"/>
        <v>0</v>
      </c>
      <c r="H16" s="81">
        <f t="shared" ca="1" si="8"/>
        <v>0</v>
      </c>
      <c r="I16" s="81">
        <f ca="1">SUM(B16:H16)</f>
        <v>0</v>
      </c>
    </row>
    <row r="17" spans="1:9">
      <c r="A17" s="80" t="s">
        <v>67</v>
      </c>
      <c r="B17" s="81">
        <f t="shared" ref="B17:H17" ca="1" si="9">INDIRECT("'"&amp;B$15&amp;"'!C34")</f>
        <v>0</v>
      </c>
      <c r="C17" s="81">
        <f t="shared" ca="1" si="9"/>
        <v>0</v>
      </c>
      <c r="D17" s="81">
        <f t="shared" ca="1" si="9"/>
        <v>0</v>
      </c>
      <c r="E17" s="81">
        <f t="shared" ca="1" si="9"/>
        <v>0</v>
      </c>
      <c r="F17" s="81">
        <f t="shared" ca="1" si="9"/>
        <v>0</v>
      </c>
      <c r="G17" s="81">
        <f t="shared" ca="1" si="9"/>
        <v>0</v>
      </c>
      <c r="H17" s="81">
        <f t="shared" ca="1" si="9"/>
        <v>0</v>
      </c>
      <c r="I17" s="81">
        <f t="shared" ref="I17:I18" ca="1" si="10">SUM(B17:H17)</f>
        <v>0</v>
      </c>
    </row>
    <row r="18" spans="1:9">
      <c r="A18" s="79" t="s">
        <v>68</v>
      </c>
      <c r="B18" s="82">
        <f t="shared" ref="B18:H18" ca="1" si="11">INDIRECT("'"&amp;B$15&amp;"'!D34")</f>
        <v>0</v>
      </c>
      <c r="C18" s="82">
        <f t="shared" ca="1" si="11"/>
        <v>0</v>
      </c>
      <c r="D18" s="82">
        <f t="shared" ca="1" si="11"/>
        <v>0</v>
      </c>
      <c r="E18" s="82">
        <f t="shared" ca="1" si="11"/>
        <v>0</v>
      </c>
      <c r="F18" s="82">
        <f t="shared" ca="1" si="11"/>
        <v>0</v>
      </c>
      <c r="G18" s="82">
        <f t="shared" ca="1" si="11"/>
        <v>0</v>
      </c>
      <c r="H18" s="82">
        <f t="shared" ca="1" si="11"/>
        <v>0</v>
      </c>
      <c r="I18" s="82">
        <f t="shared" ca="1" si="10"/>
        <v>0</v>
      </c>
    </row>
    <row r="19" spans="1:9">
      <c r="A19" s="79" t="s">
        <v>21</v>
      </c>
      <c r="B19" s="82">
        <f ca="1">SUM(B16:B18)</f>
        <v>0</v>
      </c>
      <c r="C19" s="82">
        <f t="shared" ref="C19:I19" ca="1" si="12">SUM(C16:C18)</f>
        <v>0</v>
      </c>
      <c r="D19" s="82">
        <f t="shared" ca="1" si="12"/>
        <v>0</v>
      </c>
      <c r="E19" s="82">
        <f t="shared" ca="1" si="12"/>
        <v>0</v>
      </c>
      <c r="F19" s="82">
        <f t="shared" ca="1" si="12"/>
        <v>0</v>
      </c>
      <c r="G19" s="82">
        <f t="shared" ca="1" si="12"/>
        <v>0</v>
      </c>
      <c r="H19" s="82">
        <f t="shared" ca="1" si="12"/>
        <v>0</v>
      </c>
      <c r="I19" s="82">
        <f t="shared" ca="1" si="12"/>
        <v>0</v>
      </c>
    </row>
    <row r="20" spans="1:9">
      <c r="A20" s="84"/>
      <c r="B20" s="84"/>
      <c r="C20" s="79"/>
      <c r="D20" s="79"/>
      <c r="E20" s="79"/>
      <c r="F20" s="79"/>
      <c r="G20" s="79"/>
      <c r="H20" s="79"/>
      <c r="I20" s="79"/>
    </row>
    <row r="21" spans="1:9">
      <c r="A21" s="103"/>
      <c r="B21" s="104"/>
      <c r="C21" s="104"/>
      <c r="D21" s="104"/>
      <c r="E21" s="104"/>
      <c r="F21" s="104"/>
      <c r="G21" s="104"/>
      <c r="H21" s="104"/>
      <c r="I21" s="104"/>
    </row>
    <row r="22" spans="1:9">
      <c r="A22" s="83" t="s">
        <v>230</v>
      </c>
      <c r="B22" s="83" t="s">
        <v>106</v>
      </c>
      <c r="C22" s="83" t="s">
        <v>105</v>
      </c>
      <c r="D22" s="83" t="s">
        <v>107</v>
      </c>
      <c r="E22" s="83" t="s">
        <v>109</v>
      </c>
      <c r="F22" s="83" t="s">
        <v>108</v>
      </c>
      <c r="G22" s="83" t="s">
        <v>110</v>
      </c>
      <c r="H22" s="83" t="s">
        <v>111</v>
      </c>
      <c r="I22" s="83" t="s">
        <v>21</v>
      </c>
    </row>
    <row r="23" spans="1:9">
      <c r="A23" s="117" t="s">
        <v>6</v>
      </c>
      <c r="B23" s="118">
        <f ca="1">INDIRECT("'"&amp;B$22&amp;"'!B33")/1000</f>
        <v>0</v>
      </c>
      <c r="C23" s="118">
        <f t="shared" ref="C23:H23" ca="1" si="13">INDIRECT("'"&amp;C$22&amp;"'!B33")/1000</f>
        <v>0</v>
      </c>
      <c r="D23" s="118">
        <f t="shared" ca="1" si="13"/>
        <v>0</v>
      </c>
      <c r="E23" s="118">
        <f t="shared" ca="1" si="13"/>
        <v>0</v>
      </c>
      <c r="F23" s="118">
        <f t="shared" ca="1" si="13"/>
        <v>0</v>
      </c>
      <c r="G23" s="118">
        <f t="shared" ca="1" si="13"/>
        <v>0</v>
      </c>
      <c r="H23" s="118">
        <f t="shared" ca="1" si="13"/>
        <v>0</v>
      </c>
      <c r="I23" s="118">
        <f ca="1">SUM(B23:H23)</f>
        <v>0</v>
      </c>
    </row>
    <row r="24" spans="1:9">
      <c r="A24" s="117" t="s">
        <v>67</v>
      </c>
      <c r="B24" s="118">
        <f ca="1">INDIRECT("'"&amp;B$15&amp;"'!C33")/1000</f>
        <v>0</v>
      </c>
      <c r="C24" s="118">
        <f t="shared" ref="C24:H24" ca="1" si="14">INDIRECT("'"&amp;C$15&amp;"'!C33")/1000</f>
        <v>0</v>
      </c>
      <c r="D24" s="118">
        <f t="shared" ca="1" si="14"/>
        <v>0</v>
      </c>
      <c r="E24" s="118">
        <f t="shared" ca="1" si="14"/>
        <v>0</v>
      </c>
      <c r="F24" s="118">
        <f t="shared" ca="1" si="14"/>
        <v>0</v>
      </c>
      <c r="G24" s="118">
        <f t="shared" ca="1" si="14"/>
        <v>0</v>
      </c>
      <c r="H24" s="118">
        <f t="shared" ca="1" si="14"/>
        <v>0</v>
      </c>
      <c r="I24" s="118">
        <f t="shared" ref="I24:I25" ca="1" si="15">SUM(B24:H24)</f>
        <v>0</v>
      </c>
    </row>
    <row r="25" spans="1:9">
      <c r="A25" s="86" t="s">
        <v>68</v>
      </c>
      <c r="B25" s="119">
        <f ca="1">INDIRECT("'"&amp;B$15&amp;"'!D33")/1000</f>
        <v>0</v>
      </c>
      <c r="C25" s="119">
        <f t="shared" ref="C25:H25" ca="1" si="16">INDIRECT("'"&amp;C$15&amp;"'!D33")/1000</f>
        <v>0</v>
      </c>
      <c r="D25" s="119">
        <f t="shared" ca="1" si="16"/>
        <v>0</v>
      </c>
      <c r="E25" s="119">
        <f t="shared" ca="1" si="16"/>
        <v>0</v>
      </c>
      <c r="F25" s="119">
        <f t="shared" ca="1" si="16"/>
        <v>0</v>
      </c>
      <c r="G25" s="119">
        <f t="shared" ca="1" si="16"/>
        <v>0</v>
      </c>
      <c r="H25" s="119">
        <f t="shared" ca="1" si="16"/>
        <v>0</v>
      </c>
      <c r="I25" s="119">
        <f t="shared" ca="1" si="15"/>
        <v>0</v>
      </c>
    </row>
    <row r="26" spans="1:9">
      <c r="A26" s="85" t="s">
        <v>21</v>
      </c>
      <c r="B26" s="120">
        <f ca="1">SUM(B23:B25)</f>
        <v>0</v>
      </c>
      <c r="C26" s="120">
        <f t="shared" ref="C26:I26" ca="1" si="17">SUM(C23:C25)</f>
        <v>0</v>
      </c>
      <c r="D26" s="120">
        <f t="shared" ca="1" si="17"/>
        <v>0</v>
      </c>
      <c r="E26" s="120">
        <f t="shared" ca="1" si="17"/>
        <v>0</v>
      </c>
      <c r="F26" s="120">
        <f t="shared" ca="1" si="17"/>
        <v>0</v>
      </c>
      <c r="G26" s="120">
        <f t="shared" ca="1" si="17"/>
        <v>0</v>
      </c>
      <c r="H26" s="120">
        <f t="shared" ca="1" si="17"/>
        <v>0</v>
      </c>
      <c r="I26" s="120">
        <f t="shared" ca="1" si="17"/>
        <v>0</v>
      </c>
    </row>
    <row r="27" spans="1:9">
      <c r="A27" s="84"/>
      <c r="B27" s="84"/>
      <c r="C27" s="79"/>
      <c r="D27" s="79"/>
      <c r="E27" s="79"/>
      <c r="F27" s="79"/>
      <c r="G27" s="79"/>
      <c r="H27" s="79"/>
      <c r="I27" s="79"/>
    </row>
    <row r="28" spans="1:9">
      <c r="A28" s="83" t="s">
        <v>188</v>
      </c>
      <c r="B28" s="83" t="s">
        <v>106</v>
      </c>
      <c r="C28" s="83" t="s">
        <v>105</v>
      </c>
      <c r="D28" s="83" t="s">
        <v>107</v>
      </c>
      <c r="E28" s="83" t="s">
        <v>109</v>
      </c>
      <c r="F28" s="83" t="s">
        <v>108</v>
      </c>
      <c r="G28" s="83" t="s">
        <v>110</v>
      </c>
      <c r="H28" s="83" t="s">
        <v>111</v>
      </c>
      <c r="I28" s="83" t="s">
        <v>21</v>
      </c>
    </row>
    <row r="29" spans="1:9">
      <c r="A29" s="85" t="s">
        <v>1</v>
      </c>
      <c r="B29" s="124">
        <f ca="1">IFERROR(B19/INDEX(Forecast!$V$4:$AD$7,4,MATCH('Reporting Tables'!B$28,Forecast!$V$4:$AD$4,0)),"")</f>
        <v>0</v>
      </c>
      <c r="C29" s="124">
        <f ca="1">IFERROR(C19/INDEX(Forecast!$V$4:$AD$7,4,MATCH('Reporting Tables'!C$28,Forecast!$V$4:$AD$4,0)),"")</f>
        <v>0</v>
      </c>
      <c r="D29" s="124">
        <f ca="1">IFERROR(D19/INDEX(Forecast!$V$4:$AD$7,4,MATCH('Reporting Tables'!D$28,Forecast!$V$4:$AD$4,0)),"")</f>
        <v>0</v>
      </c>
      <c r="E29" s="124">
        <f ca="1">IFERROR(E19/INDEX(Forecast!$V$4:$AD$7,4,MATCH('Reporting Tables'!E$28,Forecast!$V$4:$AD$4,0)),"")</f>
        <v>0</v>
      </c>
      <c r="F29" s="124">
        <f ca="1">IFERROR(F19/INDEX(Forecast!$V$4:$AD$7,4,MATCH('Reporting Tables'!F$28,Forecast!$V$4:$AD$4,0)),"")</f>
        <v>0</v>
      </c>
      <c r="G29" s="124">
        <f ca="1">IFERROR(G19/INDEX(Forecast!$V$4:$AD$7,4,MATCH('Reporting Tables'!G$28,Forecast!$V$4:$AD$4,0)),"")</f>
        <v>0</v>
      </c>
      <c r="H29" s="124">
        <f ca="1">IFERROR(H19/INDEX(Forecast!$V$4:$AD$7,4,MATCH('Reporting Tables'!H$28,Forecast!$V$4:$AD$4,0)),"")</f>
        <v>0</v>
      </c>
      <c r="I29" s="124">
        <f ca="1">IFERROR(I19/INDEX(Forecast!$V$4:$AD$7,4,MATCH('Reporting Tables'!I$28,Forecast!$V$4:$AD$4,0)),"")</f>
        <v>0</v>
      </c>
    </row>
    <row r="30" spans="1:9">
      <c r="A30" s="86" t="s">
        <v>2</v>
      </c>
      <c r="B30" s="87">
        <f ca="1">IFERROR(B46/INDEX(Forecast!$V$41:$AD$48,2,MATCH('Reporting Tables'!B$28,Forecast!$V$41:$AD$41,0)),"")</f>
        <v>0</v>
      </c>
      <c r="C30" s="87">
        <f ca="1">IFERROR(C46/INDEX(Forecast!$V$41:$AD$48,2,MATCH('Reporting Tables'!C$28,Forecast!$V$41:$AD$41,0)),"")</f>
        <v>0</v>
      </c>
      <c r="D30" s="87">
        <f ca="1">IFERROR(D46/INDEX(Forecast!$V$41:$AD$48,2,MATCH('Reporting Tables'!D$28,Forecast!$V$41:$AD$41,0)),"")</f>
        <v>0</v>
      </c>
      <c r="E30" s="87">
        <f ca="1">IFERROR(E46/INDEX(Forecast!$V$41:$AD$48,2,MATCH('Reporting Tables'!E$28,Forecast!$V$41:$AD$41,0)),"")</f>
        <v>0</v>
      </c>
      <c r="F30" s="87">
        <f ca="1">IFERROR(F46/INDEX(Forecast!$V$41:$AD$48,2,MATCH('Reporting Tables'!F$28,Forecast!$V$41:$AD$41,0)),"")</f>
        <v>0</v>
      </c>
      <c r="G30" s="87">
        <f ca="1">IFERROR(G46/INDEX(Forecast!$V$41:$AD$48,2,MATCH('Reporting Tables'!G$28,Forecast!$V$41:$AD$41,0)),"")</f>
        <v>0</v>
      </c>
      <c r="H30" s="87">
        <f ca="1">IFERROR(H46/INDEX(Forecast!$V$41:$AD$48,2,MATCH('Reporting Tables'!H$28,Forecast!$V$41:$AD$41,0)),"")</f>
        <v>0</v>
      </c>
      <c r="I30" s="87">
        <f ca="1">IFERROR(I46/INDEX(Forecast!$V$41:$AD$48,2,MATCH('Reporting Tables'!I$28,Forecast!$V$41:$AD$41,0)),"")</f>
        <v>0</v>
      </c>
    </row>
    <row r="32" spans="1:9">
      <c r="A32" s="83" t="s">
        <v>190</v>
      </c>
      <c r="B32" s="83" t="s">
        <v>106</v>
      </c>
      <c r="C32" s="83" t="s">
        <v>105</v>
      </c>
      <c r="D32" s="83" t="s">
        <v>107</v>
      </c>
      <c r="E32" s="83" t="s">
        <v>109</v>
      </c>
      <c r="F32" s="83" t="s">
        <v>108</v>
      </c>
      <c r="G32" s="83" t="s">
        <v>110</v>
      </c>
      <c r="H32" s="83" t="s">
        <v>111</v>
      </c>
      <c r="I32" s="83" t="s">
        <v>21</v>
      </c>
    </row>
    <row r="33" spans="1:9">
      <c r="A33" s="80" t="s">
        <v>73</v>
      </c>
      <c r="B33" s="88">
        <f t="shared" ref="B33:H33" ca="1" si="18">INDIRECT("'"&amp;B$32&amp;"'!B48")</f>
        <v>0</v>
      </c>
      <c r="C33" s="88">
        <f t="shared" ca="1" si="18"/>
        <v>0</v>
      </c>
      <c r="D33" s="88">
        <f t="shared" ca="1" si="18"/>
        <v>0</v>
      </c>
      <c r="E33" s="88">
        <f t="shared" ca="1" si="18"/>
        <v>0</v>
      </c>
      <c r="F33" s="88">
        <f t="shared" ca="1" si="18"/>
        <v>0</v>
      </c>
      <c r="G33" s="88">
        <f t="shared" ca="1" si="18"/>
        <v>0</v>
      </c>
      <c r="H33" s="88">
        <f t="shared" ca="1" si="18"/>
        <v>0</v>
      </c>
      <c r="I33" s="89">
        <f ca="1">SUM(B33:H33)</f>
        <v>0</v>
      </c>
    </row>
    <row r="34" spans="1:9">
      <c r="A34" s="80" t="s">
        <v>74</v>
      </c>
      <c r="B34" s="90">
        <f t="shared" ref="B34:H34" ca="1" si="19">INDIRECT("'"&amp;B$32&amp;"'!C48")</f>
        <v>0</v>
      </c>
      <c r="C34" s="90">
        <f t="shared" ca="1" si="19"/>
        <v>0</v>
      </c>
      <c r="D34" s="90">
        <f t="shared" ca="1" si="19"/>
        <v>0</v>
      </c>
      <c r="E34" s="90">
        <f t="shared" ca="1" si="19"/>
        <v>0</v>
      </c>
      <c r="F34" s="90">
        <f t="shared" ca="1" si="19"/>
        <v>0</v>
      </c>
      <c r="G34" s="90">
        <f t="shared" ca="1" si="19"/>
        <v>0</v>
      </c>
      <c r="H34" s="90">
        <f t="shared" ca="1" si="19"/>
        <v>0</v>
      </c>
      <c r="I34" s="89">
        <f t="shared" ref="I34:I45" ca="1" si="20">SUM(B34:H34)</f>
        <v>0</v>
      </c>
    </row>
    <row r="35" spans="1:9">
      <c r="A35" s="80" t="s">
        <v>75</v>
      </c>
      <c r="B35" s="90">
        <f t="shared" ref="B35:H35" ca="1" si="21">INDIRECT("'"&amp;B$32&amp;"'!D48")</f>
        <v>0</v>
      </c>
      <c r="C35" s="90">
        <f t="shared" ca="1" si="21"/>
        <v>0</v>
      </c>
      <c r="D35" s="90">
        <f t="shared" ca="1" si="21"/>
        <v>0</v>
      </c>
      <c r="E35" s="90">
        <f t="shared" ca="1" si="21"/>
        <v>0</v>
      </c>
      <c r="F35" s="90">
        <f t="shared" ca="1" si="21"/>
        <v>0</v>
      </c>
      <c r="G35" s="90">
        <f t="shared" ca="1" si="21"/>
        <v>0</v>
      </c>
      <c r="H35" s="90">
        <f t="shared" ca="1" si="21"/>
        <v>0</v>
      </c>
      <c r="I35" s="89">
        <f t="shared" ca="1" si="20"/>
        <v>0</v>
      </c>
    </row>
    <row r="36" spans="1:9">
      <c r="A36" s="80" t="s">
        <v>76</v>
      </c>
      <c r="B36" s="90">
        <f t="shared" ref="B36:H36" ca="1" si="22">INDIRECT("'"&amp;B$32&amp;"'!E48")</f>
        <v>0</v>
      </c>
      <c r="C36" s="90">
        <f t="shared" ca="1" si="22"/>
        <v>0</v>
      </c>
      <c r="D36" s="90">
        <f t="shared" ca="1" si="22"/>
        <v>0</v>
      </c>
      <c r="E36" s="90">
        <f t="shared" ca="1" si="22"/>
        <v>0</v>
      </c>
      <c r="F36" s="90">
        <f t="shared" ca="1" si="22"/>
        <v>0</v>
      </c>
      <c r="G36" s="90">
        <f t="shared" ca="1" si="22"/>
        <v>0</v>
      </c>
      <c r="H36" s="90">
        <f t="shared" ca="1" si="22"/>
        <v>0</v>
      </c>
      <c r="I36" s="89">
        <f t="shared" ca="1" si="20"/>
        <v>0</v>
      </c>
    </row>
    <row r="37" spans="1:9">
      <c r="A37" s="80" t="s">
        <v>77</v>
      </c>
      <c r="B37" s="90">
        <f t="shared" ref="B37:H37" ca="1" si="23">INDIRECT("'"&amp;B$32&amp;"'!F48")</f>
        <v>0</v>
      </c>
      <c r="C37" s="90">
        <f t="shared" ca="1" si="23"/>
        <v>0</v>
      </c>
      <c r="D37" s="90">
        <f t="shared" ca="1" si="23"/>
        <v>0</v>
      </c>
      <c r="E37" s="90">
        <f t="shared" ca="1" si="23"/>
        <v>0</v>
      </c>
      <c r="F37" s="90">
        <f t="shared" ca="1" si="23"/>
        <v>0</v>
      </c>
      <c r="G37" s="90">
        <f t="shared" ca="1" si="23"/>
        <v>0</v>
      </c>
      <c r="H37" s="90">
        <f t="shared" ca="1" si="23"/>
        <v>0</v>
      </c>
      <c r="I37" s="89">
        <f t="shared" ca="1" si="20"/>
        <v>0</v>
      </c>
    </row>
    <row r="38" spans="1:9">
      <c r="A38" s="80" t="s">
        <v>78</v>
      </c>
      <c r="B38" s="90">
        <f t="shared" ref="B38:H38" ca="1" si="24">INDIRECT("'"&amp;B$32&amp;"'!G48")</f>
        <v>0</v>
      </c>
      <c r="C38" s="90">
        <f t="shared" ca="1" si="24"/>
        <v>0</v>
      </c>
      <c r="D38" s="90">
        <f t="shared" ca="1" si="24"/>
        <v>0</v>
      </c>
      <c r="E38" s="90">
        <f t="shared" ca="1" si="24"/>
        <v>0</v>
      </c>
      <c r="F38" s="90">
        <f t="shared" ca="1" si="24"/>
        <v>0</v>
      </c>
      <c r="G38" s="90">
        <f t="shared" ca="1" si="24"/>
        <v>0</v>
      </c>
      <c r="H38" s="90">
        <f t="shared" ca="1" si="24"/>
        <v>0</v>
      </c>
      <c r="I38" s="89">
        <f t="shared" ca="1" si="20"/>
        <v>0</v>
      </c>
    </row>
    <row r="39" spans="1:9">
      <c r="A39" s="80" t="s">
        <v>79</v>
      </c>
      <c r="B39" s="90">
        <f t="shared" ref="B39:H39" ca="1" si="25">INDIRECT("'"&amp;B$32&amp;"'!H48")</f>
        <v>0</v>
      </c>
      <c r="C39" s="90">
        <f t="shared" ca="1" si="25"/>
        <v>0</v>
      </c>
      <c r="D39" s="90">
        <f t="shared" ca="1" si="25"/>
        <v>0</v>
      </c>
      <c r="E39" s="90">
        <f t="shared" ca="1" si="25"/>
        <v>0</v>
      </c>
      <c r="F39" s="90">
        <f t="shared" ca="1" si="25"/>
        <v>0</v>
      </c>
      <c r="G39" s="90">
        <f t="shared" ca="1" si="25"/>
        <v>0</v>
      </c>
      <c r="H39" s="90">
        <f t="shared" ca="1" si="25"/>
        <v>0</v>
      </c>
      <c r="I39" s="89">
        <f t="shared" ca="1" si="20"/>
        <v>0</v>
      </c>
    </row>
    <row r="40" spans="1:9">
      <c r="A40" s="80" t="s">
        <v>80</v>
      </c>
      <c r="B40" s="90">
        <f t="shared" ref="B40:H40" ca="1" si="26">INDIRECT("'"&amp;B$32&amp;"'!I48")</f>
        <v>0</v>
      </c>
      <c r="C40" s="90">
        <f t="shared" ca="1" si="26"/>
        <v>0</v>
      </c>
      <c r="D40" s="90">
        <f t="shared" ca="1" si="26"/>
        <v>0</v>
      </c>
      <c r="E40" s="90">
        <f t="shared" ca="1" si="26"/>
        <v>0</v>
      </c>
      <c r="F40" s="90">
        <f t="shared" ca="1" si="26"/>
        <v>0</v>
      </c>
      <c r="G40" s="90">
        <f t="shared" ca="1" si="26"/>
        <v>0</v>
      </c>
      <c r="H40" s="90">
        <f t="shared" ca="1" si="26"/>
        <v>0</v>
      </c>
      <c r="I40" s="89">
        <f t="shared" ca="1" si="20"/>
        <v>0</v>
      </c>
    </row>
    <row r="41" spans="1:9">
      <c r="A41" s="80" t="s">
        <v>81</v>
      </c>
      <c r="B41" s="90">
        <f t="shared" ref="B41:H41" ca="1" si="27">INDIRECT("'"&amp;B$32&amp;"'!J48")</f>
        <v>0</v>
      </c>
      <c r="C41" s="90">
        <f t="shared" ca="1" si="27"/>
        <v>0</v>
      </c>
      <c r="D41" s="90">
        <f t="shared" ca="1" si="27"/>
        <v>0</v>
      </c>
      <c r="E41" s="90">
        <f t="shared" ca="1" si="27"/>
        <v>0</v>
      </c>
      <c r="F41" s="90">
        <f t="shared" ca="1" si="27"/>
        <v>0</v>
      </c>
      <c r="G41" s="90">
        <f t="shared" ca="1" si="27"/>
        <v>0</v>
      </c>
      <c r="H41" s="90">
        <f t="shared" ca="1" si="27"/>
        <v>0</v>
      </c>
      <c r="I41" s="89">
        <f t="shared" ca="1" si="20"/>
        <v>0</v>
      </c>
    </row>
    <row r="42" spans="1:9">
      <c r="A42" s="80" t="s">
        <v>82</v>
      </c>
      <c r="B42" s="90">
        <f t="shared" ref="B42:H42" ca="1" si="28">INDIRECT("'"&amp;B$32&amp;"'!K48")</f>
        <v>0</v>
      </c>
      <c r="C42" s="90">
        <f t="shared" ca="1" si="28"/>
        <v>0</v>
      </c>
      <c r="D42" s="90">
        <f t="shared" ca="1" si="28"/>
        <v>0</v>
      </c>
      <c r="E42" s="90">
        <f t="shared" ca="1" si="28"/>
        <v>0</v>
      </c>
      <c r="F42" s="90">
        <f t="shared" ca="1" si="28"/>
        <v>0</v>
      </c>
      <c r="G42" s="90">
        <f t="shared" ca="1" si="28"/>
        <v>0</v>
      </c>
      <c r="H42" s="90">
        <f t="shared" ca="1" si="28"/>
        <v>0</v>
      </c>
      <c r="I42" s="89">
        <f t="shared" ca="1" si="20"/>
        <v>0</v>
      </c>
    </row>
    <row r="43" spans="1:9">
      <c r="A43" s="80" t="s">
        <v>83</v>
      </c>
      <c r="B43" s="90">
        <f t="shared" ref="B43:H43" ca="1" si="29">INDIRECT("'"&amp;B$32&amp;"'!L48")</f>
        <v>0</v>
      </c>
      <c r="C43" s="90">
        <f t="shared" ca="1" si="29"/>
        <v>0</v>
      </c>
      <c r="D43" s="90">
        <f t="shared" ca="1" si="29"/>
        <v>0</v>
      </c>
      <c r="E43" s="90">
        <f t="shared" ca="1" si="29"/>
        <v>0</v>
      </c>
      <c r="F43" s="90">
        <f t="shared" ca="1" si="29"/>
        <v>0</v>
      </c>
      <c r="G43" s="90">
        <f t="shared" ca="1" si="29"/>
        <v>0</v>
      </c>
      <c r="H43" s="90">
        <f t="shared" ca="1" si="29"/>
        <v>0</v>
      </c>
      <c r="I43" s="89">
        <f t="shared" ca="1" si="20"/>
        <v>0</v>
      </c>
    </row>
    <row r="44" spans="1:9">
      <c r="A44" s="80" t="s">
        <v>84</v>
      </c>
      <c r="B44" s="90">
        <f t="shared" ref="B44:H44" ca="1" si="30">INDIRECT("'"&amp;B$32&amp;"'!M48")</f>
        <v>0</v>
      </c>
      <c r="C44" s="90">
        <f t="shared" ca="1" si="30"/>
        <v>0</v>
      </c>
      <c r="D44" s="90">
        <f t="shared" ca="1" si="30"/>
        <v>0</v>
      </c>
      <c r="E44" s="90">
        <f t="shared" ca="1" si="30"/>
        <v>0</v>
      </c>
      <c r="F44" s="90">
        <f t="shared" ca="1" si="30"/>
        <v>0</v>
      </c>
      <c r="G44" s="90">
        <f t="shared" ca="1" si="30"/>
        <v>0</v>
      </c>
      <c r="H44" s="90">
        <f t="shared" ca="1" si="30"/>
        <v>0</v>
      </c>
      <c r="I44" s="89">
        <f t="shared" ca="1" si="20"/>
        <v>0</v>
      </c>
    </row>
    <row r="45" spans="1:9">
      <c r="A45" s="79" t="s">
        <v>85</v>
      </c>
      <c r="B45" s="82">
        <f t="shared" ref="B45:H45" ca="1" si="31">INDIRECT("'"&amp;B$32&amp;"'!N48")</f>
        <v>0</v>
      </c>
      <c r="C45" s="82">
        <f t="shared" ca="1" si="31"/>
        <v>0</v>
      </c>
      <c r="D45" s="82">
        <f t="shared" ca="1" si="31"/>
        <v>0</v>
      </c>
      <c r="E45" s="82">
        <f t="shared" ca="1" si="31"/>
        <v>0</v>
      </c>
      <c r="F45" s="82">
        <f t="shared" ca="1" si="31"/>
        <v>0</v>
      </c>
      <c r="G45" s="82">
        <f t="shared" ca="1" si="31"/>
        <v>0</v>
      </c>
      <c r="H45" s="82">
        <f t="shared" ca="1" si="31"/>
        <v>0</v>
      </c>
      <c r="I45" s="91">
        <f t="shared" ca="1" si="20"/>
        <v>0</v>
      </c>
    </row>
    <row r="46" spans="1:9">
      <c r="A46" s="79" t="s">
        <v>21</v>
      </c>
      <c r="B46" s="82">
        <f ca="1">SUM(B33:B45)</f>
        <v>0</v>
      </c>
      <c r="C46" s="82">
        <f t="shared" ref="C46:I46" ca="1" si="32">SUM(C33:C45)</f>
        <v>0</v>
      </c>
      <c r="D46" s="82">
        <f t="shared" ca="1" si="32"/>
        <v>0</v>
      </c>
      <c r="E46" s="82">
        <f t="shared" ca="1" si="32"/>
        <v>0</v>
      </c>
      <c r="F46" s="82">
        <f t="shared" ca="1" si="32"/>
        <v>0</v>
      </c>
      <c r="G46" s="82">
        <f t="shared" ca="1" si="32"/>
        <v>0</v>
      </c>
      <c r="H46" s="82">
        <f t="shared" ca="1" si="32"/>
        <v>0</v>
      </c>
      <c r="I46" s="82">
        <f t="shared" ca="1" si="32"/>
        <v>0</v>
      </c>
    </row>
    <row r="48" spans="1:9">
      <c r="A48" s="83" t="s">
        <v>189</v>
      </c>
      <c r="B48" s="83" t="s">
        <v>106</v>
      </c>
      <c r="C48" s="83" t="s">
        <v>105</v>
      </c>
      <c r="D48" s="83" t="s">
        <v>107</v>
      </c>
      <c r="E48" s="83" t="s">
        <v>109</v>
      </c>
      <c r="F48" s="83" t="s">
        <v>108</v>
      </c>
      <c r="G48" s="83" t="s">
        <v>110</v>
      </c>
      <c r="H48" s="83" t="s">
        <v>111</v>
      </c>
      <c r="I48" s="83" t="s">
        <v>21</v>
      </c>
    </row>
    <row r="49" spans="1:9">
      <c r="A49" s="80" t="s">
        <v>73</v>
      </c>
      <c r="B49" s="88">
        <f ca="1">INDIRECT("'"&amp;B$32&amp;"'!B46")/1000</f>
        <v>0</v>
      </c>
      <c r="C49" s="88">
        <f t="shared" ref="C49:H49" ca="1" si="33">INDIRECT("'"&amp;C$32&amp;"'!B46")/1000</f>
        <v>0</v>
      </c>
      <c r="D49" s="88">
        <f t="shared" ca="1" si="33"/>
        <v>0</v>
      </c>
      <c r="E49" s="88">
        <f t="shared" ca="1" si="33"/>
        <v>0</v>
      </c>
      <c r="F49" s="88">
        <f t="shared" ca="1" si="33"/>
        <v>0</v>
      </c>
      <c r="G49" s="88">
        <f t="shared" ca="1" si="33"/>
        <v>0</v>
      </c>
      <c r="H49" s="88">
        <f t="shared" ca="1" si="33"/>
        <v>0</v>
      </c>
      <c r="I49" s="89">
        <f ca="1">SUM(B49:H49)</f>
        <v>0</v>
      </c>
    </row>
    <row r="50" spans="1:9">
      <c r="A50" s="80" t="s">
        <v>74</v>
      </c>
      <c r="B50" s="90">
        <f ca="1">INDIRECT("'"&amp;B$32&amp;"'!C46")/1000</f>
        <v>0</v>
      </c>
      <c r="C50" s="90">
        <f t="shared" ref="C50:H50" ca="1" si="34">INDIRECT("'"&amp;C$32&amp;"'!C46")/1000</f>
        <v>0</v>
      </c>
      <c r="D50" s="90">
        <f t="shared" ca="1" si="34"/>
        <v>0</v>
      </c>
      <c r="E50" s="90">
        <f t="shared" ca="1" si="34"/>
        <v>0</v>
      </c>
      <c r="F50" s="90">
        <f t="shared" ca="1" si="34"/>
        <v>0</v>
      </c>
      <c r="G50" s="90">
        <f t="shared" ca="1" si="34"/>
        <v>0</v>
      </c>
      <c r="H50" s="90">
        <f t="shared" ca="1" si="34"/>
        <v>0</v>
      </c>
      <c r="I50" s="89">
        <f t="shared" ref="I50:I61" ca="1" si="35">SUM(B50:H50)</f>
        <v>0</v>
      </c>
    </row>
    <row r="51" spans="1:9">
      <c r="A51" s="80" t="s">
        <v>75</v>
      </c>
      <c r="B51" s="90">
        <f ca="1">INDIRECT("'"&amp;B$32&amp;"'!D46")/1000</f>
        <v>0</v>
      </c>
      <c r="C51" s="90">
        <f t="shared" ref="C51:H51" ca="1" si="36">INDIRECT("'"&amp;C$32&amp;"'!D46")/1000</f>
        <v>0</v>
      </c>
      <c r="D51" s="90">
        <f t="shared" ca="1" si="36"/>
        <v>0</v>
      </c>
      <c r="E51" s="90">
        <f t="shared" ca="1" si="36"/>
        <v>0</v>
      </c>
      <c r="F51" s="90">
        <f t="shared" ca="1" si="36"/>
        <v>0</v>
      </c>
      <c r="G51" s="90">
        <f t="shared" ca="1" si="36"/>
        <v>0</v>
      </c>
      <c r="H51" s="90">
        <f t="shared" ca="1" si="36"/>
        <v>0</v>
      </c>
      <c r="I51" s="89">
        <f t="shared" ca="1" si="35"/>
        <v>0</v>
      </c>
    </row>
    <row r="52" spans="1:9">
      <c r="A52" s="80" t="s">
        <v>76</v>
      </c>
      <c r="B52" s="90">
        <f ca="1">INDIRECT("'"&amp;B$32&amp;"'!E46")/1000</f>
        <v>0</v>
      </c>
      <c r="C52" s="90">
        <f t="shared" ref="C52:H52" ca="1" si="37">INDIRECT("'"&amp;C$32&amp;"'!E46")/1000</f>
        <v>0</v>
      </c>
      <c r="D52" s="90">
        <f t="shared" ca="1" si="37"/>
        <v>0</v>
      </c>
      <c r="E52" s="90">
        <f t="shared" ca="1" si="37"/>
        <v>0</v>
      </c>
      <c r="F52" s="90">
        <f t="shared" ca="1" si="37"/>
        <v>0</v>
      </c>
      <c r="G52" s="90">
        <f t="shared" ca="1" si="37"/>
        <v>0</v>
      </c>
      <c r="H52" s="90">
        <f t="shared" ca="1" si="37"/>
        <v>0</v>
      </c>
      <c r="I52" s="89">
        <f t="shared" ca="1" si="35"/>
        <v>0</v>
      </c>
    </row>
    <row r="53" spans="1:9">
      <c r="A53" s="80" t="s">
        <v>77</v>
      </c>
      <c r="B53" s="90">
        <f ca="1">INDIRECT("'"&amp;B$32&amp;"'!F46")/1000</f>
        <v>0</v>
      </c>
      <c r="C53" s="90">
        <f t="shared" ref="C53:H53" ca="1" si="38">INDIRECT("'"&amp;C$32&amp;"'!F46")/1000</f>
        <v>0</v>
      </c>
      <c r="D53" s="90">
        <f t="shared" ca="1" si="38"/>
        <v>0</v>
      </c>
      <c r="E53" s="90">
        <f t="shared" ca="1" si="38"/>
        <v>0</v>
      </c>
      <c r="F53" s="90">
        <f t="shared" ca="1" si="38"/>
        <v>0</v>
      </c>
      <c r="G53" s="90">
        <f t="shared" ca="1" si="38"/>
        <v>0</v>
      </c>
      <c r="H53" s="90">
        <f t="shared" ca="1" si="38"/>
        <v>0</v>
      </c>
      <c r="I53" s="89">
        <f t="shared" ca="1" si="35"/>
        <v>0</v>
      </c>
    </row>
    <row r="54" spans="1:9">
      <c r="A54" s="80" t="s">
        <v>78</v>
      </c>
      <c r="B54" s="90">
        <f ca="1">INDIRECT("'"&amp;B$32&amp;"'!G46")/1000</f>
        <v>0</v>
      </c>
      <c r="C54" s="90">
        <f t="shared" ref="C54:H54" ca="1" si="39">INDIRECT("'"&amp;C$32&amp;"'!G46")/1000</f>
        <v>0</v>
      </c>
      <c r="D54" s="90">
        <f t="shared" ca="1" si="39"/>
        <v>0</v>
      </c>
      <c r="E54" s="90">
        <f t="shared" ca="1" si="39"/>
        <v>0</v>
      </c>
      <c r="F54" s="90">
        <f t="shared" ca="1" si="39"/>
        <v>0</v>
      </c>
      <c r="G54" s="90">
        <f t="shared" ca="1" si="39"/>
        <v>0</v>
      </c>
      <c r="H54" s="90">
        <f t="shared" ca="1" si="39"/>
        <v>0</v>
      </c>
      <c r="I54" s="89">
        <f t="shared" ca="1" si="35"/>
        <v>0</v>
      </c>
    </row>
    <row r="55" spans="1:9">
      <c r="A55" s="80" t="s">
        <v>79</v>
      </c>
      <c r="B55" s="90">
        <f ca="1">INDIRECT("'"&amp;B$32&amp;"'!H46")/1000</f>
        <v>0</v>
      </c>
      <c r="C55" s="90">
        <f t="shared" ref="C55:H55" ca="1" si="40">INDIRECT("'"&amp;C$32&amp;"'!H46")/1000</f>
        <v>0</v>
      </c>
      <c r="D55" s="90">
        <f t="shared" ca="1" si="40"/>
        <v>0</v>
      </c>
      <c r="E55" s="90">
        <f t="shared" ca="1" si="40"/>
        <v>0</v>
      </c>
      <c r="F55" s="90">
        <f t="shared" ca="1" si="40"/>
        <v>0</v>
      </c>
      <c r="G55" s="90">
        <f t="shared" ca="1" si="40"/>
        <v>0</v>
      </c>
      <c r="H55" s="90">
        <f t="shared" ca="1" si="40"/>
        <v>0</v>
      </c>
      <c r="I55" s="89">
        <f t="shared" ca="1" si="35"/>
        <v>0</v>
      </c>
    </row>
    <row r="56" spans="1:9">
      <c r="A56" s="80" t="s">
        <v>80</v>
      </c>
      <c r="B56" s="90">
        <f ca="1">INDIRECT("'"&amp;B$32&amp;"'!I46")/1000</f>
        <v>0</v>
      </c>
      <c r="C56" s="90">
        <f t="shared" ref="C56:H56" ca="1" si="41">INDIRECT("'"&amp;C$32&amp;"'!I46")/1000</f>
        <v>0</v>
      </c>
      <c r="D56" s="90">
        <f t="shared" ca="1" si="41"/>
        <v>0</v>
      </c>
      <c r="E56" s="90">
        <f t="shared" ca="1" si="41"/>
        <v>0</v>
      </c>
      <c r="F56" s="90">
        <f t="shared" ca="1" si="41"/>
        <v>0</v>
      </c>
      <c r="G56" s="90">
        <f t="shared" ca="1" si="41"/>
        <v>0</v>
      </c>
      <c r="H56" s="90">
        <f t="shared" ca="1" si="41"/>
        <v>0</v>
      </c>
      <c r="I56" s="89">
        <f t="shared" ca="1" si="35"/>
        <v>0</v>
      </c>
    </row>
    <row r="57" spans="1:9">
      <c r="A57" s="80" t="s">
        <v>81</v>
      </c>
      <c r="B57" s="90">
        <f ca="1">INDIRECT("'"&amp;B$32&amp;"'!J46")/1000</f>
        <v>0</v>
      </c>
      <c r="C57" s="90">
        <f t="shared" ref="C57:H57" ca="1" si="42">INDIRECT("'"&amp;C$32&amp;"'!J46")/1000</f>
        <v>0</v>
      </c>
      <c r="D57" s="90">
        <f t="shared" ca="1" si="42"/>
        <v>0</v>
      </c>
      <c r="E57" s="90">
        <f t="shared" ca="1" si="42"/>
        <v>0</v>
      </c>
      <c r="F57" s="90">
        <f t="shared" ca="1" si="42"/>
        <v>0</v>
      </c>
      <c r="G57" s="90">
        <f t="shared" ca="1" si="42"/>
        <v>0</v>
      </c>
      <c r="H57" s="90">
        <f t="shared" ca="1" si="42"/>
        <v>0</v>
      </c>
      <c r="I57" s="89">
        <f t="shared" ca="1" si="35"/>
        <v>0</v>
      </c>
    </row>
    <row r="58" spans="1:9">
      <c r="A58" s="80" t="s">
        <v>82</v>
      </c>
      <c r="B58" s="90">
        <f ca="1">INDIRECT("'"&amp;B$32&amp;"'!K46")/1000</f>
        <v>0</v>
      </c>
      <c r="C58" s="90">
        <f t="shared" ref="C58:H58" ca="1" si="43">INDIRECT("'"&amp;C$32&amp;"'!K46")/1000</f>
        <v>0</v>
      </c>
      <c r="D58" s="90">
        <f t="shared" ca="1" si="43"/>
        <v>0</v>
      </c>
      <c r="E58" s="90">
        <f t="shared" ca="1" si="43"/>
        <v>0</v>
      </c>
      <c r="F58" s="90">
        <f t="shared" ca="1" si="43"/>
        <v>0</v>
      </c>
      <c r="G58" s="90">
        <f t="shared" ca="1" si="43"/>
        <v>0</v>
      </c>
      <c r="H58" s="90">
        <f t="shared" ca="1" si="43"/>
        <v>0</v>
      </c>
      <c r="I58" s="89">
        <f t="shared" ca="1" si="35"/>
        <v>0</v>
      </c>
    </row>
    <row r="59" spans="1:9">
      <c r="A59" s="80" t="s">
        <v>83</v>
      </c>
      <c r="B59" s="90">
        <f ca="1">INDIRECT("'"&amp;B$32&amp;"'!L46")/1000</f>
        <v>0</v>
      </c>
      <c r="C59" s="90">
        <f t="shared" ref="C59:H59" ca="1" si="44">INDIRECT("'"&amp;C$32&amp;"'!L46")/1000</f>
        <v>0</v>
      </c>
      <c r="D59" s="90">
        <f t="shared" ca="1" si="44"/>
        <v>0</v>
      </c>
      <c r="E59" s="90">
        <f t="shared" ca="1" si="44"/>
        <v>0</v>
      </c>
      <c r="F59" s="90">
        <f t="shared" ca="1" si="44"/>
        <v>0</v>
      </c>
      <c r="G59" s="90">
        <f t="shared" ca="1" si="44"/>
        <v>0</v>
      </c>
      <c r="H59" s="90">
        <f t="shared" ca="1" si="44"/>
        <v>0</v>
      </c>
      <c r="I59" s="89">
        <f t="shared" ca="1" si="35"/>
        <v>0</v>
      </c>
    </row>
    <row r="60" spans="1:9">
      <c r="A60" s="80" t="s">
        <v>84</v>
      </c>
      <c r="B60" s="90">
        <f ca="1">INDIRECT("'"&amp;B$32&amp;"'!M46")/1000</f>
        <v>0</v>
      </c>
      <c r="C60" s="90">
        <f t="shared" ref="C60:H60" ca="1" si="45">INDIRECT("'"&amp;C$32&amp;"'!M46")/1000</f>
        <v>0</v>
      </c>
      <c r="D60" s="90">
        <f t="shared" ca="1" si="45"/>
        <v>0</v>
      </c>
      <c r="E60" s="90">
        <f t="shared" ca="1" si="45"/>
        <v>0</v>
      </c>
      <c r="F60" s="90">
        <f t="shared" ca="1" si="45"/>
        <v>0</v>
      </c>
      <c r="G60" s="90">
        <f t="shared" ca="1" si="45"/>
        <v>0</v>
      </c>
      <c r="H60" s="90">
        <f t="shared" ca="1" si="45"/>
        <v>0</v>
      </c>
      <c r="I60" s="89">
        <f t="shared" ca="1" si="35"/>
        <v>0</v>
      </c>
    </row>
    <row r="61" spans="1:9">
      <c r="A61" s="79" t="s">
        <v>85</v>
      </c>
      <c r="B61" s="82">
        <f ca="1">INDIRECT("'"&amp;B$32&amp;"'!N46")/1000</f>
        <v>0</v>
      </c>
      <c r="C61" s="82">
        <f t="shared" ref="C61:H61" ca="1" si="46">INDIRECT("'"&amp;C$32&amp;"'!N46")/1000</f>
        <v>0</v>
      </c>
      <c r="D61" s="82">
        <f t="shared" ca="1" si="46"/>
        <v>0</v>
      </c>
      <c r="E61" s="82">
        <f t="shared" ca="1" si="46"/>
        <v>0</v>
      </c>
      <c r="F61" s="82">
        <f t="shared" ca="1" si="46"/>
        <v>0</v>
      </c>
      <c r="G61" s="82">
        <f t="shared" ca="1" si="46"/>
        <v>0</v>
      </c>
      <c r="H61" s="82">
        <f t="shared" ca="1" si="46"/>
        <v>0</v>
      </c>
      <c r="I61" s="91">
        <f t="shared" ca="1" si="35"/>
        <v>0</v>
      </c>
    </row>
    <row r="62" spans="1:9">
      <c r="A62" s="79" t="s">
        <v>21</v>
      </c>
      <c r="B62" s="82">
        <f ca="1">SUM(B49:B61)</f>
        <v>0</v>
      </c>
      <c r="C62" s="82">
        <f t="shared" ref="C62" ca="1" si="47">SUM(C49:C61)</f>
        <v>0</v>
      </c>
      <c r="D62" s="82">
        <f t="shared" ref="D62" ca="1" si="48">SUM(D49:D61)</f>
        <v>0</v>
      </c>
      <c r="E62" s="82">
        <f t="shared" ref="E62" ca="1" si="49">SUM(E49:E61)</f>
        <v>0</v>
      </c>
      <c r="F62" s="82">
        <f t="shared" ref="F62" ca="1" si="50">SUM(F49:F61)</f>
        <v>0</v>
      </c>
      <c r="G62" s="82">
        <f t="shared" ref="G62" ca="1" si="51">SUM(G49:G61)</f>
        <v>0</v>
      </c>
      <c r="H62" s="82">
        <f t="shared" ref="H62" ca="1" si="52">SUM(H49:H61)</f>
        <v>0</v>
      </c>
      <c r="I62" s="82">
        <f ca="1">SUM(I49:I61)</f>
        <v>0</v>
      </c>
    </row>
    <row r="64" spans="1:9">
      <c r="A64" s="83" t="s">
        <v>261</v>
      </c>
      <c r="B64" s="83" t="s">
        <v>106</v>
      </c>
      <c r="C64" s="83" t="s">
        <v>105</v>
      </c>
      <c r="D64" s="83" t="s">
        <v>107</v>
      </c>
      <c r="E64" s="83" t="s">
        <v>109</v>
      </c>
      <c r="F64" s="83" t="s">
        <v>108</v>
      </c>
      <c r="G64" s="83" t="s">
        <v>110</v>
      </c>
      <c r="H64" s="83" t="s">
        <v>111</v>
      </c>
      <c r="I64" s="83" t="s">
        <v>21</v>
      </c>
    </row>
    <row r="65" spans="1:9">
      <c r="A65" s="80" t="s">
        <v>73</v>
      </c>
      <c r="B65" s="149">
        <f ca="1">INDIRECT("'"&amp;B$64&amp;"'!B39")/1000</f>
        <v>0</v>
      </c>
      <c r="C65" s="149">
        <f t="shared" ref="C65:H65" ca="1" si="53">INDIRECT("'"&amp;C$64&amp;"'!B39")/1000</f>
        <v>0</v>
      </c>
      <c r="D65" s="149">
        <f t="shared" ca="1" si="53"/>
        <v>0</v>
      </c>
      <c r="E65" s="149">
        <f t="shared" ca="1" si="53"/>
        <v>0</v>
      </c>
      <c r="F65" s="149">
        <f t="shared" ca="1" si="53"/>
        <v>0</v>
      </c>
      <c r="G65" s="149">
        <f t="shared" ca="1" si="53"/>
        <v>0</v>
      </c>
      <c r="H65" s="149">
        <f t="shared" ca="1" si="53"/>
        <v>0</v>
      </c>
      <c r="I65" s="89">
        <f ca="1">SUM(B65:H65)</f>
        <v>0</v>
      </c>
    </row>
    <row r="66" spans="1:9">
      <c r="A66" s="80" t="s">
        <v>74</v>
      </c>
      <c r="B66" s="150">
        <f ca="1">INDIRECT("'"&amp;B$64&amp;"'!c39")/1000</f>
        <v>0</v>
      </c>
      <c r="C66" s="150">
        <f t="shared" ref="C66:H66" ca="1" si="54">INDIRECT("'"&amp;C$64&amp;"'!c39")/1000</f>
        <v>0</v>
      </c>
      <c r="D66" s="150">
        <f t="shared" ca="1" si="54"/>
        <v>0</v>
      </c>
      <c r="E66" s="150">
        <f t="shared" ca="1" si="54"/>
        <v>0</v>
      </c>
      <c r="F66" s="150">
        <f t="shared" ca="1" si="54"/>
        <v>0</v>
      </c>
      <c r="G66" s="150">
        <f t="shared" ca="1" si="54"/>
        <v>0</v>
      </c>
      <c r="H66" s="150">
        <f t="shared" ca="1" si="54"/>
        <v>0</v>
      </c>
      <c r="I66" s="89">
        <f t="shared" ref="I66:I77" ca="1" si="55">SUM(B66:H66)</f>
        <v>0</v>
      </c>
    </row>
    <row r="67" spans="1:9">
      <c r="A67" s="80" t="s">
        <v>75</v>
      </c>
      <c r="B67" s="150">
        <f ca="1">INDIRECT("'"&amp;B$64&amp;"'!d39")/1000</f>
        <v>0</v>
      </c>
      <c r="C67" s="150">
        <f t="shared" ref="C67:H67" ca="1" si="56">INDIRECT("'"&amp;C$64&amp;"'!d39")/1000</f>
        <v>0</v>
      </c>
      <c r="D67" s="150">
        <f t="shared" ca="1" si="56"/>
        <v>0</v>
      </c>
      <c r="E67" s="150">
        <f t="shared" ca="1" si="56"/>
        <v>0</v>
      </c>
      <c r="F67" s="150">
        <f t="shared" ca="1" si="56"/>
        <v>0</v>
      </c>
      <c r="G67" s="150">
        <f t="shared" ca="1" si="56"/>
        <v>0</v>
      </c>
      <c r="H67" s="150">
        <f t="shared" ca="1" si="56"/>
        <v>0</v>
      </c>
      <c r="I67" s="89">
        <f t="shared" ca="1" si="55"/>
        <v>0</v>
      </c>
    </row>
    <row r="68" spans="1:9">
      <c r="A68" s="80" t="s">
        <v>76</v>
      </c>
      <c r="B68" s="150">
        <f ca="1">INDIRECT("'"&amp;B$64&amp;"'!e39")/1000</f>
        <v>0</v>
      </c>
      <c r="C68" s="150">
        <f t="shared" ref="C68:H68" ca="1" si="57">INDIRECT("'"&amp;C$64&amp;"'!e39")/1000</f>
        <v>0</v>
      </c>
      <c r="D68" s="150">
        <f t="shared" ca="1" si="57"/>
        <v>0</v>
      </c>
      <c r="E68" s="150">
        <f t="shared" ca="1" si="57"/>
        <v>0</v>
      </c>
      <c r="F68" s="150">
        <f t="shared" ca="1" si="57"/>
        <v>0</v>
      </c>
      <c r="G68" s="150">
        <f t="shared" ca="1" si="57"/>
        <v>0</v>
      </c>
      <c r="H68" s="150">
        <f t="shared" ca="1" si="57"/>
        <v>0</v>
      </c>
      <c r="I68" s="89">
        <f t="shared" ca="1" si="55"/>
        <v>0</v>
      </c>
    </row>
    <row r="69" spans="1:9">
      <c r="A69" s="80" t="s">
        <v>77</v>
      </c>
      <c r="B69" s="150">
        <f ca="1">INDIRECT("'"&amp;B$64&amp;"'!f39")/1000</f>
        <v>0</v>
      </c>
      <c r="C69" s="150">
        <f t="shared" ref="C69:H69" ca="1" si="58">INDIRECT("'"&amp;C$64&amp;"'!f39")/1000</f>
        <v>0</v>
      </c>
      <c r="D69" s="150">
        <f t="shared" ca="1" si="58"/>
        <v>0</v>
      </c>
      <c r="E69" s="150">
        <f t="shared" ca="1" si="58"/>
        <v>0</v>
      </c>
      <c r="F69" s="150">
        <f t="shared" ca="1" si="58"/>
        <v>0</v>
      </c>
      <c r="G69" s="150">
        <f t="shared" ca="1" si="58"/>
        <v>0</v>
      </c>
      <c r="H69" s="150">
        <f t="shared" ca="1" si="58"/>
        <v>0</v>
      </c>
      <c r="I69" s="89">
        <f t="shared" ca="1" si="55"/>
        <v>0</v>
      </c>
    </row>
    <row r="70" spans="1:9">
      <c r="A70" s="80" t="s">
        <v>78</v>
      </c>
      <c r="B70" s="150">
        <f ca="1">INDIRECT("'"&amp;B$64&amp;"'!g39")/1000</f>
        <v>0</v>
      </c>
      <c r="C70" s="150">
        <f t="shared" ref="C70:H70" ca="1" si="59">INDIRECT("'"&amp;C$64&amp;"'!g39")/1000</f>
        <v>0</v>
      </c>
      <c r="D70" s="150">
        <f t="shared" ca="1" si="59"/>
        <v>0</v>
      </c>
      <c r="E70" s="150">
        <f t="shared" ca="1" si="59"/>
        <v>0</v>
      </c>
      <c r="F70" s="150">
        <f t="shared" ca="1" si="59"/>
        <v>0</v>
      </c>
      <c r="G70" s="150">
        <f t="shared" ca="1" si="59"/>
        <v>0</v>
      </c>
      <c r="H70" s="150">
        <f t="shared" ca="1" si="59"/>
        <v>0</v>
      </c>
      <c r="I70" s="89">
        <f t="shared" ca="1" si="55"/>
        <v>0</v>
      </c>
    </row>
    <row r="71" spans="1:9">
      <c r="A71" s="80" t="s">
        <v>79</v>
      </c>
      <c r="B71" s="150">
        <f ca="1">INDIRECT("'"&amp;B$64&amp;"'!h39")/1000</f>
        <v>0</v>
      </c>
      <c r="C71" s="150">
        <f t="shared" ref="C71:H71" ca="1" si="60">INDIRECT("'"&amp;C$64&amp;"'!h39")/1000</f>
        <v>0</v>
      </c>
      <c r="D71" s="150">
        <f t="shared" ca="1" si="60"/>
        <v>0</v>
      </c>
      <c r="E71" s="150">
        <f t="shared" ca="1" si="60"/>
        <v>0</v>
      </c>
      <c r="F71" s="150">
        <f t="shared" ca="1" si="60"/>
        <v>0</v>
      </c>
      <c r="G71" s="150">
        <f t="shared" ca="1" si="60"/>
        <v>0</v>
      </c>
      <c r="H71" s="150">
        <f t="shared" ca="1" si="60"/>
        <v>0</v>
      </c>
      <c r="I71" s="89">
        <f t="shared" ca="1" si="55"/>
        <v>0</v>
      </c>
    </row>
    <row r="72" spans="1:9">
      <c r="A72" s="80" t="s">
        <v>80</v>
      </c>
      <c r="B72" s="150">
        <f ca="1">INDIRECT("'"&amp;B$64&amp;"'!i39")/1000</f>
        <v>0</v>
      </c>
      <c r="C72" s="150">
        <f t="shared" ref="C72:H72" ca="1" si="61">INDIRECT("'"&amp;C$64&amp;"'!i39")/1000</f>
        <v>0</v>
      </c>
      <c r="D72" s="150">
        <f t="shared" ca="1" si="61"/>
        <v>0</v>
      </c>
      <c r="E72" s="150">
        <f t="shared" ca="1" si="61"/>
        <v>0</v>
      </c>
      <c r="F72" s="150">
        <f t="shared" ca="1" si="61"/>
        <v>0</v>
      </c>
      <c r="G72" s="150">
        <f t="shared" ca="1" si="61"/>
        <v>0</v>
      </c>
      <c r="H72" s="150">
        <f t="shared" ca="1" si="61"/>
        <v>0</v>
      </c>
      <c r="I72" s="89">
        <f t="shared" ca="1" si="55"/>
        <v>0</v>
      </c>
    </row>
    <row r="73" spans="1:9">
      <c r="A73" s="80" t="s">
        <v>81</v>
      </c>
      <c r="B73" s="150">
        <f ca="1">INDIRECT("'"&amp;B$64&amp;"'!j39")/1000</f>
        <v>0</v>
      </c>
      <c r="C73" s="150">
        <f t="shared" ref="C73:H73" ca="1" si="62">INDIRECT("'"&amp;C$64&amp;"'!j39")/1000</f>
        <v>0</v>
      </c>
      <c r="D73" s="150">
        <f t="shared" ca="1" si="62"/>
        <v>0</v>
      </c>
      <c r="E73" s="150">
        <f t="shared" ca="1" si="62"/>
        <v>0</v>
      </c>
      <c r="F73" s="150">
        <f t="shared" ca="1" si="62"/>
        <v>0</v>
      </c>
      <c r="G73" s="150">
        <f t="shared" ca="1" si="62"/>
        <v>0</v>
      </c>
      <c r="H73" s="150">
        <f t="shared" ca="1" si="62"/>
        <v>0</v>
      </c>
      <c r="I73" s="89">
        <f t="shared" ca="1" si="55"/>
        <v>0</v>
      </c>
    </row>
    <row r="74" spans="1:9">
      <c r="A74" s="80" t="s">
        <v>82</v>
      </c>
      <c r="B74" s="150">
        <f ca="1">INDIRECT("'"&amp;B$64&amp;"'!k39")/1000</f>
        <v>0</v>
      </c>
      <c r="C74" s="150">
        <f t="shared" ref="C74:H74" ca="1" si="63">INDIRECT("'"&amp;C$64&amp;"'!k39")/1000</f>
        <v>0</v>
      </c>
      <c r="D74" s="150">
        <f t="shared" ca="1" si="63"/>
        <v>0</v>
      </c>
      <c r="E74" s="150">
        <f t="shared" ca="1" si="63"/>
        <v>0</v>
      </c>
      <c r="F74" s="150">
        <f t="shared" ca="1" si="63"/>
        <v>0</v>
      </c>
      <c r="G74" s="150">
        <f t="shared" ca="1" si="63"/>
        <v>0</v>
      </c>
      <c r="H74" s="150">
        <f t="shared" ca="1" si="63"/>
        <v>0</v>
      </c>
      <c r="I74" s="89">
        <f t="shared" ca="1" si="55"/>
        <v>0</v>
      </c>
    </row>
    <row r="75" spans="1:9">
      <c r="A75" s="80" t="s">
        <v>83</v>
      </c>
      <c r="B75" s="150">
        <f ca="1">INDIRECT("'"&amp;B$64&amp;"'!l39")/1000</f>
        <v>0</v>
      </c>
      <c r="C75" s="150">
        <f t="shared" ref="C75:H75" ca="1" si="64">INDIRECT("'"&amp;C$64&amp;"'!l39")/1000</f>
        <v>0</v>
      </c>
      <c r="D75" s="150">
        <f t="shared" ca="1" si="64"/>
        <v>0</v>
      </c>
      <c r="E75" s="150">
        <f t="shared" ca="1" si="64"/>
        <v>0</v>
      </c>
      <c r="F75" s="150">
        <f t="shared" ca="1" si="64"/>
        <v>0</v>
      </c>
      <c r="G75" s="150">
        <f t="shared" ca="1" si="64"/>
        <v>0</v>
      </c>
      <c r="H75" s="150">
        <f t="shared" ca="1" si="64"/>
        <v>0</v>
      </c>
      <c r="I75" s="89">
        <f t="shared" ca="1" si="55"/>
        <v>0</v>
      </c>
    </row>
    <row r="76" spans="1:9">
      <c r="A76" s="80" t="s">
        <v>84</v>
      </c>
      <c r="B76" s="150">
        <f ca="1">INDIRECT("'"&amp;B$64&amp;"'!m39")/1000</f>
        <v>0</v>
      </c>
      <c r="C76" s="150">
        <f t="shared" ref="C76:H76" ca="1" si="65">INDIRECT("'"&amp;C$64&amp;"'!m39")/1000</f>
        <v>0</v>
      </c>
      <c r="D76" s="150">
        <f t="shared" ca="1" si="65"/>
        <v>0</v>
      </c>
      <c r="E76" s="150">
        <f t="shared" ca="1" si="65"/>
        <v>0</v>
      </c>
      <c r="F76" s="150">
        <f t="shared" ca="1" si="65"/>
        <v>0</v>
      </c>
      <c r="G76" s="150">
        <f t="shared" ca="1" si="65"/>
        <v>0</v>
      </c>
      <c r="H76" s="150">
        <f t="shared" ca="1" si="65"/>
        <v>0</v>
      </c>
      <c r="I76" s="89">
        <f t="shared" ca="1" si="55"/>
        <v>0</v>
      </c>
    </row>
    <row r="77" spans="1:9">
      <c r="A77" s="79" t="s">
        <v>85</v>
      </c>
      <c r="B77" s="151">
        <f ca="1">INDIRECT("'"&amp;B$64&amp;"'!n39")/1000</f>
        <v>0</v>
      </c>
      <c r="C77" s="151">
        <f t="shared" ref="C77:H77" ca="1" si="66">INDIRECT("'"&amp;C$64&amp;"'!n39")/1000</f>
        <v>0</v>
      </c>
      <c r="D77" s="151">
        <f t="shared" ca="1" si="66"/>
        <v>0</v>
      </c>
      <c r="E77" s="151">
        <f t="shared" ca="1" si="66"/>
        <v>0</v>
      </c>
      <c r="F77" s="151">
        <f t="shared" ca="1" si="66"/>
        <v>0</v>
      </c>
      <c r="G77" s="151">
        <f t="shared" ca="1" si="66"/>
        <v>0</v>
      </c>
      <c r="H77" s="151">
        <f t="shared" ca="1" si="66"/>
        <v>0</v>
      </c>
      <c r="I77" s="91">
        <f t="shared" ca="1" si="55"/>
        <v>0</v>
      </c>
    </row>
    <row r="78" spans="1:9">
      <c r="A78" s="79" t="s">
        <v>21</v>
      </c>
      <c r="B78" s="82">
        <f t="shared" ref="B78:H78" ca="1" si="67">SUM(B65:B77)</f>
        <v>0</v>
      </c>
      <c r="C78" s="82">
        <f t="shared" ca="1" si="67"/>
        <v>0</v>
      </c>
      <c r="D78" s="82">
        <f t="shared" ca="1" si="67"/>
        <v>0</v>
      </c>
      <c r="E78" s="82">
        <f t="shared" ca="1" si="67"/>
        <v>0</v>
      </c>
      <c r="F78" s="82">
        <f t="shared" ca="1" si="67"/>
        <v>0</v>
      </c>
      <c r="G78" s="82">
        <f t="shared" ca="1" si="67"/>
        <v>0</v>
      </c>
      <c r="H78" s="82">
        <f t="shared" ca="1" si="67"/>
        <v>0</v>
      </c>
      <c r="I78" s="82">
        <f ca="1">SUM(I65:I77)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G3" sqref="G3:G17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FPL!$I$19/31/1000/(4000/17.1)</f>
        <v>4.3468610951612899E-3</v>
      </c>
      <c r="E3" s="147">
        <f>FPL!$H$10/31/1000/(4000/17.1)</f>
        <v>9.4713176612903232E-4</v>
      </c>
      <c r="G3" s="134">
        <v>18.95783382436667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FPL!$I$19/31/1000/(4000/17.1)</f>
        <v>4.3468610951612899E-3</v>
      </c>
      <c r="E4" s="147">
        <f>FPL!$H$10/31/1000/(4000/17.1)</f>
        <v>9.4713176612903232E-4</v>
      </c>
      <c r="G4" s="134">
        <v>18.95783382436667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FPL!$I$19/31/1000/(4000/17.1)</f>
        <v>4.3468610951612899E-3</v>
      </c>
      <c r="E5" s="147">
        <f>FPL!$H$10/31/1000/(4000/17.1)</f>
        <v>9.4713176612903232E-4</v>
      </c>
      <c r="G5" s="134">
        <v>19.057542780568991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FPL!$I$19/31/1000/(4000/17.1)</f>
        <v>4.3468610951612899E-3</v>
      </c>
      <c r="E6" s="147">
        <f>FPL!$H$10/31/1000/(4000/17.1)</f>
        <v>9.4713176612903232E-4</v>
      </c>
      <c r="G6" s="134">
        <v>19.057542780568991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FPL!$I$19/31/1000/(4000/17.1)</f>
        <v>4.3468610951612899E-3</v>
      </c>
      <c r="E7" s="147">
        <f>FPL!$H$10/31/1000/(4000/17.1)</f>
        <v>9.4713176612903232E-4</v>
      </c>
      <c r="G7" s="134">
        <v>19.057542780568987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FPL!$I$19/31/1000/(4000/17.1)</f>
        <v>4.3468610951612899E-3</v>
      </c>
      <c r="E8" s="147">
        <f>FPL!$H$10/31/1000/(4000/17.1)</f>
        <v>9.4713176612903232E-4</v>
      </c>
      <c r="G8" s="134">
        <v>19.057542780568991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FPL!$I$19/31/1000/(4000/17.1)</f>
        <v>4.3468610951612899E-3</v>
      </c>
      <c r="E9" s="147">
        <f>FPL!$H$10/31/1000/(4000/17.1)</f>
        <v>9.4713176612903232E-4</v>
      </c>
      <c r="G9" s="134">
        <v>19.057542780568987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FPL!$I$19/31/1000/(4000/17.1)</f>
        <v>4.3468610951612899E-3</v>
      </c>
      <c r="E10" s="147">
        <f>FPL!$H$10/31/1000/(4000/17.1)</f>
        <v>9.4713176612903232E-4</v>
      </c>
      <c r="G10" s="134">
        <v>19.057542780568983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FPL!$I$19/31/1000/(4000/17.1)</f>
        <v>4.3468610951612899E-3</v>
      </c>
      <c r="E11" s="147">
        <f>FPL!$H$10/31/1000/(4000/17.1)</f>
        <v>9.4713176612903232E-4</v>
      </c>
      <c r="G11" s="134">
        <v>19.057542780568991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FPL!$I$19/31/1000/(4000/17.1)</f>
        <v>4.3468610951612899E-3</v>
      </c>
      <c r="E12" s="147">
        <f>FPL!$H$10/31/1000/(4000/17.1)</f>
        <v>9.4713176612903232E-4</v>
      </c>
      <c r="G12" s="134">
        <v>19.057542780568987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FPL!$I$19/31/1000/(4000/17.1)</f>
        <v>4.3468610951612899E-3</v>
      </c>
      <c r="E13" s="147">
        <f>FPL!$H$10/31/1000/(4000/17.1)</f>
        <v>9.4713176612903232E-4</v>
      </c>
      <c r="G13" s="134">
        <v>19.057542780568991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FPL!$I$19/31/1000/(4000/17.1)</f>
        <v>4.3468610951612899E-3</v>
      </c>
      <c r="E14" s="147">
        <f>FPL!$H$10/31/1000/(4000/17.1)</f>
        <v>9.4713176612903232E-4</v>
      </c>
      <c r="G14" s="134">
        <v>19.057542780568983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FPL!$I$19/31/1000/(4000/17.1)</f>
        <v>4.3468610951612899E-3</v>
      </c>
      <c r="E15" s="147">
        <f>FPL!$H$10/31/1000/(4000/17.1)</f>
        <v>9.4713176612903232E-4</v>
      </c>
      <c r="G15" s="134">
        <v>19.057542780568987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FPL!$I$19/31/1000/(4000/17.1)</f>
        <v>4.3468610951612899E-3</v>
      </c>
      <c r="E16" s="147">
        <f>FPL!$H$10/31/1000/(4000/17.1)</f>
        <v>9.4713176612903232E-4</v>
      </c>
      <c r="G16" s="134">
        <v>19.057542780568991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FPL!$I$19/31/1000/(4000/17.1)</f>
        <v>4.3468610951612899E-3</v>
      </c>
      <c r="E17" s="147">
        <f>FPL!$H$10/31/1000/(4000/17.1)</f>
        <v>9.4713176612903232E-4</v>
      </c>
      <c r="G17" s="134">
        <v>19.057542780568987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G3" sqref="G3:G17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FPU!$I$19/31/1000/(4000/17.1)</f>
        <v>3.9912465991935485E-3</v>
      </c>
      <c r="E3" s="147">
        <f>FPU!$H$10/31/1000/(4000/17.1)</f>
        <v>2.114470161290323E-6</v>
      </c>
      <c r="G3" s="134">
        <v>24.323708916960694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FPU!$I$19/31/1000/(4000/17.1)</f>
        <v>3.9912465991935485E-3</v>
      </c>
      <c r="E4" s="147">
        <f>FPU!$H$10/31/1000/(4000/17.1)</f>
        <v>2.114470161290323E-6</v>
      </c>
      <c r="G4" s="134">
        <v>24.323708916960694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FPU!$I$19/31/1000/(4000/17.1)</f>
        <v>3.9912465991935485E-3</v>
      </c>
      <c r="E5" s="147">
        <f>FPU!$H$10/31/1000/(4000/17.1)</f>
        <v>2.114470161290323E-6</v>
      </c>
      <c r="G5" s="134">
        <v>24.516466858013178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FPU!$I$19/31/1000/(4000/17.1)</f>
        <v>3.9912465991935485E-3</v>
      </c>
      <c r="E6" s="147">
        <f>FPU!$H$10/31/1000/(4000/17.1)</f>
        <v>2.114470161290323E-6</v>
      </c>
      <c r="G6" s="134">
        <v>24.516466858013178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FPU!$I$19/31/1000/(4000/17.1)</f>
        <v>3.9912465991935485E-3</v>
      </c>
      <c r="E7" s="147">
        <f>FPU!$H$10/31/1000/(4000/17.1)</f>
        <v>2.114470161290323E-6</v>
      </c>
      <c r="G7" s="134">
        <v>24.516466858013175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FPU!$I$19/31/1000/(4000/17.1)</f>
        <v>3.9912465991935485E-3</v>
      </c>
      <c r="E8" s="147">
        <f>FPU!$H$10/31/1000/(4000/17.1)</f>
        <v>2.114470161290323E-6</v>
      </c>
      <c r="G8" s="134">
        <v>24.516466858013182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FPU!$I$19/31/1000/(4000/17.1)</f>
        <v>3.9912465991935485E-3</v>
      </c>
      <c r="E9" s="147">
        <f>FPU!$H$10/31/1000/(4000/17.1)</f>
        <v>2.114470161290323E-6</v>
      </c>
      <c r="G9" s="134">
        <v>24.516466858013182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FPU!$I$19/31/1000/(4000/17.1)</f>
        <v>3.9912465991935485E-3</v>
      </c>
      <c r="E10" s="147">
        <f>FPU!$H$10/31/1000/(4000/17.1)</f>
        <v>2.114470161290323E-6</v>
      </c>
      <c r="G10" s="134">
        <v>24.516466858013182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FPU!$I$19/31/1000/(4000/17.1)</f>
        <v>3.9912465991935485E-3</v>
      </c>
      <c r="E11" s="147">
        <f>FPU!$H$10/31/1000/(4000/17.1)</f>
        <v>2.114470161290323E-6</v>
      </c>
      <c r="G11" s="134">
        <v>24.516466858013178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FPU!$I$19/31/1000/(4000/17.1)</f>
        <v>3.9912465991935485E-3</v>
      </c>
      <c r="E12" s="147">
        <f>FPU!$H$10/31/1000/(4000/17.1)</f>
        <v>2.114470161290323E-6</v>
      </c>
      <c r="G12" s="134">
        <v>24.516466858013182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FPU!$I$19/31/1000/(4000/17.1)</f>
        <v>3.9912465991935485E-3</v>
      </c>
      <c r="E13" s="147">
        <f>FPU!$H$10/31/1000/(4000/17.1)</f>
        <v>2.114470161290323E-6</v>
      </c>
      <c r="G13" s="134">
        <v>24.516466858013178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FPU!$I$19/31/1000/(4000/17.1)</f>
        <v>3.9912465991935485E-3</v>
      </c>
      <c r="E14" s="147">
        <f>FPU!$H$10/31/1000/(4000/17.1)</f>
        <v>2.114470161290323E-6</v>
      </c>
      <c r="G14" s="134">
        <v>24.516466858013175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FPU!$I$19/31/1000/(4000/17.1)</f>
        <v>3.9912465991935485E-3</v>
      </c>
      <c r="E15" s="147">
        <f>FPU!$H$10/31/1000/(4000/17.1)</f>
        <v>2.114470161290323E-6</v>
      </c>
      <c r="G15" s="134">
        <v>24.516466858013182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FPU!$I$19/31/1000/(4000/17.1)</f>
        <v>3.9912465991935485E-3</v>
      </c>
      <c r="E16" s="147">
        <f>FPU!$H$10/31/1000/(4000/17.1)</f>
        <v>2.114470161290323E-6</v>
      </c>
      <c r="G16" s="134">
        <v>24.516466858013182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FPU!$I$19/31/1000/(4000/17.1)</f>
        <v>3.9912465991935485E-3</v>
      </c>
      <c r="E17" s="147">
        <f>FPU!$H$10/31/1000/(4000/17.1)</f>
        <v>2.114470161290323E-6</v>
      </c>
      <c r="G17" s="134">
        <v>24.516466858013178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G3" sqref="G3:G17"/>
    </sheetView>
  </sheetViews>
  <sheetFormatPr defaultRowHeight="15.6"/>
  <cols>
    <col min="7" max="7" width="11.3984375" bestFit="1" customWidth="1"/>
    <col min="10" max="10" width="9.3984375" bestFit="1" customWidth="1"/>
    <col min="11" max="11" width="11.69921875" customWidth="1"/>
    <col min="12" max="13" width="18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258</v>
      </c>
      <c r="M2" s="129" t="s">
        <v>259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Gulf!$I$19/31/1000/(4000/17.1)</f>
        <v>2.9600189637096772E-3</v>
      </c>
      <c r="E3" s="147">
        <f>Gulf!$H$10/31/1000/(4000/17.1)</f>
        <v>1.2654733645161291E-3</v>
      </c>
      <c r="G3" s="134">
        <v>25.185880091656696</v>
      </c>
      <c r="H3" s="135">
        <v>20</v>
      </c>
      <c r="J3" s="136">
        <f>15960/5700*17.1</f>
        <v>47.88</v>
      </c>
      <c r="K3" t="s">
        <v>253</v>
      </c>
      <c r="L3" s="136">
        <f>70/(4000/17.1)</f>
        <v>0.29925000000000002</v>
      </c>
      <c r="M3" s="136">
        <v>0</v>
      </c>
    </row>
    <row r="4" spans="1:43">
      <c r="A4" t="s">
        <v>254</v>
      </c>
      <c r="B4" t="s">
        <v>251</v>
      </c>
      <c r="C4" t="s">
        <v>252</v>
      </c>
      <c r="D4" s="146">
        <f>Gulf!$I$19/31/1000/(4000/17.1)</f>
        <v>2.9600189637096772E-3</v>
      </c>
      <c r="E4" s="147">
        <f>Gulf!$H$10/31/1000/(4000/17.1)</f>
        <v>1.2654733645161291E-3</v>
      </c>
      <c r="G4" s="134">
        <v>25.185880091656696</v>
      </c>
      <c r="H4" s="135">
        <v>20</v>
      </c>
      <c r="J4" s="136">
        <f>15960/5700*17.1</f>
        <v>47.88</v>
      </c>
      <c r="K4" t="s">
        <v>253</v>
      </c>
      <c r="L4" s="136">
        <f>70/(4000/17.1)</f>
        <v>0.29925000000000002</v>
      </c>
      <c r="M4" s="136">
        <v>0</v>
      </c>
    </row>
    <row r="5" spans="1:43">
      <c r="A5" t="s">
        <v>73</v>
      </c>
      <c r="B5" t="s">
        <v>251</v>
      </c>
      <c r="C5" t="s">
        <v>252</v>
      </c>
      <c r="D5" s="146">
        <f>Gulf!$I$19/31/1000/(4000/17.1)</f>
        <v>2.9600189637096772E-3</v>
      </c>
      <c r="E5" s="147">
        <f>Gulf!$H$10/31/1000/(4000/17.1)</f>
        <v>1.2654733645161291E-3</v>
      </c>
      <c r="G5" s="134">
        <v>25.279607851679796</v>
      </c>
      <c r="H5" s="135">
        <v>20</v>
      </c>
      <c r="J5" s="136">
        <f>185000/100000*17.1</f>
        <v>31.635000000000005</v>
      </c>
      <c r="K5" t="s">
        <v>253</v>
      </c>
      <c r="L5" s="136">
        <f t="shared" ref="L5:L17" si="1">70/(4000/17.1)</f>
        <v>0.29925000000000002</v>
      </c>
      <c r="M5" s="136">
        <v>0</v>
      </c>
    </row>
    <row r="6" spans="1:43">
      <c r="A6" t="s">
        <v>74</v>
      </c>
      <c r="B6" t="s">
        <v>251</v>
      </c>
      <c r="C6" t="s">
        <v>252</v>
      </c>
      <c r="D6" s="146">
        <f>Gulf!$I$19/31/1000/(4000/17.1)</f>
        <v>2.9600189637096772E-3</v>
      </c>
      <c r="E6" s="147">
        <f>Gulf!$H$10/31/1000/(4000/17.1)</f>
        <v>1.2654733645161291E-3</v>
      </c>
      <c r="G6" s="134">
        <v>25.279607851679796</v>
      </c>
      <c r="H6" s="135">
        <v>20</v>
      </c>
      <c r="J6" s="136">
        <f t="shared" ref="J6:J17" si="2">185000/100000*17.1</f>
        <v>31.635000000000005</v>
      </c>
      <c r="K6" t="s">
        <v>253</v>
      </c>
      <c r="L6" s="136">
        <f t="shared" si="1"/>
        <v>0.29925000000000002</v>
      </c>
      <c r="M6" s="136">
        <v>0</v>
      </c>
    </row>
    <row r="7" spans="1:43">
      <c r="A7" t="s">
        <v>75</v>
      </c>
      <c r="B7" t="s">
        <v>251</v>
      </c>
      <c r="C7" t="s">
        <v>252</v>
      </c>
      <c r="D7" s="146">
        <f>Gulf!$I$19/31/1000/(4000/17.1)</f>
        <v>2.9600189637096772E-3</v>
      </c>
      <c r="E7" s="147">
        <f>Gulf!$H$10/31/1000/(4000/17.1)</f>
        <v>1.2654733645161291E-3</v>
      </c>
      <c r="G7" s="134">
        <v>25.279607851679796</v>
      </c>
      <c r="H7" s="135">
        <v>20</v>
      </c>
      <c r="J7" s="136">
        <f t="shared" si="2"/>
        <v>31.635000000000005</v>
      </c>
      <c r="K7" t="s">
        <v>253</v>
      </c>
      <c r="L7" s="136">
        <f t="shared" si="1"/>
        <v>0.29925000000000002</v>
      </c>
      <c r="M7" s="136">
        <v>0</v>
      </c>
    </row>
    <row r="8" spans="1:43">
      <c r="A8" t="s">
        <v>76</v>
      </c>
      <c r="B8" t="s">
        <v>251</v>
      </c>
      <c r="C8" t="s">
        <v>252</v>
      </c>
      <c r="D8" s="146">
        <f>Gulf!$I$19/31/1000/(4000/17.1)</f>
        <v>2.9600189637096772E-3</v>
      </c>
      <c r="E8" s="147">
        <f>Gulf!$H$10/31/1000/(4000/17.1)</f>
        <v>1.2654733645161291E-3</v>
      </c>
      <c r="G8" s="134">
        <v>25.279607851679796</v>
      </c>
      <c r="H8" s="135">
        <v>20</v>
      </c>
      <c r="J8" s="136">
        <f t="shared" si="2"/>
        <v>31.635000000000005</v>
      </c>
      <c r="K8" t="s">
        <v>253</v>
      </c>
      <c r="L8" s="136">
        <f t="shared" si="1"/>
        <v>0.29925000000000002</v>
      </c>
      <c r="M8" s="136">
        <v>0</v>
      </c>
    </row>
    <row r="9" spans="1:43">
      <c r="A9" t="s">
        <v>77</v>
      </c>
      <c r="B9" t="s">
        <v>251</v>
      </c>
      <c r="C9" t="s">
        <v>252</v>
      </c>
      <c r="D9" s="146">
        <f>Gulf!$I$19/31/1000/(4000/17.1)</f>
        <v>2.9600189637096772E-3</v>
      </c>
      <c r="E9" s="147">
        <f>Gulf!$H$10/31/1000/(4000/17.1)</f>
        <v>1.2654733645161291E-3</v>
      </c>
      <c r="G9" s="134">
        <v>25.279607851679796</v>
      </c>
      <c r="H9" s="135">
        <v>20</v>
      </c>
      <c r="J9" s="136">
        <f t="shared" si="2"/>
        <v>31.635000000000005</v>
      </c>
      <c r="K9" t="s">
        <v>253</v>
      </c>
      <c r="L9" s="136">
        <f t="shared" si="1"/>
        <v>0.29925000000000002</v>
      </c>
      <c r="M9" s="136">
        <v>0</v>
      </c>
    </row>
    <row r="10" spans="1:43">
      <c r="A10" t="s">
        <v>78</v>
      </c>
      <c r="B10" t="s">
        <v>251</v>
      </c>
      <c r="C10" t="s">
        <v>252</v>
      </c>
      <c r="D10" s="146">
        <f>Gulf!$I$19/31/1000/(4000/17.1)</f>
        <v>2.9600189637096772E-3</v>
      </c>
      <c r="E10" s="147">
        <f>Gulf!$H$10/31/1000/(4000/17.1)</f>
        <v>1.2654733645161291E-3</v>
      </c>
      <c r="G10" s="134">
        <v>25.279607851679796</v>
      </c>
      <c r="H10" s="135">
        <v>20</v>
      </c>
      <c r="J10" s="136">
        <f t="shared" si="2"/>
        <v>31.635000000000005</v>
      </c>
      <c r="K10" t="s">
        <v>253</v>
      </c>
      <c r="L10" s="136">
        <f t="shared" si="1"/>
        <v>0.29925000000000002</v>
      </c>
      <c r="M10" s="136">
        <v>0</v>
      </c>
    </row>
    <row r="11" spans="1:43">
      <c r="A11" t="s">
        <v>79</v>
      </c>
      <c r="B11" t="s">
        <v>251</v>
      </c>
      <c r="C11" t="s">
        <v>252</v>
      </c>
      <c r="D11" s="146">
        <f>Gulf!$I$19/31/1000/(4000/17.1)</f>
        <v>2.9600189637096772E-3</v>
      </c>
      <c r="E11" s="147">
        <f>Gulf!$H$10/31/1000/(4000/17.1)</f>
        <v>1.2654733645161291E-3</v>
      </c>
      <c r="G11" s="134">
        <v>25.279607851679799</v>
      </c>
      <c r="H11" s="135">
        <v>20</v>
      </c>
      <c r="J11" s="136">
        <f t="shared" si="2"/>
        <v>31.635000000000005</v>
      </c>
      <c r="K11" t="s">
        <v>253</v>
      </c>
      <c r="L11" s="136">
        <f t="shared" si="1"/>
        <v>0.29925000000000002</v>
      </c>
      <c r="M11" s="136">
        <v>0</v>
      </c>
    </row>
    <row r="12" spans="1:43">
      <c r="A12" t="s">
        <v>80</v>
      </c>
      <c r="B12" t="s">
        <v>251</v>
      </c>
      <c r="C12" t="s">
        <v>252</v>
      </c>
      <c r="D12" s="146">
        <f>Gulf!$I$19/31/1000/(4000/17.1)</f>
        <v>2.9600189637096772E-3</v>
      </c>
      <c r="E12" s="147">
        <f>Gulf!$H$10/31/1000/(4000/17.1)</f>
        <v>1.2654733645161291E-3</v>
      </c>
      <c r="G12" s="134">
        <v>25.279607851679799</v>
      </c>
      <c r="H12" s="135">
        <v>20</v>
      </c>
      <c r="J12" s="136">
        <f t="shared" si="2"/>
        <v>31.635000000000005</v>
      </c>
      <c r="K12" t="s">
        <v>253</v>
      </c>
      <c r="L12" s="136">
        <f t="shared" si="1"/>
        <v>0.29925000000000002</v>
      </c>
      <c r="M12" s="136">
        <v>0</v>
      </c>
    </row>
    <row r="13" spans="1:43">
      <c r="A13" t="s">
        <v>81</v>
      </c>
      <c r="B13" t="s">
        <v>251</v>
      </c>
      <c r="C13" t="s">
        <v>252</v>
      </c>
      <c r="D13" s="146">
        <f>Gulf!$I$19/31/1000/(4000/17.1)</f>
        <v>2.9600189637096772E-3</v>
      </c>
      <c r="E13" s="147">
        <f>Gulf!$H$10/31/1000/(4000/17.1)</f>
        <v>1.2654733645161291E-3</v>
      </c>
      <c r="G13" s="134">
        <v>25.279607851679796</v>
      </c>
      <c r="H13" s="135">
        <v>20</v>
      </c>
      <c r="J13" s="136">
        <f t="shared" si="2"/>
        <v>31.635000000000005</v>
      </c>
      <c r="K13" t="s">
        <v>253</v>
      </c>
      <c r="L13" s="136">
        <f t="shared" si="1"/>
        <v>0.29925000000000002</v>
      </c>
      <c r="M13" s="136">
        <v>0</v>
      </c>
    </row>
    <row r="14" spans="1:43">
      <c r="A14" t="s">
        <v>82</v>
      </c>
      <c r="B14" t="s">
        <v>251</v>
      </c>
      <c r="C14" t="s">
        <v>252</v>
      </c>
      <c r="D14" s="146">
        <f>Gulf!$I$19/31/1000/(4000/17.1)</f>
        <v>2.9600189637096772E-3</v>
      </c>
      <c r="E14" s="147">
        <f>Gulf!$H$10/31/1000/(4000/17.1)</f>
        <v>1.2654733645161291E-3</v>
      </c>
      <c r="G14" s="134">
        <v>25.279607851679796</v>
      </c>
      <c r="H14" s="135">
        <v>20</v>
      </c>
      <c r="J14" s="136">
        <f t="shared" si="2"/>
        <v>31.635000000000005</v>
      </c>
      <c r="K14" t="s">
        <v>253</v>
      </c>
      <c r="L14" s="136">
        <f t="shared" si="1"/>
        <v>0.29925000000000002</v>
      </c>
      <c r="M14" s="136">
        <v>0</v>
      </c>
    </row>
    <row r="15" spans="1:43">
      <c r="A15" t="s">
        <v>83</v>
      </c>
      <c r="B15" t="s">
        <v>251</v>
      </c>
      <c r="C15" t="s">
        <v>252</v>
      </c>
      <c r="D15" s="146">
        <f>Gulf!$I$19/31/1000/(4000/17.1)</f>
        <v>2.9600189637096772E-3</v>
      </c>
      <c r="E15" s="147">
        <f>Gulf!$H$10/31/1000/(4000/17.1)</f>
        <v>1.2654733645161291E-3</v>
      </c>
      <c r="G15" s="134">
        <v>25.279607851679796</v>
      </c>
      <c r="H15" s="135">
        <v>20</v>
      </c>
      <c r="J15" s="136">
        <f t="shared" si="2"/>
        <v>31.635000000000005</v>
      </c>
      <c r="K15" t="s">
        <v>253</v>
      </c>
      <c r="L15" s="136">
        <f t="shared" si="1"/>
        <v>0.29925000000000002</v>
      </c>
      <c r="M15" s="136">
        <v>0</v>
      </c>
    </row>
    <row r="16" spans="1:43">
      <c r="A16" t="s">
        <v>84</v>
      </c>
      <c r="B16" t="s">
        <v>251</v>
      </c>
      <c r="C16" t="s">
        <v>252</v>
      </c>
      <c r="D16" s="146">
        <f>Gulf!$I$19/31/1000/(4000/17.1)</f>
        <v>2.9600189637096772E-3</v>
      </c>
      <c r="E16" s="147">
        <f>Gulf!$H$10/31/1000/(4000/17.1)</f>
        <v>1.2654733645161291E-3</v>
      </c>
      <c r="G16" s="134">
        <v>25.279607851679796</v>
      </c>
      <c r="H16" s="135">
        <v>20</v>
      </c>
      <c r="J16" s="136">
        <f t="shared" si="2"/>
        <v>31.635000000000005</v>
      </c>
      <c r="K16" t="s">
        <v>253</v>
      </c>
      <c r="L16" s="136">
        <f t="shared" si="1"/>
        <v>0.29925000000000002</v>
      </c>
      <c r="M16" s="136">
        <v>0</v>
      </c>
    </row>
    <row r="17" spans="1:13">
      <c r="A17" t="s">
        <v>85</v>
      </c>
      <c r="B17" t="s">
        <v>251</v>
      </c>
      <c r="C17" t="s">
        <v>252</v>
      </c>
      <c r="D17" s="146">
        <f>Gulf!$I$19/31/1000/(4000/17.1)</f>
        <v>2.9600189637096772E-3</v>
      </c>
      <c r="E17" s="147">
        <f>Gulf!$H$10/31/1000/(4000/17.1)</f>
        <v>1.2654733645161291E-3</v>
      </c>
      <c r="G17" s="134">
        <v>25.279607851679796</v>
      </c>
      <c r="H17" s="135">
        <v>20</v>
      </c>
      <c r="J17" s="136">
        <f t="shared" si="2"/>
        <v>31.635000000000005</v>
      </c>
      <c r="K17" t="s">
        <v>253</v>
      </c>
      <c r="L17" s="136">
        <f t="shared" si="1"/>
        <v>0.29925000000000002</v>
      </c>
      <c r="M17" s="136">
        <v>0</v>
      </c>
    </row>
    <row r="18" spans="1:13">
      <c r="D18" s="133"/>
      <c r="E18" s="133"/>
      <c r="G18" s="133"/>
      <c r="H18" s="135"/>
      <c r="J18" s="136"/>
    </row>
    <row r="19" spans="1:13">
      <c r="D19" s="133"/>
      <c r="E19" s="133"/>
      <c r="G19" s="133"/>
      <c r="H19" s="135"/>
      <c r="J19" s="136"/>
    </row>
    <row r="20" spans="1:13">
      <c r="D20" s="133"/>
      <c r="E20" s="133"/>
      <c r="G20" s="133"/>
      <c r="H20" s="135"/>
      <c r="J20" s="136"/>
    </row>
    <row r="21" spans="1:13">
      <c r="D21" s="133"/>
      <c r="E21" s="133"/>
      <c r="G21" s="133"/>
      <c r="H21" s="135"/>
      <c r="J21" s="136"/>
    </row>
    <row r="22" spans="1:13">
      <c r="D22" s="133"/>
      <c r="E22" s="133"/>
      <c r="G22" s="133"/>
      <c r="H22" s="135"/>
      <c r="J22" s="136"/>
    </row>
    <row r="23" spans="1:13">
      <c r="D23" s="133"/>
      <c r="E23" s="133"/>
      <c r="G23" s="133"/>
      <c r="H23" s="135"/>
      <c r="J23" s="136"/>
    </row>
    <row r="24" spans="1:13">
      <c r="D24" s="133"/>
      <c r="E24" s="133"/>
      <c r="G24" s="133"/>
      <c r="H24" s="135"/>
      <c r="J24" s="136"/>
    </row>
    <row r="25" spans="1:13">
      <c r="D25" s="133"/>
      <c r="E25" s="133"/>
      <c r="G25" s="133"/>
      <c r="H25" s="135"/>
      <c r="J25" s="136"/>
    </row>
    <row r="26" spans="1:13">
      <c r="D26" s="133"/>
      <c r="E26" s="133"/>
      <c r="G26" s="133"/>
      <c r="H26" s="135"/>
      <c r="J26" s="136"/>
    </row>
    <row r="27" spans="1:13">
      <c r="D27" s="133"/>
      <c r="E27" s="133"/>
      <c r="G27" s="133"/>
      <c r="H27" s="135"/>
      <c r="J27" s="136"/>
    </row>
    <row r="28" spans="1:13">
      <c r="D28" s="133"/>
      <c r="E28" s="133"/>
      <c r="G28" s="133"/>
      <c r="H28" s="135"/>
      <c r="J28" s="136"/>
    </row>
    <row r="29" spans="1:13">
      <c r="D29" s="133"/>
      <c r="E29" s="133"/>
      <c r="G29" s="133"/>
      <c r="H29" s="135"/>
      <c r="J29" s="136"/>
    </row>
    <row r="30" spans="1:13">
      <c r="D30" s="133"/>
      <c r="E30" s="133"/>
      <c r="G30" s="133"/>
      <c r="H30" s="135"/>
      <c r="J30" s="136"/>
    </row>
    <row r="31" spans="1:13">
      <c r="D31" s="133"/>
      <c r="E31" s="133"/>
      <c r="G31" s="133"/>
      <c r="H31" s="135"/>
      <c r="J31" s="136"/>
    </row>
    <row r="32" spans="1:13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B24" sqref="B24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JEA!$I$19/31/1000/(4000/17.1)</f>
        <v>3.9912465991935485E-3</v>
      </c>
      <c r="E3" s="147">
        <f>JEA!$H$10/31/1000/(4000/17.1)</f>
        <v>2.114470161290323E-6</v>
      </c>
      <c r="G3" s="134">
        <v>24.370954436457321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JEA!$I$19/31/1000/(4000/17.1)</f>
        <v>3.9912465991935485E-3</v>
      </c>
      <c r="E4" s="147">
        <f>JEA!$H$10/31/1000/(4000/17.1)</f>
        <v>2.114470161290323E-6</v>
      </c>
      <c r="G4" s="134">
        <v>24.370954436457321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JEA!$I$19/31/1000/(4000/17.1)</f>
        <v>3.9912465991935485E-3</v>
      </c>
      <c r="E5" s="147">
        <f>JEA!$H$10/31/1000/(4000/17.1)</f>
        <v>2.114470161290323E-6</v>
      </c>
      <c r="G5" s="134">
        <v>24.516466858013182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JEA!$I$19/31/1000/(4000/17.1)</f>
        <v>3.9912465991935485E-3</v>
      </c>
      <c r="E6" s="147">
        <f>JEA!$H$10/31/1000/(4000/17.1)</f>
        <v>2.114470161290323E-6</v>
      </c>
      <c r="G6" s="134">
        <v>24.516466858013182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JEA!$I$19/31/1000/(4000/17.1)</f>
        <v>3.9912465991935485E-3</v>
      </c>
      <c r="E7" s="147">
        <f>JEA!$H$10/31/1000/(4000/17.1)</f>
        <v>2.114470161290323E-6</v>
      </c>
      <c r="G7" s="134">
        <v>24.516466858013178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JEA!$I$19/31/1000/(4000/17.1)</f>
        <v>3.9912465991935485E-3</v>
      </c>
      <c r="E8" s="147">
        <f>JEA!$H$10/31/1000/(4000/17.1)</f>
        <v>2.114470161290323E-6</v>
      </c>
      <c r="G8" s="134">
        <v>24.516466858013178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JEA!$I$19/31/1000/(4000/17.1)</f>
        <v>3.9912465991935485E-3</v>
      </c>
      <c r="E9" s="147">
        <f>JEA!$H$10/31/1000/(4000/17.1)</f>
        <v>2.114470161290323E-6</v>
      </c>
      <c r="G9" s="134">
        <v>24.516466858013178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JEA!$I$19/31/1000/(4000/17.1)</f>
        <v>3.9912465991935485E-3</v>
      </c>
      <c r="E10" s="147">
        <f>JEA!$H$10/31/1000/(4000/17.1)</f>
        <v>2.114470161290323E-6</v>
      </c>
      <c r="G10" s="134">
        <v>24.516466858013178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JEA!$I$19/31/1000/(4000/17.1)</f>
        <v>3.9912465991935485E-3</v>
      </c>
      <c r="E11" s="147">
        <f>JEA!$H$10/31/1000/(4000/17.1)</f>
        <v>2.114470161290323E-6</v>
      </c>
      <c r="G11" s="134">
        <v>24.516466858013178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JEA!$I$19/31/1000/(4000/17.1)</f>
        <v>3.9912465991935485E-3</v>
      </c>
      <c r="E12" s="147">
        <f>JEA!$H$10/31/1000/(4000/17.1)</f>
        <v>2.114470161290323E-6</v>
      </c>
      <c r="G12" s="134">
        <v>24.516466858013178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JEA!$I$19/31/1000/(4000/17.1)</f>
        <v>3.9912465991935485E-3</v>
      </c>
      <c r="E13" s="147">
        <f>JEA!$H$10/31/1000/(4000/17.1)</f>
        <v>2.114470161290323E-6</v>
      </c>
      <c r="G13" s="134">
        <v>24.516466858013175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JEA!$I$19/31/1000/(4000/17.1)</f>
        <v>3.9912465991935485E-3</v>
      </c>
      <c r="E14" s="147">
        <f>JEA!$H$10/31/1000/(4000/17.1)</f>
        <v>2.114470161290323E-6</v>
      </c>
      <c r="G14" s="134">
        <v>24.516466858013182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JEA!$I$19/31/1000/(4000/17.1)</f>
        <v>3.9912465991935485E-3</v>
      </c>
      <c r="E15" s="147">
        <f>JEA!$H$10/31/1000/(4000/17.1)</f>
        <v>2.114470161290323E-6</v>
      </c>
      <c r="G15" s="134">
        <v>24.516466858013178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JEA!$I$19/31/1000/(4000/17.1)</f>
        <v>3.9912465991935485E-3</v>
      </c>
      <c r="E16" s="147">
        <f>JEA!$H$10/31/1000/(4000/17.1)</f>
        <v>2.114470161290323E-6</v>
      </c>
      <c r="G16" s="134">
        <v>24.516466858013182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JEA!$I$19/31/1000/(4000/17.1)</f>
        <v>3.9912465991935485E-3</v>
      </c>
      <c r="E17" s="147">
        <f>JEA!$H$10/31/1000/(4000/17.1)</f>
        <v>2.114470161290323E-6</v>
      </c>
      <c r="G17" s="134">
        <v>24.516466858013178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G3" sqref="G3:G17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OUC!$I$19/31/1000/(4000/17.1)</f>
        <v>3.3496072983870968E-3</v>
      </c>
      <c r="E3" s="147">
        <f>OUC!$H$10/31/1000/(4000/17.1)</f>
        <v>5.0093939758064511E-4</v>
      </c>
      <c r="G3" s="134">
        <v>25.5875211342623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OUC!$I$19/31/1000/(4000/17.1)</f>
        <v>3.3496072983870968E-3</v>
      </c>
      <c r="E4" s="147">
        <f>OUC!$H$10/31/1000/(4000/17.1)</f>
        <v>5.0093939758064511E-4</v>
      </c>
      <c r="G4" s="134">
        <v>25.5875211342623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OUC!$I$19/31/1000/(4000/17.1)</f>
        <v>3.3496072983870968E-3</v>
      </c>
      <c r="E5" s="147">
        <f>OUC!$H$10/31/1000/(4000/17.1)</f>
        <v>5.0093939758064511E-4</v>
      </c>
      <c r="G5" s="134">
        <v>25.868596238382146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OUC!$I$19/31/1000/(4000/17.1)</f>
        <v>3.3496072983870968E-3</v>
      </c>
      <c r="E6" s="147">
        <f>OUC!$H$10/31/1000/(4000/17.1)</f>
        <v>5.0093939758064511E-4</v>
      </c>
      <c r="G6" s="134">
        <v>25.86859623838215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OUC!$I$19/31/1000/(4000/17.1)</f>
        <v>3.3496072983870968E-3</v>
      </c>
      <c r="E7" s="147">
        <f>OUC!$H$10/31/1000/(4000/17.1)</f>
        <v>5.0093939758064511E-4</v>
      </c>
      <c r="G7" s="134">
        <v>25.868596238382143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OUC!$I$19/31/1000/(4000/17.1)</f>
        <v>3.3496072983870968E-3</v>
      </c>
      <c r="E8" s="147">
        <f>OUC!$H$10/31/1000/(4000/17.1)</f>
        <v>5.0093939758064511E-4</v>
      </c>
      <c r="G8" s="134">
        <v>25.868596238382146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OUC!$I$19/31/1000/(4000/17.1)</f>
        <v>3.3496072983870968E-3</v>
      </c>
      <c r="E9" s="147">
        <f>OUC!$H$10/31/1000/(4000/17.1)</f>
        <v>5.0093939758064511E-4</v>
      </c>
      <c r="G9" s="134">
        <v>25.86859623838215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OUC!$I$19/31/1000/(4000/17.1)</f>
        <v>3.3496072983870968E-3</v>
      </c>
      <c r="E10" s="147">
        <f>OUC!$H$10/31/1000/(4000/17.1)</f>
        <v>5.0093939758064511E-4</v>
      </c>
      <c r="G10" s="134">
        <v>25.868596238382146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OUC!$I$19/31/1000/(4000/17.1)</f>
        <v>3.3496072983870968E-3</v>
      </c>
      <c r="E11" s="147">
        <f>OUC!$H$10/31/1000/(4000/17.1)</f>
        <v>5.0093939758064511E-4</v>
      </c>
      <c r="G11" s="134">
        <v>25.86859623838215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OUC!$I$19/31/1000/(4000/17.1)</f>
        <v>3.3496072983870968E-3</v>
      </c>
      <c r="E12" s="147">
        <f>OUC!$H$10/31/1000/(4000/17.1)</f>
        <v>5.0093939758064511E-4</v>
      </c>
      <c r="G12" s="134">
        <v>25.868596238382146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OUC!$I$19/31/1000/(4000/17.1)</f>
        <v>3.3496072983870968E-3</v>
      </c>
      <c r="E13" s="147">
        <f>OUC!$H$10/31/1000/(4000/17.1)</f>
        <v>5.0093939758064511E-4</v>
      </c>
      <c r="G13" s="134">
        <v>25.86859623838215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OUC!$I$19/31/1000/(4000/17.1)</f>
        <v>3.3496072983870968E-3</v>
      </c>
      <c r="E14" s="147">
        <f>OUC!$H$10/31/1000/(4000/17.1)</f>
        <v>5.0093939758064511E-4</v>
      </c>
      <c r="G14" s="134">
        <v>25.86859623838215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OUC!$I$19/31/1000/(4000/17.1)</f>
        <v>3.3496072983870968E-3</v>
      </c>
      <c r="E15" s="147">
        <f>OUC!$H$10/31/1000/(4000/17.1)</f>
        <v>5.0093939758064511E-4</v>
      </c>
      <c r="G15" s="134">
        <v>25.86859623838215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OUC!$I$19/31/1000/(4000/17.1)</f>
        <v>3.3496072983870968E-3</v>
      </c>
      <c r="E16" s="147">
        <f>OUC!$H$10/31/1000/(4000/17.1)</f>
        <v>5.0093939758064511E-4</v>
      </c>
      <c r="G16" s="134">
        <v>25.868596238382146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OUC!$I$19/31/1000/(4000/17.1)</f>
        <v>3.3496072983870968E-3</v>
      </c>
      <c r="E17" s="147">
        <f>OUC!$H$10/31/1000/(4000/17.1)</f>
        <v>5.0093939758064511E-4</v>
      </c>
      <c r="G17" s="134">
        <v>25.86859623838215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Q18" sqref="Q18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TECO!$I$19/31/1000/(4000/17.1)</f>
        <v>3.9055267814516129E-3</v>
      </c>
      <c r="E3" s="147">
        <f>TECO!$H$10/31/1000/(4000/17.1)</f>
        <v>1.4556609435483874E-4</v>
      </c>
      <c r="G3" s="134">
        <v>26.300914746981174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TECO!$I$19/31/1000/(4000/17.1)</f>
        <v>3.9055267814516129E-3</v>
      </c>
      <c r="E4" s="147">
        <f>TECO!$H$10/31/1000/(4000/17.1)</f>
        <v>1.4556609435483874E-4</v>
      </c>
      <c r="G4" s="134">
        <v>26.300914746981174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TECO!$I$19/31/1000/(4000/17.1)</f>
        <v>3.9055267814516129E-3</v>
      </c>
      <c r="E5" s="147">
        <f>TECO!$H$10/31/1000/(4000/17.1)</f>
        <v>1.4556609435483874E-4</v>
      </c>
      <c r="G5" s="134">
        <v>26.526224628253164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TECO!$I$19/31/1000/(4000/17.1)</f>
        <v>3.9055267814516129E-3</v>
      </c>
      <c r="E6" s="147">
        <f>TECO!$H$10/31/1000/(4000/17.1)</f>
        <v>1.4556609435483874E-4</v>
      </c>
      <c r="G6" s="134">
        <v>26.526224628253161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TECO!$I$19/31/1000/(4000/17.1)</f>
        <v>3.9055267814516129E-3</v>
      </c>
      <c r="E7" s="147">
        <f>TECO!$H$10/31/1000/(4000/17.1)</f>
        <v>1.4556609435483874E-4</v>
      </c>
      <c r="G7" s="134">
        <v>26.526224628253164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TECO!$I$19/31/1000/(4000/17.1)</f>
        <v>3.9055267814516129E-3</v>
      </c>
      <c r="E8" s="147">
        <f>TECO!$H$10/31/1000/(4000/17.1)</f>
        <v>1.4556609435483874E-4</v>
      </c>
      <c r="G8" s="134">
        <v>26.526224628253164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TECO!$I$19/31/1000/(4000/17.1)</f>
        <v>3.9055267814516129E-3</v>
      </c>
      <c r="E9" s="147">
        <f>TECO!$H$10/31/1000/(4000/17.1)</f>
        <v>1.4556609435483874E-4</v>
      </c>
      <c r="G9" s="134">
        <v>26.526224628253164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TECO!$I$19/31/1000/(4000/17.1)</f>
        <v>3.9055267814516129E-3</v>
      </c>
      <c r="E10" s="147">
        <f>TECO!$H$10/31/1000/(4000/17.1)</f>
        <v>1.4556609435483874E-4</v>
      </c>
      <c r="G10" s="134">
        <v>26.526224628253161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TECO!$I$19/31/1000/(4000/17.1)</f>
        <v>3.9055267814516129E-3</v>
      </c>
      <c r="E11" s="147">
        <f>TECO!$H$10/31/1000/(4000/17.1)</f>
        <v>1.4556609435483874E-4</v>
      </c>
      <c r="G11" s="134">
        <v>26.526224628253164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TECO!$I$19/31/1000/(4000/17.1)</f>
        <v>3.9055267814516129E-3</v>
      </c>
      <c r="E12" s="147">
        <f>TECO!$H$10/31/1000/(4000/17.1)</f>
        <v>1.4556609435483874E-4</v>
      </c>
      <c r="G12" s="134">
        <v>26.526224628253168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TECO!$I$19/31/1000/(4000/17.1)</f>
        <v>3.9055267814516129E-3</v>
      </c>
      <c r="E13" s="147">
        <f>TECO!$H$10/31/1000/(4000/17.1)</f>
        <v>1.4556609435483874E-4</v>
      </c>
      <c r="G13" s="134">
        <v>26.526224628253164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TECO!$I$19/31/1000/(4000/17.1)</f>
        <v>3.9055267814516129E-3</v>
      </c>
      <c r="E14" s="147">
        <f>TECO!$H$10/31/1000/(4000/17.1)</f>
        <v>1.4556609435483874E-4</v>
      </c>
      <c r="G14" s="134">
        <v>26.526224628253161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TECO!$I$19/31/1000/(4000/17.1)</f>
        <v>3.9055267814516129E-3</v>
      </c>
      <c r="E15" s="147">
        <f>TECO!$H$10/31/1000/(4000/17.1)</f>
        <v>1.4556609435483874E-4</v>
      </c>
      <c r="G15" s="134">
        <v>26.526224628253161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TECO!$I$19/31/1000/(4000/17.1)</f>
        <v>3.9055267814516129E-3</v>
      </c>
      <c r="E16" s="147">
        <f>TECO!$H$10/31/1000/(4000/17.1)</f>
        <v>1.4556609435483874E-4</v>
      </c>
      <c r="G16" s="134">
        <v>26.526224628253164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TECO!$I$19/31/1000/(4000/17.1)</f>
        <v>3.9055267814516129E-3</v>
      </c>
      <c r="E17" s="147">
        <f>TECO!$H$10/31/1000/(4000/17.1)</f>
        <v>1.4556609435483874E-4</v>
      </c>
      <c r="G17" s="134">
        <v>26.526224628253164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77BC1F"/>
  </sheetPr>
  <dimension ref="A1:AD144"/>
  <sheetViews>
    <sheetView zoomScale="90" zoomScaleNormal="90" workbookViewId="0">
      <selection activeCell="D91" sqref="D91"/>
    </sheetView>
  </sheetViews>
  <sheetFormatPr defaultRowHeight="15.6"/>
  <cols>
    <col min="1" max="1" width="19.09765625" customWidth="1"/>
    <col min="2" max="2" width="13.5" customWidth="1"/>
    <col min="3" max="3" width="17.5" bestFit="1" customWidth="1"/>
    <col min="4" max="4" width="13.3984375" bestFit="1" customWidth="1"/>
    <col min="5" max="10" width="9.09765625" bestFit="1" customWidth="1"/>
    <col min="12" max="12" width="17.3984375" customWidth="1"/>
    <col min="13" max="13" width="13.8984375" bestFit="1" customWidth="1"/>
    <col min="14" max="14" width="14.09765625" customWidth="1"/>
    <col min="15" max="15" width="10.59765625" customWidth="1"/>
    <col min="16" max="16" width="13.59765625" customWidth="1"/>
    <col min="17" max="17" width="13.3984375" customWidth="1"/>
    <col min="18" max="19" width="14.5" customWidth="1"/>
    <col min="20" max="20" width="15.19921875" customWidth="1"/>
    <col min="22" max="22" width="17.8984375" customWidth="1"/>
    <col min="23" max="23" width="10.59765625" bestFit="1" customWidth="1"/>
    <col min="30" max="30" width="9.59765625" bestFit="1" customWidth="1"/>
  </cols>
  <sheetData>
    <row r="1" spans="1:30">
      <c r="V1" t="s">
        <v>237</v>
      </c>
      <c r="W1" s="126">
        <v>0.28999999999999998</v>
      </c>
      <c r="X1" s="126">
        <v>0.3</v>
      </c>
      <c r="Y1" s="126">
        <v>0.27</v>
      </c>
      <c r="Z1" s="126">
        <v>0.26</v>
      </c>
      <c r="AA1" s="126">
        <v>0.3</v>
      </c>
      <c r="AB1" s="126">
        <v>0.33</v>
      </c>
      <c r="AC1" s="126">
        <v>0.3</v>
      </c>
    </row>
    <row r="3" spans="1:30">
      <c r="A3" s="40" t="s">
        <v>152</v>
      </c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2"/>
      <c r="O3" s="2"/>
      <c r="P3" s="2"/>
      <c r="Q3" s="2"/>
      <c r="R3" s="2"/>
      <c r="S3" s="2"/>
    </row>
    <row r="4" spans="1:30">
      <c r="A4" s="4" t="s">
        <v>120</v>
      </c>
      <c r="B4" s="4" t="s">
        <v>106</v>
      </c>
      <c r="C4" s="4" t="s">
        <v>105</v>
      </c>
      <c r="D4" s="4" t="s">
        <v>107</v>
      </c>
      <c r="E4" s="4" t="s">
        <v>109</v>
      </c>
      <c r="F4" s="4" t="s">
        <v>108</v>
      </c>
      <c r="G4" s="4" t="s">
        <v>110</v>
      </c>
      <c r="H4" s="4" t="s">
        <v>111</v>
      </c>
      <c r="I4" s="4" t="s">
        <v>21</v>
      </c>
      <c r="J4" s="3"/>
      <c r="K4" s="3"/>
      <c r="L4" s="4" t="s">
        <v>123</v>
      </c>
      <c r="M4" s="4" t="s">
        <v>106</v>
      </c>
      <c r="N4" s="4" t="s">
        <v>105</v>
      </c>
      <c r="O4" s="4" t="s">
        <v>107</v>
      </c>
      <c r="P4" s="4" t="s">
        <v>109</v>
      </c>
      <c r="Q4" s="4" t="s">
        <v>108</v>
      </c>
      <c r="R4" s="4" t="s">
        <v>110</v>
      </c>
      <c r="S4" s="4" t="s">
        <v>111</v>
      </c>
      <c r="V4" s="127" t="s">
        <v>236</v>
      </c>
      <c r="W4" s="4" t="s">
        <v>106</v>
      </c>
      <c r="X4" s="4" t="s">
        <v>105</v>
      </c>
      <c r="Y4" s="4" t="s">
        <v>107</v>
      </c>
      <c r="Z4" s="4" t="s">
        <v>109</v>
      </c>
      <c r="AA4" s="4" t="s">
        <v>108</v>
      </c>
      <c r="AB4" s="4" t="s">
        <v>110</v>
      </c>
      <c r="AC4" s="4" t="s">
        <v>111</v>
      </c>
      <c r="AD4" s="4" t="s">
        <v>21</v>
      </c>
    </row>
    <row r="5" spans="1:30">
      <c r="A5" s="3">
        <v>2018</v>
      </c>
      <c r="B5" s="5">
        <v>20090.977977999999</v>
      </c>
      <c r="C5" s="5">
        <v>58040.296602000002</v>
      </c>
      <c r="D5" s="5">
        <v>290.263488</v>
      </c>
      <c r="E5" s="5">
        <v>5425.9417800000001</v>
      </c>
      <c r="F5" s="5">
        <v>5287.5176000000001</v>
      </c>
      <c r="G5" s="5">
        <v>2623.9062009999998</v>
      </c>
      <c r="H5" s="5">
        <v>9092.7141119999997</v>
      </c>
      <c r="I5" s="5">
        <f>SUM(B5:H5)</f>
        <v>100851.617761</v>
      </c>
      <c r="J5" s="24">
        <v>216000</v>
      </c>
      <c r="K5" s="3"/>
      <c r="L5" s="3" t="s">
        <v>6</v>
      </c>
      <c r="M5" s="6">
        <v>0.71640000000000004</v>
      </c>
      <c r="N5" s="6">
        <v>0.72335584411591458</v>
      </c>
      <c r="O5" s="6">
        <v>0.79110000000000003</v>
      </c>
      <c r="P5" s="6">
        <v>0.79110000000000003</v>
      </c>
      <c r="Q5" s="6">
        <v>0.86</v>
      </c>
      <c r="R5" s="6">
        <v>0.57286644517041163</v>
      </c>
      <c r="S5" s="6">
        <v>0.69</v>
      </c>
      <c r="V5" s="3">
        <v>2018</v>
      </c>
      <c r="W5" s="92">
        <f>B5*(1-W$1)</f>
        <v>14264.594364379998</v>
      </c>
      <c r="X5" s="92">
        <f t="shared" ref="X5:AC13" si="0">C5*(1-X$1)</f>
        <v>40628.207621399997</v>
      </c>
      <c r="Y5" s="92">
        <f t="shared" si="0"/>
        <v>211.89234623999999</v>
      </c>
      <c r="Z5" s="92">
        <f t="shared" si="0"/>
        <v>4015.1969171999999</v>
      </c>
      <c r="AA5" s="92">
        <f t="shared" si="0"/>
        <v>3701.2623199999998</v>
      </c>
      <c r="AB5" s="92">
        <f t="shared" si="0"/>
        <v>1758.0171546699996</v>
      </c>
      <c r="AC5" s="92">
        <f t="shared" si="0"/>
        <v>6364.8998783999996</v>
      </c>
      <c r="AD5" s="5">
        <f>SUM(W5:AC5)</f>
        <v>70944.070602289998</v>
      </c>
    </row>
    <row r="6" spans="1:30">
      <c r="A6" s="3">
        <v>2019</v>
      </c>
      <c r="B6" s="5">
        <v>20187.982674999999</v>
      </c>
      <c r="C6" s="5">
        <v>58244.022181</v>
      </c>
      <c r="D6" s="5">
        <v>289.61496799999998</v>
      </c>
      <c r="E6" s="5">
        <v>5469.400095</v>
      </c>
      <c r="F6" s="5">
        <v>5335.4123829999999</v>
      </c>
      <c r="G6" s="5">
        <v>2696.190775</v>
      </c>
      <c r="H6" s="5">
        <v>9256.2544679999992</v>
      </c>
      <c r="I6" s="5">
        <f t="shared" ref="I6:I13" si="1">SUM(B6:H6)</f>
        <v>101478.877545</v>
      </c>
      <c r="J6" s="3">
        <f>35.9*1000</f>
        <v>35900</v>
      </c>
      <c r="K6" s="3"/>
      <c r="L6" s="3" t="s">
        <v>67</v>
      </c>
      <c r="M6" s="6">
        <v>0.20399999999999999</v>
      </c>
      <c r="N6" s="6">
        <v>0.2328761831470246</v>
      </c>
      <c r="O6" s="6">
        <v>0.15310000000000001</v>
      </c>
      <c r="P6" s="6">
        <v>0.15310000000000001</v>
      </c>
      <c r="Q6" s="6">
        <v>0.13</v>
      </c>
      <c r="R6" s="6">
        <v>0.41878251000907901</v>
      </c>
      <c r="S6" s="6">
        <v>0.25</v>
      </c>
      <c r="V6" s="3">
        <v>2019</v>
      </c>
      <c r="W6" s="92">
        <f t="shared" ref="W6:W13" si="2">B6*(1-W$1)</f>
        <v>14333.467699249999</v>
      </c>
      <c r="X6" s="92">
        <f t="shared" si="0"/>
        <v>40770.815526699997</v>
      </c>
      <c r="Y6" s="92">
        <f t="shared" si="0"/>
        <v>211.41892663999997</v>
      </c>
      <c r="Z6" s="92">
        <f t="shared" si="0"/>
        <v>4047.3560702999998</v>
      </c>
      <c r="AA6" s="92">
        <f t="shared" si="0"/>
        <v>3734.7886680999995</v>
      </c>
      <c r="AB6" s="92">
        <f t="shared" si="0"/>
        <v>1806.4478192499998</v>
      </c>
      <c r="AC6" s="92">
        <f t="shared" si="0"/>
        <v>6479.3781275999991</v>
      </c>
      <c r="AD6" s="5">
        <f t="shared" ref="AD6:AD13" si="3">SUM(W6:AC6)</f>
        <v>71383.67283784</v>
      </c>
    </row>
    <row r="7" spans="1:30">
      <c r="A7" s="3">
        <v>2020</v>
      </c>
      <c r="B7" s="5">
        <v>20465.800115999999</v>
      </c>
      <c r="C7" s="5">
        <v>58867.344396</v>
      </c>
      <c r="D7" s="5">
        <v>289.21654599999999</v>
      </c>
      <c r="E7" s="5">
        <v>5532.0757199999998</v>
      </c>
      <c r="F7" s="5">
        <v>5361.035758</v>
      </c>
      <c r="G7" s="5">
        <v>2752.510945</v>
      </c>
      <c r="H7" s="5">
        <v>9376.8772110000009</v>
      </c>
      <c r="I7" s="5">
        <f t="shared" si="1"/>
        <v>102644.86069199999</v>
      </c>
      <c r="J7" s="64">
        <f>J6/J5</f>
        <v>0.16620370370370371</v>
      </c>
      <c r="K7" s="3"/>
      <c r="L7" s="2" t="s">
        <v>68</v>
      </c>
      <c r="M7" s="7">
        <v>7.9600000000000004E-2</v>
      </c>
      <c r="N7" s="7">
        <v>4.2322819025074204E-2</v>
      </c>
      <c r="O7" s="7">
        <v>5.5800000000000002E-2</v>
      </c>
      <c r="P7" s="7">
        <v>5.5800000000000002E-2</v>
      </c>
      <c r="Q7" s="7">
        <v>0.01</v>
      </c>
      <c r="R7" s="7">
        <v>6.6206930726362334E-3</v>
      </c>
      <c r="S7" s="7">
        <v>0.06</v>
      </c>
      <c r="V7" s="3">
        <v>2020</v>
      </c>
      <c r="W7" s="92">
        <f t="shared" si="2"/>
        <v>14530.718082359997</v>
      </c>
      <c r="X7" s="92">
        <f t="shared" si="0"/>
        <v>41207.141077199994</v>
      </c>
      <c r="Y7" s="92">
        <f t="shared" si="0"/>
        <v>211.12807857999999</v>
      </c>
      <c r="Z7" s="92">
        <f t="shared" si="0"/>
        <v>4093.7360328</v>
      </c>
      <c r="AA7" s="92">
        <f t="shared" si="0"/>
        <v>3752.7250305999996</v>
      </c>
      <c r="AB7" s="92">
        <f t="shared" si="0"/>
        <v>1844.1823331499997</v>
      </c>
      <c r="AC7" s="92">
        <f t="shared" si="0"/>
        <v>6563.8140477000006</v>
      </c>
      <c r="AD7" s="5">
        <f t="shared" si="3"/>
        <v>72203.444682389993</v>
      </c>
    </row>
    <row r="8" spans="1:30">
      <c r="A8" s="3">
        <v>2021</v>
      </c>
      <c r="B8" s="5">
        <v>20713.453207999999</v>
      </c>
      <c r="C8" s="5">
        <v>58844.927784</v>
      </c>
      <c r="D8" s="5">
        <v>288.88986599999998</v>
      </c>
      <c r="E8" s="5">
        <v>5565.7259819999999</v>
      </c>
      <c r="F8" s="5">
        <v>5390.5160400000004</v>
      </c>
      <c r="G8" s="5">
        <v>2815.5615039999998</v>
      </c>
      <c r="H8" s="5">
        <v>9495.9856199999995</v>
      </c>
      <c r="I8" s="5">
        <f t="shared" si="1"/>
        <v>103115.060004</v>
      </c>
      <c r="J8" s="3"/>
      <c r="K8" s="3"/>
      <c r="L8" s="3"/>
      <c r="M8" s="3"/>
      <c r="N8" s="3"/>
      <c r="O8" s="3"/>
      <c r="P8" s="3"/>
      <c r="Q8" s="3"/>
      <c r="R8" s="3"/>
      <c r="S8" s="3"/>
      <c r="V8" s="3">
        <v>2021</v>
      </c>
      <c r="W8" s="92">
        <f t="shared" si="2"/>
        <v>14706.551777679999</v>
      </c>
      <c r="X8" s="92">
        <f t="shared" si="0"/>
        <v>41191.449448799998</v>
      </c>
      <c r="Y8" s="92">
        <f t="shared" si="0"/>
        <v>210.88960217999997</v>
      </c>
      <c r="Z8" s="92">
        <f t="shared" si="0"/>
        <v>4118.6372266799999</v>
      </c>
      <c r="AA8" s="92">
        <f t="shared" si="0"/>
        <v>3773.3612280000002</v>
      </c>
      <c r="AB8" s="92">
        <f t="shared" si="0"/>
        <v>1886.4262076799996</v>
      </c>
      <c r="AC8" s="92">
        <f t="shared" si="0"/>
        <v>6647.1899339999991</v>
      </c>
      <c r="AD8" s="5">
        <f t="shared" si="3"/>
        <v>72534.50542501999</v>
      </c>
    </row>
    <row r="9" spans="1:30">
      <c r="A9" s="3">
        <v>2022</v>
      </c>
      <c r="B9" s="5">
        <v>20832.586071000002</v>
      </c>
      <c r="C9" s="5">
        <v>59473.211390999997</v>
      </c>
      <c r="D9" s="5">
        <v>288.52205900000001</v>
      </c>
      <c r="E9" s="5">
        <v>5572.47163</v>
      </c>
      <c r="F9" s="5">
        <v>5432.9561190000004</v>
      </c>
      <c r="G9" s="5">
        <v>2886.5866310000001</v>
      </c>
      <c r="H9" s="5">
        <v>9652.4836450000003</v>
      </c>
      <c r="I9" s="5">
        <f t="shared" si="1"/>
        <v>104138.81754599999</v>
      </c>
      <c r="J9" s="3"/>
      <c r="K9" s="3"/>
      <c r="L9" s="3"/>
      <c r="M9" s="3"/>
      <c r="N9" s="3"/>
      <c r="O9" s="3"/>
      <c r="P9" s="3"/>
      <c r="Q9" s="3"/>
      <c r="R9" s="3"/>
      <c r="S9" s="3"/>
      <c r="V9" s="3">
        <v>2022</v>
      </c>
      <c r="W9" s="92">
        <f t="shared" si="2"/>
        <v>14791.13611041</v>
      </c>
      <c r="X9" s="92">
        <f t="shared" si="0"/>
        <v>41631.247973699996</v>
      </c>
      <c r="Y9" s="92">
        <f t="shared" si="0"/>
        <v>210.62110307</v>
      </c>
      <c r="Z9" s="92">
        <f t="shared" si="0"/>
        <v>4123.6290061999998</v>
      </c>
      <c r="AA9" s="92">
        <f t="shared" si="0"/>
        <v>3803.0692832999998</v>
      </c>
      <c r="AB9" s="92">
        <f t="shared" si="0"/>
        <v>1934.0130427699999</v>
      </c>
      <c r="AC9" s="92">
        <f t="shared" si="0"/>
        <v>6756.7385514999996</v>
      </c>
      <c r="AD9" s="5">
        <f t="shared" si="3"/>
        <v>73250.455070950004</v>
      </c>
    </row>
    <row r="10" spans="1:30">
      <c r="A10" s="3">
        <v>2023</v>
      </c>
      <c r="B10" s="5">
        <v>21042.883082</v>
      </c>
      <c r="C10" s="5">
        <v>59778.887472000002</v>
      </c>
      <c r="D10" s="5">
        <v>288.11594700000001</v>
      </c>
      <c r="E10" s="5">
        <v>5576.2243019999996</v>
      </c>
      <c r="F10" s="5">
        <v>5482.0678799999996</v>
      </c>
      <c r="G10" s="5">
        <v>2956.9836049999999</v>
      </c>
      <c r="H10" s="5">
        <v>9783.6600240000007</v>
      </c>
      <c r="I10" s="5">
        <f t="shared" si="1"/>
        <v>104908.822312</v>
      </c>
      <c r="J10" s="3"/>
      <c r="K10" s="3"/>
      <c r="L10" s="23" t="s">
        <v>174</v>
      </c>
      <c r="M10" s="2"/>
      <c r="N10" s="2"/>
      <c r="O10" s="2"/>
      <c r="P10" s="2"/>
      <c r="Q10" s="2"/>
      <c r="R10" s="2"/>
      <c r="S10" s="2"/>
      <c r="T10" s="2"/>
      <c r="V10" s="3">
        <v>2023</v>
      </c>
      <c r="W10" s="92">
        <f t="shared" si="2"/>
        <v>14940.446988219999</v>
      </c>
      <c r="X10" s="92">
        <f t="shared" si="0"/>
        <v>41845.221230399999</v>
      </c>
      <c r="Y10" s="92">
        <f t="shared" si="0"/>
        <v>210.32464131</v>
      </c>
      <c r="Z10" s="92">
        <f t="shared" si="0"/>
        <v>4126.40598348</v>
      </c>
      <c r="AA10" s="92">
        <f t="shared" si="0"/>
        <v>3837.4475159999993</v>
      </c>
      <c r="AB10" s="92">
        <f t="shared" si="0"/>
        <v>1981.1790153499996</v>
      </c>
      <c r="AC10" s="92">
        <f t="shared" si="0"/>
        <v>6848.5620168000005</v>
      </c>
      <c r="AD10" s="5">
        <f t="shared" si="3"/>
        <v>73789.587391559995</v>
      </c>
    </row>
    <row r="11" spans="1:30">
      <c r="A11" s="3">
        <v>2024</v>
      </c>
      <c r="B11" s="5">
        <v>21214.933182000001</v>
      </c>
      <c r="C11" s="5">
        <v>60370.180200000003</v>
      </c>
      <c r="D11" s="5">
        <v>287.628784</v>
      </c>
      <c r="E11" s="5">
        <v>5586.6229199999998</v>
      </c>
      <c r="F11" s="5">
        <v>5531.4590250000001</v>
      </c>
      <c r="G11" s="5">
        <v>3029.250939</v>
      </c>
      <c r="H11" s="5">
        <v>9927.1459880000002</v>
      </c>
      <c r="I11" s="5">
        <f t="shared" si="1"/>
        <v>105947.22103800002</v>
      </c>
      <c r="J11" s="3"/>
      <c r="K11" s="3"/>
      <c r="L11" s="4" t="s">
        <v>112</v>
      </c>
      <c r="M11" s="4" t="s">
        <v>106</v>
      </c>
      <c r="N11" s="4" t="s">
        <v>105</v>
      </c>
      <c r="O11" s="4" t="s">
        <v>107</v>
      </c>
      <c r="P11" s="4" t="s">
        <v>109</v>
      </c>
      <c r="Q11" s="4" t="s">
        <v>108</v>
      </c>
      <c r="R11" s="4" t="s">
        <v>110</v>
      </c>
      <c r="S11" s="4" t="s">
        <v>111</v>
      </c>
      <c r="T11" s="66" t="s">
        <v>21</v>
      </c>
      <c r="V11" s="3">
        <v>2024</v>
      </c>
      <c r="W11" s="92">
        <f t="shared" si="2"/>
        <v>15062.60255922</v>
      </c>
      <c r="X11" s="92">
        <f t="shared" si="0"/>
        <v>42259.12614</v>
      </c>
      <c r="Y11" s="92">
        <f t="shared" si="0"/>
        <v>209.96901231999999</v>
      </c>
      <c r="Z11" s="92">
        <f t="shared" si="0"/>
        <v>4134.1009607999995</v>
      </c>
      <c r="AA11" s="92">
        <f t="shared" si="0"/>
        <v>3872.0213174999999</v>
      </c>
      <c r="AB11" s="92">
        <f t="shared" si="0"/>
        <v>2029.5981291299997</v>
      </c>
      <c r="AC11" s="92">
        <f t="shared" si="0"/>
        <v>6949.0021915999996</v>
      </c>
      <c r="AD11" s="5">
        <f t="shared" si="3"/>
        <v>74516.42031057</v>
      </c>
    </row>
    <row r="12" spans="1:30">
      <c r="A12" s="3">
        <v>2025</v>
      </c>
      <c r="B12" s="5">
        <v>21633.412680000001</v>
      </c>
      <c r="C12" s="5">
        <v>60679.788646000001</v>
      </c>
      <c r="D12" s="5">
        <v>0</v>
      </c>
      <c r="E12" s="5">
        <v>5603.4530199999999</v>
      </c>
      <c r="F12" s="5">
        <v>5582.9946319999999</v>
      </c>
      <c r="G12" s="5">
        <v>3096.5149270000002</v>
      </c>
      <c r="H12" s="5">
        <v>10076.960800000001</v>
      </c>
      <c r="I12" s="5">
        <f t="shared" si="1"/>
        <v>106673.12470500001</v>
      </c>
      <c r="J12" s="3"/>
      <c r="K12" s="3"/>
      <c r="L12" s="3" t="s">
        <v>6</v>
      </c>
      <c r="M12" s="8">
        <v>1005068.1465372915</v>
      </c>
      <c r="N12" s="5">
        <v>2498389</v>
      </c>
      <c r="O12" s="8">
        <v>17595</v>
      </c>
      <c r="P12" s="8">
        <v>300867.1848626475</v>
      </c>
      <c r="Q12" s="8">
        <v>339602</v>
      </c>
      <c r="R12" s="8">
        <v>94161.894520000002</v>
      </c>
      <c r="S12" s="8">
        <v>460678</v>
      </c>
      <c r="T12" s="8">
        <f>SUM(M12:S12)</f>
        <v>4716361.2259199386</v>
      </c>
      <c r="V12" s="3">
        <v>2025</v>
      </c>
      <c r="W12" s="92">
        <f t="shared" si="2"/>
        <v>15359.723002799999</v>
      </c>
      <c r="X12" s="92">
        <f t="shared" si="0"/>
        <v>42475.852052199996</v>
      </c>
      <c r="Y12" s="92">
        <f t="shared" si="0"/>
        <v>0</v>
      </c>
      <c r="Z12" s="92">
        <f t="shared" si="0"/>
        <v>4146.5552348000001</v>
      </c>
      <c r="AA12" s="92">
        <f t="shared" si="0"/>
        <v>3908.0962423999995</v>
      </c>
      <c r="AB12" s="92">
        <f t="shared" si="0"/>
        <v>2074.6650010899998</v>
      </c>
      <c r="AC12" s="92">
        <f t="shared" si="0"/>
        <v>7053.8725599999998</v>
      </c>
      <c r="AD12" s="5">
        <f t="shared" si="3"/>
        <v>75018.764093289996</v>
      </c>
    </row>
    <row r="13" spans="1:30">
      <c r="A13" s="2">
        <v>2026</v>
      </c>
      <c r="B13" s="9">
        <v>21750.886101</v>
      </c>
      <c r="C13" s="9">
        <v>61220.200620000003</v>
      </c>
      <c r="D13" s="9">
        <v>0</v>
      </c>
      <c r="E13" s="9">
        <v>5623.0876840000001</v>
      </c>
      <c r="F13" s="9">
        <v>5637.9086470000002</v>
      </c>
      <c r="G13" s="9">
        <v>3164.7338289999998</v>
      </c>
      <c r="H13" s="9">
        <v>10230.512656000001</v>
      </c>
      <c r="I13" s="9">
        <f t="shared" si="1"/>
        <v>107627.32953700001</v>
      </c>
      <c r="J13" s="3"/>
      <c r="K13" s="3"/>
      <c r="L13" s="3" t="s">
        <v>67</v>
      </c>
      <c r="M13" s="8">
        <v>468469.48244488286</v>
      </c>
      <c r="N13" s="5">
        <v>1749028</v>
      </c>
      <c r="O13" s="8">
        <v>5249</v>
      </c>
      <c r="P13" s="8">
        <v>89752.775198099145</v>
      </c>
      <c r="Q13" s="8">
        <v>72165</v>
      </c>
      <c r="R13" s="8">
        <v>132149.00263999999</v>
      </c>
      <c r="S13" s="8">
        <v>153039</v>
      </c>
      <c r="T13" s="8">
        <f t="shared" ref="T13:T14" si="4">SUM(M13:S13)</f>
        <v>2669852.2602829821</v>
      </c>
      <c r="V13" s="2">
        <v>2026</v>
      </c>
      <c r="W13" s="141">
        <f t="shared" si="2"/>
        <v>15443.129131709999</v>
      </c>
      <c r="X13" s="141">
        <f t="shared" si="0"/>
        <v>42854.140434000001</v>
      </c>
      <c r="Y13" s="141">
        <f t="shared" si="0"/>
        <v>0</v>
      </c>
      <c r="Z13" s="141">
        <f t="shared" si="0"/>
        <v>4161.0848861599998</v>
      </c>
      <c r="AA13" s="141">
        <f t="shared" si="0"/>
        <v>3946.5360529</v>
      </c>
      <c r="AB13" s="141">
        <f t="shared" si="0"/>
        <v>2120.3716654299997</v>
      </c>
      <c r="AC13" s="141">
        <f t="shared" si="0"/>
        <v>7161.3588592000006</v>
      </c>
      <c r="AD13" s="9">
        <f t="shared" si="3"/>
        <v>75686.62102939999</v>
      </c>
    </row>
    <row r="14" spans="1:30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2" t="s">
        <v>68</v>
      </c>
      <c r="M14" s="10">
        <v>183746.37101782564</v>
      </c>
      <c r="N14" s="9">
        <v>272744</v>
      </c>
      <c r="O14" s="10">
        <v>1445</v>
      </c>
      <c r="P14" s="10">
        <v>24701.039939253333</v>
      </c>
      <c r="Q14" s="10">
        <v>12735</v>
      </c>
      <c r="R14" s="10">
        <v>1550.2796800000001</v>
      </c>
      <c r="S14" s="10">
        <v>57036</v>
      </c>
      <c r="T14" s="10">
        <f t="shared" si="4"/>
        <v>553957.69063707907</v>
      </c>
    </row>
    <row r="15" spans="1:30">
      <c r="A15" s="4" t="s">
        <v>121</v>
      </c>
      <c r="B15" s="4" t="s">
        <v>4</v>
      </c>
      <c r="C15" s="4">
        <v>2018</v>
      </c>
      <c r="D15" s="4">
        <v>2019</v>
      </c>
      <c r="E15" s="4">
        <v>2020</v>
      </c>
      <c r="F15" s="4">
        <v>2021</v>
      </c>
      <c r="G15" s="4">
        <v>2022</v>
      </c>
      <c r="H15" s="4">
        <v>2023</v>
      </c>
      <c r="I15" s="4">
        <v>2024</v>
      </c>
      <c r="J15" s="4">
        <v>2025</v>
      </c>
      <c r="K15" s="3"/>
      <c r="L15" s="3"/>
      <c r="M15" s="21"/>
      <c r="N15" s="21"/>
      <c r="O15" s="21"/>
      <c r="P15" s="21"/>
      <c r="Q15" s="21"/>
      <c r="R15" s="21"/>
      <c r="S15" s="21"/>
      <c r="T15" s="3"/>
    </row>
    <row r="16" spans="1:30">
      <c r="A16" s="3" t="s">
        <v>106</v>
      </c>
      <c r="B16" s="3" t="s">
        <v>6</v>
      </c>
      <c r="C16" s="5">
        <f>INDEX($L$4:$S$7,MATCH($B16,$L$4:$L$7,0),MATCH($A16,$L$4:$S$4,0))*INDEX($A$4:$H$13,MATCH(C$15,$A$4:$A$13,0),MATCH($A16,$A$4:$H$4,0))</f>
        <v>14393.1766234392</v>
      </c>
      <c r="D16" s="5">
        <f t="shared" ref="D16:J31" si="5">INDEX($L$4:$S$7,MATCH($B16,$L$4:$L$7,0),MATCH($A16,$L$4:$S$4,0))*INDEX($A$4:$H$13,MATCH(D$15,$A$4:$A$13,0),MATCH($A16,$A$4:$H$4,0))</f>
        <v>14462.67078837</v>
      </c>
      <c r="E16" s="5">
        <f t="shared" si="5"/>
        <v>14661.6992031024</v>
      </c>
      <c r="F16" s="5">
        <f t="shared" si="5"/>
        <v>14839.1178782112</v>
      </c>
      <c r="G16" s="5">
        <f t="shared" si="5"/>
        <v>14924.464661264401</v>
      </c>
      <c r="H16" s="5">
        <f t="shared" si="5"/>
        <v>15075.121439944802</v>
      </c>
      <c r="I16" s="5">
        <f t="shared" si="5"/>
        <v>15198.378131584801</v>
      </c>
      <c r="J16" s="5">
        <f t="shared" si="5"/>
        <v>15498.176843952002</v>
      </c>
      <c r="K16" s="3"/>
      <c r="L16" s="2"/>
      <c r="M16" s="2"/>
      <c r="N16" s="2"/>
      <c r="O16" s="2"/>
      <c r="P16" s="2"/>
      <c r="Q16" s="2"/>
      <c r="R16" s="2"/>
      <c r="S16" s="2"/>
    </row>
    <row r="17" spans="1:19">
      <c r="A17" s="3" t="s">
        <v>106</v>
      </c>
      <c r="B17" s="3" t="s">
        <v>67</v>
      </c>
      <c r="C17" s="5">
        <f t="shared" ref="C17:J36" si="6">INDEX($L$4:$S$7,MATCH($B17,$L$4:$L$7,0),MATCH($A17,$L$4:$S$4,0))*INDEX($A$4:$H$13,MATCH(C$15,$A$4:$A$13,0),MATCH($A17,$A$4:$H$4,0))</f>
        <v>4098.559507512</v>
      </c>
      <c r="D17" s="5">
        <f t="shared" si="5"/>
        <v>4118.3484656999999</v>
      </c>
      <c r="E17" s="5">
        <f t="shared" si="5"/>
        <v>4175.0232236639995</v>
      </c>
      <c r="F17" s="5">
        <f t="shared" si="5"/>
        <v>4225.5444544319998</v>
      </c>
      <c r="G17" s="5">
        <f t="shared" si="5"/>
        <v>4249.8475584839998</v>
      </c>
      <c r="H17" s="5">
        <f t="shared" si="5"/>
        <v>4292.7481487280002</v>
      </c>
      <c r="I17" s="5">
        <f t="shared" si="5"/>
        <v>4327.8463691279994</v>
      </c>
      <c r="J17" s="5">
        <f t="shared" si="5"/>
        <v>4413.2161867200002</v>
      </c>
      <c r="K17" s="3"/>
      <c r="L17" s="4" t="s">
        <v>114</v>
      </c>
      <c r="M17" s="4" t="s">
        <v>106</v>
      </c>
      <c r="N17" s="4" t="s">
        <v>105</v>
      </c>
      <c r="O17" s="4" t="s">
        <v>107</v>
      </c>
      <c r="P17" s="4" t="s">
        <v>109</v>
      </c>
      <c r="Q17" s="4" t="s">
        <v>108</v>
      </c>
      <c r="R17" s="4" t="s">
        <v>110</v>
      </c>
      <c r="S17" s="4" t="s">
        <v>111</v>
      </c>
    </row>
    <row r="18" spans="1:19">
      <c r="A18" s="3" t="s">
        <v>106</v>
      </c>
      <c r="B18" s="3" t="s">
        <v>68</v>
      </c>
      <c r="C18" s="5">
        <f t="shared" si="6"/>
        <v>1599.2418470488001</v>
      </c>
      <c r="D18" s="5">
        <f t="shared" si="5"/>
        <v>1606.96342093</v>
      </c>
      <c r="E18" s="5">
        <f t="shared" si="5"/>
        <v>1629.0776892336</v>
      </c>
      <c r="F18" s="5">
        <f t="shared" si="5"/>
        <v>1648.7908753567999</v>
      </c>
      <c r="G18" s="5">
        <f t="shared" si="5"/>
        <v>1658.2738512516003</v>
      </c>
      <c r="H18" s="5">
        <f t="shared" si="5"/>
        <v>1675.0134933272002</v>
      </c>
      <c r="I18" s="5">
        <f t="shared" si="5"/>
        <v>1688.7086812872001</v>
      </c>
      <c r="J18" s="5">
        <f t="shared" si="5"/>
        <v>1722.0196493280002</v>
      </c>
      <c r="K18" s="3"/>
      <c r="L18" s="3">
        <v>2018</v>
      </c>
      <c r="M18" s="6">
        <v>1.7500000000000002E-2</v>
      </c>
      <c r="N18" s="6">
        <v>1.44E-2</v>
      </c>
      <c r="O18" s="6">
        <v>1.3299999999999999E-2</v>
      </c>
      <c r="P18" s="6">
        <v>1.3299999999999999E-2</v>
      </c>
      <c r="Q18" s="6">
        <v>1.78E-2</v>
      </c>
      <c r="R18" s="6">
        <v>3.3599999999999998E-2</v>
      </c>
      <c r="S18" s="6">
        <v>1.8700000000000001E-2</v>
      </c>
    </row>
    <row r="19" spans="1:19">
      <c r="A19" s="3" t="s">
        <v>105</v>
      </c>
      <c r="B19" s="3" t="s">
        <v>6</v>
      </c>
      <c r="C19" s="5">
        <f t="shared" si="6"/>
        <v>41983.78774127776</v>
      </c>
      <c r="D19" s="5">
        <f t="shared" si="5"/>
        <v>42131.153829443305</v>
      </c>
      <c r="E19" s="5">
        <f t="shared" si="5"/>
        <v>42582.037596430833</v>
      </c>
      <c r="F19" s="5">
        <f t="shared" si="5"/>
        <v>42565.822409135355</v>
      </c>
      <c r="G19" s="5">
        <f t="shared" si="5"/>
        <v>43020.295028021028</v>
      </c>
      <c r="H19" s="5">
        <f t="shared" si="5"/>
        <v>43241.407607618836</v>
      </c>
      <c r="I19" s="5">
        <f t="shared" si="5"/>
        <v>43669.122658000873</v>
      </c>
      <c r="J19" s="5">
        <f t="shared" si="5"/>
        <v>43893.079736802618</v>
      </c>
      <c r="K19" s="3"/>
      <c r="L19" s="3">
        <v>2019</v>
      </c>
      <c r="M19" s="6">
        <v>1.6799999999999999E-2</v>
      </c>
      <c r="N19" s="6">
        <v>1.3899999999999999E-2</v>
      </c>
      <c r="O19" s="6">
        <v>1.1599999999999999E-2</v>
      </c>
      <c r="P19" s="6">
        <v>1.1599999999999999E-2</v>
      </c>
      <c r="Q19" s="6">
        <v>1.6899999999999998E-2</v>
      </c>
      <c r="R19" s="6">
        <v>3.3099999999999997E-2</v>
      </c>
      <c r="S19" s="6">
        <v>1.84E-2</v>
      </c>
    </row>
    <row r="20" spans="1:19">
      <c r="A20" s="3" t="s">
        <v>105</v>
      </c>
      <c r="B20" s="3" t="s">
        <v>67</v>
      </c>
      <c r="C20" s="5">
        <f t="shared" si="6"/>
        <v>13516.202741394982</v>
      </c>
      <c r="D20" s="5">
        <f t="shared" si="5"/>
        <v>13563.645576641919</v>
      </c>
      <c r="E20" s="5">
        <f t="shared" si="5"/>
        <v>13708.802474941869</v>
      </c>
      <c r="F20" s="5">
        <f t="shared" si="5"/>
        <v>13703.582179900221</v>
      </c>
      <c r="G20" s="5">
        <f t="shared" si="5"/>
        <v>13849.894468232225</v>
      </c>
      <c r="H20" s="5">
        <f t="shared" si="5"/>
        <v>13921.079147254846</v>
      </c>
      <c r="I20" s="5">
        <f t="shared" si="5"/>
        <v>14058.777140874079</v>
      </c>
      <c r="J20" s="5">
        <f t="shared" si="5"/>
        <v>14130.87757404864</v>
      </c>
      <c r="K20" s="3"/>
      <c r="L20" s="3">
        <v>2020</v>
      </c>
      <c r="M20" s="6">
        <v>1.6199999999999999E-2</v>
      </c>
      <c r="N20" s="6">
        <v>1.34E-2</v>
      </c>
      <c r="O20" s="6">
        <v>1.06E-2</v>
      </c>
      <c r="P20" s="6">
        <v>1.06E-2</v>
      </c>
      <c r="Q20" s="6">
        <v>1.5299999999999999E-2</v>
      </c>
      <c r="R20" s="6">
        <v>2.8899999999999999E-2</v>
      </c>
      <c r="S20" s="6">
        <v>1.78E-2</v>
      </c>
    </row>
    <row r="21" spans="1:19">
      <c r="A21" s="3" t="s">
        <v>105</v>
      </c>
      <c r="B21" s="3" t="s">
        <v>68</v>
      </c>
      <c r="C21" s="5">
        <f t="shared" si="6"/>
        <v>2456.4289692480752</v>
      </c>
      <c r="D21" s="5">
        <f t="shared" si="5"/>
        <v>2465.0512100588708</v>
      </c>
      <c r="E21" s="5">
        <f t="shared" si="5"/>
        <v>2491.4319633586242</v>
      </c>
      <c r="F21" s="5">
        <f t="shared" si="5"/>
        <v>2490.4832291457928</v>
      </c>
      <c r="G21" s="5">
        <f t="shared" si="5"/>
        <v>2517.0739625412743</v>
      </c>
      <c r="H21" s="5">
        <f t="shared" si="5"/>
        <v>2530.0110359977316</v>
      </c>
      <c r="I21" s="5">
        <f t="shared" si="5"/>
        <v>2555.0362111157183</v>
      </c>
      <c r="J21" s="5">
        <f t="shared" si="5"/>
        <v>2568.1397133444107</v>
      </c>
      <c r="K21" s="3"/>
      <c r="L21" s="3">
        <v>2021</v>
      </c>
      <c r="M21" s="6">
        <v>1.55E-2</v>
      </c>
      <c r="N21" s="6">
        <v>1.32E-2</v>
      </c>
      <c r="O21" s="6">
        <v>9.2999999999999992E-3</v>
      </c>
      <c r="P21" s="6">
        <v>9.2999999999999992E-3</v>
      </c>
      <c r="Q21" s="6">
        <v>1.46E-2</v>
      </c>
      <c r="R21" s="6">
        <v>2.6200000000000001E-2</v>
      </c>
      <c r="S21" s="6">
        <v>1.6899999999999998E-2</v>
      </c>
    </row>
    <row r="22" spans="1:19">
      <c r="A22" s="3" t="s">
        <v>107</v>
      </c>
      <c r="B22" s="3" t="s">
        <v>6</v>
      </c>
      <c r="C22" s="5">
        <f t="shared" si="6"/>
        <v>229.6274453568</v>
      </c>
      <c r="D22" s="5">
        <f t="shared" si="5"/>
        <v>229.11440118479999</v>
      </c>
      <c r="E22" s="5">
        <f t="shared" si="5"/>
        <v>228.7992095406</v>
      </c>
      <c r="F22" s="5">
        <f t="shared" si="5"/>
        <v>228.54077299259998</v>
      </c>
      <c r="G22" s="5">
        <f t="shared" si="5"/>
        <v>228.24980087490002</v>
      </c>
      <c r="H22" s="5">
        <f t="shared" si="5"/>
        <v>227.92852567170002</v>
      </c>
      <c r="I22" s="5">
        <f t="shared" si="5"/>
        <v>227.54313102239999</v>
      </c>
      <c r="J22" s="5">
        <f t="shared" si="5"/>
        <v>0</v>
      </c>
      <c r="K22" s="3"/>
      <c r="L22" s="3">
        <v>2022</v>
      </c>
      <c r="M22" s="6">
        <v>1.47E-2</v>
      </c>
      <c r="N22" s="6">
        <v>1.2999999999999999E-2</v>
      </c>
      <c r="O22" s="6">
        <v>7.9000000000000008E-3</v>
      </c>
      <c r="P22" s="6">
        <v>7.9000000000000008E-3</v>
      </c>
      <c r="Q22" s="6">
        <v>1.4800000000000001E-2</v>
      </c>
      <c r="R22" s="6">
        <v>2.58E-2</v>
      </c>
      <c r="S22" s="6">
        <v>1.6299999999999999E-2</v>
      </c>
    </row>
    <row r="23" spans="1:19">
      <c r="A23" s="3" t="s">
        <v>107</v>
      </c>
      <c r="B23" s="3" t="s">
        <v>67</v>
      </c>
      <c r="C23" s="5">
        <f t="shared" si="6"/>
        <v>44.439340012800002</v>
      </c>
      <c r="D23" s="5">
        <f t="shared" si="5"/>
        <v>44.340051600800003</v>
      </c>
      <c r="E23" s="5">
        <f t="shared" si="5"/>
        <v>44.279053192600003</v>
      </c>
      <c r="F23" s="5">
        <f t="shared" si="5"/>
        <v>44.229038484600004</v>
      </c>
      <c r="G23" s="5">
        <f t="shared" si="5"/>
        <v>44.172727232900009</v>
      </c>
      <c r="H23" s="5">
        <f t="shared" si="5"/>
        <v>44.110551485700007</v>
      </c>
      <c r="I23" s="5">
        <f t="shared" si="5"/>
        <v>44.035966830400007</v>
      </c>
      <c r="J23" s="5">
        <f t="shared" si="5"/>
        <v>0</v>
      </c>
      <c r="K23" s="3"/>
      <c r="L23" s="3">
        <v>2023</v>
      </c>
      <c r="M23" s="6">
        <v>1.41E-2</v>
      </c>
      <c r="N23" s="6">
        <v>1.2800000000000001E-2</v>
      </c>
      <c r="O23" s="6">
        <v>7.4000000000000003E-3</v>
      </c>
      <c r="P23" s="6">
        <v>7.4000000000000003E-3</v>
      </c>
      <c r="Q23" s="6">
        <v>1.4800000000000001E-2</v>
      </c>
      <c r="R23" s="6">
        <v>2.5399999999999999E-2</v>
      </c>
      <c r="S23" s="6">
        <v>1.5800000000000002E-2</v>
      </c>
    </row>
    <row r="24" spans="1:19">
      <c r="A24" s="3" t="s">
        <v>107</v>
      </c>
      <c r="B24" s="3" t="s">
        <v>68</v>
      </c>
      <c r="C24" s="5">
        <f t="shared" si="6"/>
        <v>16.196702630400001</v>
      </c>
      <c r="D24" s="5">
        <f t="shared" si="5"/>
        <v>16.1605152144</v>
      </c>
      <c r="E24" s="5">
        <f t="shared" si="5"/>
        <v>16.138283266800002</v>
      </c>
      <c r="F24" s="5">
        <f t="shared" si="5"/>
        <v>16.1200545228</v>
      </c>
      <c r="G24" s="5">
        <f t="shared" si="5"/>
        <v>16.099530892200001</v>
      </c>
      <c r="H24" s="5">
        <f t="shared" si="5"/>
        <v>16.076869842600001</v>
      </c>
      <c r="I24" s="5">
        <f t="shared" si="5"/>
        <v>16.049686147199999</v>
      </c>
      <c r="J24" s="5">
        <f t="shared" si="5"/>
        <v>0</v>
      </c>
      <c r="K24" s="3"/>
      <c r="L24" s="3">
        <v>2024</v>
      </c>
      <c r="M24" s="6">
        <v>1.35E-2</v>
      </c>
      <c r="N24" s="6">
        <v>1.2699999999999999E-2</v>
      </c>
      <c r="O24" s="6">
        <v>7.1999999999999998E-3</v>
      </c>
      <c r="P24" s="6">
        <v>7.1999999999999998E-3</v>
      </c>
      <c r="Q24" s="6">
        <v>1.43E-2</v>
      </c>
      <c r="R24" s="6">
        <v>2.4899999999999999E-2</v>
      </c>
      <c r="S24" s="6">
        <v>1.5299999999999999E-2</v>
      </c>
    </row>
    <row r="25" spans="1:19">
      <c r="A25" s="3" t="s">
        <v>109</v>
      </c>
      <c r="B25" s="3" t="s">
        <v>6</v>
      </c>
      <c r="C25" s="5">
        <f t="shared" si="6"/>
        <v>4292.4625421580004</v>
      </c>
      <c r="D25" s="5">
        <f t="shared" si="5"/>
        <v>4326.8424151545005</v>
      </c>
      <c r="E25" s="5">
        <f t="shared" si="5"/>
        <v>4376.4251020920001</v>
      </c>
      <c r="F25" s="5">
        <f t="shared" si="5"/>
        <v>4403.0458243601997</v>
      </c>
      <c r="G25" s="5">
        <f t="shared" si="5"/>
        <v>4408.3823064930002</v>
      </c>
      <c r="H25" s="5">
        <f t="shared" si="5"/>
        <v>4411.3510453121999</v>
      </c>
      <c r="I25" s="5">
        <f t="shared" si="5"/>
        <v>4419.577392012</v>
      </c>
      <c r="J25" s="5">
        <f t="shared" si="5"/>
        <v>4432.8916841219998</v>
      </c>
      <c r="K25" s="3"/>
      <c r="L25" s="3">
        <v>2025</v>
      </c>
      <c r="M25" s="6">
        <v>1.2999999999999999E-2</v>
      </c>
      <c r="N25" s="6">
        <v>1.2500000000000001E-2</v>
      </c>
      <c r="O25" s="6">
        <v>7.0000000000000001E-3</v>
      </c>
      <c r="P25" s="6">
        <v>7.0000000000000001E-3</v>
      </c>
      <c r="Q25" s="6">
        <v>1.35E-2</v>
      </c>
      <c r="R25" s="6">
        <v>2.4299999999999999E-2</v>
      </c>
      <c r="S25" s="6">
        <v>1.4800000000000001E-2</v>
      </c>
    </row>
    <row r="26" spans="1:19">
      <c r="A26" s="3" t="s">
        <v>109</v>
      </c>
      <c r="B26" s="3" t="s">
        <v>67</v>
      </c>
      <c r="C26" s="5">
        <f t="shared" si="6"/>
        <v>830.71168651800008</v>
      </c>
      <c r="D26" s="5">
        <f t="shared" si="5"/>
        <v>837.36515454450011</v>
      </c>
      <c r="E26" s="5">
        <f t="shared" si="5"/>
        <v>846.96079273200007</v>
      </c>
      <c r="F26" s="5">
        <f t="shared" si="5"/>
        <v>852.11264784420007</v>
      </c>
      <c r="G26" s="5">
        <f t="shared" si="5"/>
        <v>853.14540655300004</v>
      </c>
      <c r="H26" s="5">
        <f t="shared" si="5"/>
        <v>853.71994063620002</v>
      </c>
      <c r="I26" s="5">
        <f t="shared" si="5"/>
        <v>855.31196905199999</v>
      </c>
      <c r="J26" s="5">
        <f t="shared" si="5"/>
        <v>857.88865736200012</v>
      </c>
      <c r="K26" s="3"/>
      <c r="L26" s="2">
        <v>2026</v>
      </c>
      <c r="M26" s="7">
        <v>1.26E-2</v>
      </c>
      <c r="N26" s="7">
        <v>1.23E-2</v>
      </c>
      <c r="O26" s="7">
        <v>6.7999999999999996E-3</v>
      </c>
      <c r="P26" s="7">
        <v>6.7999999999999996E-3</v>
      </c>
      <c r="Q26" s="7">
        <v>1.2699999999999999E-2</v>
      </c>
      <c r="R26" s="7">
        <v>2.3699999999999999E-2</v>
      </c>
      <c r="S26" s="7">
        <v>1.43E-2</v>
      </c>
    </row>
    <row r="27" spans="1:19">
      <c r="A27" s="3" t="s">
        <v>109</v>
      </c>
      <c r="B27" s="3" t="s">
        <v>68</v>
      </c>
      <c r="C27" s="5">
        <f t="shared" si="6"/>
        <v>302.76755132400001</v>
      </c>
      <c r="D27" s="5">
        <f t="shared" si="5"/>
        <v>305.19252530099999</v>
      </c>
      <c r="E27" s="5">
        <f t="shared" si="5"/>
        <v>308.689825176</v>
      </c>
      <c r="F27" s="5">
        <f t="shared" si="5"/>
        <v>310.56750979560002</v>
      </c>
      <c r="G27" s="5">
        <f t="shared" si="5"/>
        <v>310.94391695400003</v>
      </c>
      <c r="H27" s="5">
        <f t="shared" si="5"/>
        <v>311.15331605159997</v>
      </c>
      <c r="I27" s="5">
        <f t="shared" si="5"/>
        <v>311.73355893600001</v>
      </c>
      <c r="J27" s="5">
        <f t="shared" si="5"/>
        <v>312.67267851600002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3" t="s">
        <v>108</v>
      </c>
      <c r="B28" s="3" t="s">
        <v>6</v>
      </c>
      <c r="C28" s="5">
        <f t="shared" si="6"/>
        <v>4547.265136</v>
      </c>
      <c r="D28" s="5">
        <f t="shared" si="5"/>
        <v>4588.4546493799999</v>
      </c>
      <c r="E28" s="5">
        <f t="shared" si="5"/>
        <v>4610.4907518800001</v>
      </c>
      <c r="F28" s="5">
        <f t="shared" si="5"/>
        <v>4635.8437944000007</v>
      </c>
      <c r="G28" s="5">
        <f t="shared" si="5"/>
        <v>4672.3422623400002</v>
      </c>
      <c r="H28" s="5">
        <f t="shared" si="5"/>
        <v>4714.5783767999992</v>
      </c>
      <c r="I28" s="5">
        <f t="shared" si="5"/>
        <v>4757.0547614999996</v>
      </c>
      <c r="J28" s="5">
        <f t="shared" si="5"/>
        <v>4801.3753835199996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A29" s="3" t="s">
        <v>108</v>
      </c>
      <c r="B29" s="3" t="s">
        <v>67</v>
      </c>
      <c r="C29" s="5">
        <f t="shared" si="6"/>
        <v>687.37728800000002</v>
      </c>
      <c r="D29" s="5">
        <f t="shared" si="5"/>
        <v>693.60360978999995</v>
      </c>
      <c r="E29" s="5">
        <f t="shared" si="5"/>
        <v>696.93464854000001</v>
      </c>
      <c r="F29" s="5">
        <f t="shared" si="5"/>
        <v>700.76708520000011</v>
      </c>
      <c r="G29" s="5">
        <f t="shared" si="5"/>
        <v>706.28429547000007</v>
      </c>
      <c r="H29" s="5">
        <f t="shared" si="5"/>
        <v>712.66882439999995</v>
      </c>
      <c r="I29" s="5">
        <f t="shared" si="5"/>
        <v>719.08967325000003</v>
      </c>
      <c r="J29" s="5">
        <f t="shared" si="5"/>
        <v>725.78930216000003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A30" s="3" t="s">
        <v>108</v>
      </c>
      <c r="B30" s="3" t="s">
        <v>68</v>
      </c>
      <c r="C30" s="5">
        <f t="shared" si="6"/>
        <v>52.875176000000003</v>
      </c>
      <c r="D30" s="5">
        <f t="shared" si="5"/>
        <v>53.354123829999999</v>
      </c>
      <c r="E30" s="5">
        <f t="shared" si="5"/>
        <v>53.610357579999999</v>
      </c>
      <c r="F30" s="5">
        <f t="shared" si="5"/>
        <v>53.905160400000007</v>
      </c>
      <c r="G30" s="5">
        <f t="shared" si="5"/>
        <v>54.329561190000007</v>
      </c>
      <c r="H30" s="5">
        <f t="shared" si="5"/>
        <v>54.820678799999996</v>
      </c>
      <c r="I30" s="5">
        <f t="shared" si="5"/>
        <v>55.314590250000002</v>
      </c>
      <c r="J30" s="5">
        <f t="shared" si="5"/>
        <v>55.829946319999998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3" t="s">
        <v>110</v>
      </c>
      <c r="B31" s="3" t="s">
        <v>6</v>
      </c>
      <c r="C31" s="5">
        <f t="shared" si="6"/>
        <v>1503.1478178274695</v>
      </c>
      <c r="D31" s="5">
        <f t="shared" si="5"/>
        <v>1544.5572247755072</v>
      </c>
      <c r="E31" s="5">
        <f t="shared" si="5"/>
        <v>1576.8211603548004</v>
      </c>
      <c r="F31" s="5">
        <f t="shared" si="5"/>
        <v>1612.9407099551377</v>
      </c>
      <c r="G31" s="5">
        <f t="shared" si="5"/>
        <v>1653.6286219774047</v>
      </c>
      <c r="H31" s="5">
        <f t="shared" si="5"/>
        <v>1693.9566862235386</v>
      </c>
      <c r="I31" s="5">
        <f t="shared" si="5"/>
        <v>1735.3562169540614</v>
      </c>
      <c r="J31" s="5">
        <f t="shared" si="5"/>
        <v>1773.8894986476068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3" t="s">
        <v>110</v>
      </c>
      <c r="B32" s="3" t="s">
        <v>67</v>
      </c>
      <c r="C32" s="5">
        <f t="shared" si="6"/>
        <v>1098.8460248831668</v>
      </c>
      <c r="D32" s="5">
        <f t="shared" si="6"/>
        <v>1129.1175402178239</v>
      </c>
      <c r="E32" s="5">
        <f t="shared" si="6"/>
        <v>1152.703442374562</v>
      </c>
      <c r="F32" s="5">
        <f t="shared" si="6"/>
        <v>1179.1079137300574</v>
      </c>
      <c r="G32" s="5">
        <f t="shared" si="6"/>
        <v>1208.8519946888312</v>
      </c>
      <c r="H32" s="5">
        <f t="shared" si="6"/>
        <v>1238.333016157595</v>
      </c>
      <c r="I32" s="5">
        <f t="shared" si="6"/>
        <v>1268.5973116817795</v>
      </c>
      <c r="J32" s="5">
        <f t="shared" si="6"/>
        <v>1296.7662934096402</v>
      </c>
      <c r="K32" s="3"/>
      <c r="L32" s="3"/>
      <c r="M32" s="3"/>
      <c r="N32" s="3"/>
      <c r="O32" s="3"/>
      <c r="P32" s="3"/>
      <c r="Q32" s="3"/>
      <c r="R32" s="3"/>
      <c r="S32" s="3"/>
    </row>
    <row r="33" spans="1:30">
      <c r="A33" s="3" t="s">
        <v>110</v>
      </c>
      <c r="B33" s="3" t="s">
        <v>68</v>
      </c>
      <c r="C33" s="5">
        <f t="shared" si="6"/>
        <v>17.372077608207956</v>
      </c>
      <c r="D33" s="5">
        <f t="shared" si="6"/>
        <v>17.850651586548217</v>
      </c>
      <c r="E33" s="5">
        <f t="shared" si="6"/>
        <v>18.223530145916911</v>
      </c>
      <c r="F33" s="5">
        <f t="shared" si="6"/>
        <v>18.640968545114053</v>
      </c>
      <c r="G33" s="5">
        <f t="shared" si="6"/>
        <v>19.111204111426066</v>
      </c>
      <c r="H33" s="5">
        <f t="shared" si="6"/>
        <v>19.577280869522415</v>
      </c>
      <c r="I33" s="5">
        <f t="shared" si="6"/>
        <v>20.055740707114104</v>
      </c>
      <c r="J33" s="5">
        <f t="shared" si="6"/>
        <v>20.501074926503595</v>
      </c>
      <c r="K33" s="3"/>
      <c r="L33" s="3"/>
      <c r="M33" s="3"/>
      <c r="N33" s="3"/>
      <c r="O33" s="3"/>
      <c r="P33" s="3"/>
      <c r="Q33" s="3"/>
      <c r="R33" s="3"/>
      <c r="S33" s="3"/>
    </row>
    <row r="34" spans="1:30">
      <c r="A34" s="3" t="s">
        <v>111</v>
      </c>
      <c r="B34" s="3" t="s">
        <v>6</v>
      </c>
      <c r="C34" s="5">
        <f t="shared" si="6"/>
        <v>6273.9727372799989</v>
      </c>
      <c r="D34" s="5">
        <f t="shared" si="6"/>
        <v>6386.8155829199986</v>
      </c>
      <c r="E34" s="5">
        <f t="shared" si="6"/>
        <v>6470.0452755900005</v>
      </c>
      <c r="F34" s="5">
        <f t="shared" si="6"/>
        <v>6552.230077799999</v>
      </c>
      <c r="G34" s="5">
        <f t="shared" si="6"/>
        <v>6660.2137150499993</v>
      </c>
      <c r="H34" s="5">
        <f t="shared" si="6"/>
        <v>6750.7254165599998</v>
      </c>
      <c r="I34" s="5">
        <f t="shared" si="6"/>
        <v>6849.7307317199993</v>
      </c>
      <c r="J34" s="5">
        <f t="shared" si="6"/>
        <v>6953.1029520000002</v>
      </c>
      <c r="K34" s="3"/>
      <c r="L34" s="3"/>
      <c r="M34" s="3"/>
      <c r="N34" s="3"/>
      <c r="O34" s="3"/>
      <c r="P34" s="3"/>
      <c r="Q34" s="3"/>
      <c r="R34" s="3"/>
      <c r="S34" s="3"/>
    </row>
    <row r="35" spans="1:30">
      <c r="A35" s="3" t="s">
        <v>111</v>
      </c>
      <c r="B35" s="3" t="s">
        <v>67</v>
      </c>
      <c r="C35" s="5">
        <f t="shared" si="6"/>
        <v>2273.1785279999999</v>
      </c>
      <c r="D35" s="5">
        <f t="shared" si="6"/>
        <v>2314.0636169999998</v>
      </c>
      <c r="E35" s="5">
        <f t="shared" si="6"/>
        <v>2344.2193027500002</v>
      </c>
      <c r="F35" s="5">
        <f t="shared" si="6"/>
        <v>2373.9964049999999</v>
      </c>
      <c r="G35" s="5">
        <f t="shared" si="6"/>
        <v>2413.1209112500001</v>
      </c>
      <c r="H35" s="5">
        <f t="shared" si="6"/>
        <v>2445.9150060000002</v>
      </c>
      <c r="I35" s="5">
        <f t="shared" si="6"/>
        <v>2481.7864970000001</v>
      </c>
      <c r="J35" s="5">
        <f t="shared" si="6"/>
        <v>2519.2402000000002</v>
      </c>
      <c r="K35" s="3"/>
      <c r="L35" s="3"/>
      <c r="M35" s="3"/>
      <c r="N35" s="3"/>
      <c r="O35" s="3"/>
      <c r="P35" s="3"/>
      <c r="Q35" s="3"/>
      <c r="R35" s="3"/>
      <c r="S35" s="3"/>
    </row>
    <row r="36" spans="1:30">
      <c r="A36" s="2" t="s">
        <v>111</v>
      </c>
      <c r="B36" s="2" t="s">
        <v>68</v>
      </c>
      <c r="C36" s="9">
        <f t="shared" si="6"/>
        <v>545.56284671999992</v>
      </c>
      <c r="D36" s="9">
        <f t="shared" si="6"/>
        <v>555.37526807999996</v>
      </c>
      <c r="E36" s="9">
        <f t="shared" si="6"/>
        <v>562.61263266000003</v>
      </c>
      <c r="F36" s="9">
        <f t="shared" si="6"/>
        <v>569.75913719999994</v>
      </c>
      <c r="G36" s="9">
        <f t="shared" si="6"/>
        <v>579.14901869999994</v>
      </c>
      <c r="H36" s="9">
        <f t="shared" si="6"/>
        <v>587.01960143999997</v>
      </c>
      <c r="I36" s="9">
        <f t="shared" si="6"/>
        <v>595.62875927999994</v>
      </c>
      <c r="J36" s="9">
        <f t="shared" si="6"/>
        <v>604.61764800000003</v>
      </c>
      <c r="K36" s="3"/>
      <c r="L36" s="3"/>
      <c r="M36" s="3"/>
      <c r="N36" s="3"/>
      <c r="O36" s="3"/>
      <c r="P36" s="3"/>
      <c r="Q36" s="3"/>
      <c r="R36" s="3"/>
      <c r="S36" s="3"/>
    </row>
    <row r="37" spans="1: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3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V38" t="s">
        <v>238</v>
      </c>
      <c r="W38" s="126">
        <v>0.22</v>
      </c>
      <c r="X38" s="126">
        <v>0.2</v>
      </c>
      <c r="Y38" s="126">
        <v>0.22</v>
      </c>
      <c r="Z38" s="126">
        <v>0.22</v>
      </c>
      <c r="AA38" s="126">
        <v>0.25</v>
      </c>
      <c r="AB38" s="126">
        <v>0.21</v>
      </c>
      <c r="AC38" s="126">
        <v>0.22</v>
      </c>
    </row>
    <row r="39" spans="1: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1"/>
      <c r="V39" s="1"/>
      <c r="W39" s="1"/>
    </row>
    <row r="40" spans="1:30">
      <c r="A40" s="41" t="s">
        <v>153</v>
      </c>
      <c r="B40" s="11"/>
      <c r="C40" s="11"/>
      <c r="D40" s="11"/>
      <c r="E40" s="77"/>
      <c r="F40" s="11"/>
      <c r="G40" s="11"/>
      <c r="H40" s="11"/>
      <c r="I40" s="11"/>
      <c r="J40" s="3"/>
      <c r="K40" s="3"/>
      <c r="L40" s="99" t="s">
        <v>197</v>
      </c>
      <c r="M40" s="11"/>
      <c r="N40" s="11"/>
      <c r="O40" s="11"/>
      <c r="P40" s="11"/>
      <c r="Q40" s="11"/>
      <c r="R40" s="11"/>
      <c r="S40" s="11"/>
    </row>
    <row r="41" spans="1:30">
      <c r="A41" s="12" t="s">
        <v>122</v>
      </c>
      <c r="B41" s="12" t="s">
        <v>106</v>
      </c>
      <c r="C41" s="12" t="s">
        <v>105</v>
      </c>
      <c r="D41" s="12" t="s">
        <v>107</v>
      </c>
      <c r="E41" s="12" t="s">
        <v>109</v>
      </c>
      <c r="F41" s="12" t="s">
        <v>108</v>
      </c>
      <c r="G41" s="12" t="s">
        <v>110</v>
      </c>
      <c r="H41" s="12" t="s">
        <v>111</v>
      </c>
      <c r="I41" s="12" t="s">
        <v>21</v>
      </c>
      <c r="J41" s="3"/>
      <c r="K41" s="3"/>
      <c r="L41" s="12" t="s">
        <v>123</v>
      </c>
      <c r="M41" s="12" t="s">
        <v>106</v>
      </c>
      <c r="N41" s="12" t="s">
        <v>105</v>
      </c>
      <c r="O41" s="12" t="s">
        <v>107</v>
      </c>
      <c r="P41" s="12" t="s">
        <v>109</v>
      </c>
      <c r="Q41" s="12" t="s">
        <v>108</v>
      </c>
      <c r="R41" s="12" t="s">
        <v>110</v>
      </c>
      <c r="S41" s="12" t="s">
        <v>111</v>
      </c>
      <c r="V41" s="12" t="s">
        <v>122</v>
      </c>
      <c r="W41" s="12" t="s">
        <v>106</v>
      </c>
      <c r="X41" s="12" t="s">
        <v>105</v>
      </c>
      <c r="Y41" s="12" t="s">
        <v>107</v>
      </c>
      <c r="Z41" s="12" t="s">
        <v>109</v>
      </c>
      <c r="AA41" s="12" t="s">
        <v>108</v>
      </c>
      <c r="AB41" s="12" t="s">
        <v>110</v>
      </c>
      <c r="AC41" s="12" t="s">
        <v>111</v>
      </c>
      <c r="AD41" s="12" t="s">
        <v>21</v>
      </c>
    </row>
    <row r="42" spans="1:30">
      <c r="A42" s="3">
        <v>2020</v>
      </c>
      <c r="B42" s="5">
        <v>12183.162952000001</v>
      </c>
      <c r="C42" s="5">
        <v>48248.056239999998</v>
      </c>
      <c r="D42" s="5">
        <v>215.90529599999999</v>
      </c>
      <c r="E42" s="5">
        <v>3862.9779840000001</v>
      </c>
      <c r="F42" s="5">
        <v>4185.9923760000001</v>
      </c>
      <c r="G42" s="5">
        <v>4015</v>
      </c>
      <c r="H42" s="5">
        <v>6506.1216000000004</v>
      </c>
      <c r="I42" s="5">
        <f t="shared" ref="I42:I48" si="7">SUM(B42:H42)</f>
        <v>79217.216447999992</v>
      </c>
      <c r="J42" s="3"/>
      <c r="K42" s="3"/>
      <c r="L42" s="3" t="s">
        <v>73</v>
      </c>
      <c r="M42" s="13">
        <v>3.2300000000000002E-2</v>
      </c>
      <c r="N42" s="13">
        <v>2.5000000000000001E-2</v>
      </c>
      <c r="O42" s="13">
        <v>2.06E-2</v>
      </c>
      <c r="P42" s="13">
        <v>2.06E-2</v>
      </c>
      <c r="Q42" s="13">
        <v>5.3800000000000001E-2</v>
      </c>
      <c r="R42" s="13">
        <v>1.38E-2</v>
      </c>
      <c r="S42" s="13">
        <v>0.04</v>
      </c>
      <c r="V42" s="3">
        <v>2020</v>
      </c>
      <c r="W42" s="142">
        <f>B42*(1-W$38)</f>
        <v>9502.8671025600015</v>
      </c>
      <c r="X42" s="142">
        <f t="shared" ref="X42:AC48" si="8">C42*(1-X$38)</f>
        <v>38598.444991999997</v>
      </c>
      <c r="Y42" s="142">
        <f t="shared" si="8"/>
        <v>168.40613088000001</v>
      </c>
      <c r="Z42" s="142">
        <f t="shared" si="8"/>
        <v>3013.1228275200001</v>
      </c>
      <c r="AA42" s="142">
        <f t="shared" si="8"/>
        <v>3139.4942820000001</v>
      </c>
      <c r="AB42" s="142">
        <f t="shared" si="8"/>
        <v>3171.8500000000004</v>
      </c>
      <c r="AC42" s="142">
        <f t="shared" si="8"/>
        <v>5074.7748480000009</v>
      </c>
      <c r="AD42" s="5">
        <f t="shared" ref="AD42:AD48" si="9">SUM(W42:AC42)</f>
        <v>62668.960182959992</v>
      </c>
    </row>
    <row r="43" spans="1:30">
      <c r="A43" s="3">
        <v>2021</v>
      </c>
      <c r="B43" s="5">
        <v>12330.493640000001</v>
      </c>
      <c r="C43" s="5">
        <v>48510.191394000001</v>
      </c>
      <c r="D43" s="5">
        <v>216.51037500000001</v>
      </c>
      <c r="E43" s="5">
        <v>3894.3164400000001</v>
      </c>
      <c r="F43" s="5">
        <v>4224.566108</v>
      </c>
      <c r="G43" s="5">
        <v>4044</v>
      </c>
      <c r="H43" s="5">
        <v>6551.2449420000003</v>
      </c>
      <c r="I43" s="5">
        <f t="shared" si="7"/>
        <v>79771.322899000006</v>
      </c>
      <c r="J43" s="3"/>
      <c r="K43" s="3"/>
      <c r="L43" s="3" t="s">
        <v>74</v>
      </c>
      <c r="M43" s="13">
        <v>4.0000000000000001E-3</v>
      </c>
      <c r="N43" s="13">
        <v>8.8999999999999999E-3</v>
      </c>
      <c r="O43" s="13">
        <v>2.8500000000000001E-2</v>
      </c>
      <c r="P43" s="13">
        <v>2.8500000000000001E-2</v>
      </c>
      <c r="Q43" s="13">
        <v>4.3299999999999998E-2</v>
      </c>
      <c r="R43" s="13">
        <v>1.0699999999999999E-2</v>
      </c>
      <c r="S43" s="13">
        <v>0.04</v>
      </c>
      <c r="V43" s="3">
        <v>2021</v>
      </c>
      <c r="W43" s="143">
        <f t="shared" ref="W43:W48" si="10">B43*(1-W$38)</f>
        <v>9617.7850392</v>
      </c>
      <c r="X43" s="143">
        <f t="shared" si="8"/>
        <v>38808.153115200003</v>
      </c>
      <c r="Y43" s="143">
        <f t="shared" si="8"/>
        <v>168.87809250000001</v>
      </c>
      <c r="Z43" s="143">
        <f t="shared" si="8"/>
        <v>3037.5668232000003</v>
      </c>
      <c r="AA43" s="143">
        <f t="shared" si="8"/>
        <v>3168.4245810000002</v>
      </c>
      <c r="AB43" s="143">
        <f t="shared" si="8"/>
        <v>3194.76</v>
      </c>
      <c r="AC43" s="143">
        <f t="shared" si="8"/>
        <v>5109.9710547600007</v>
      </c>
      <c r="AD43" s="5">
        <f t="shared" si="9"/>
        <v>63105.538705860017</v>
      </c>
    </row>
    <row r="44" spans="1:30">
      <c r="A44" s="3">
        <v>2022</v>
      </c>
      <c r="B44" s="5">
        <v>12452.963876</v>
      </c>
      <c r="C44" s="5">
        <v>48906.977535999999</v>
      </c>
      <c r="D44" s="5">
        <v>216.97022699999999</v>
      </c>
      <c r="E44" s="5">
        <v>3917.1550769999999</v>
      </c>
      <c r="F44" s="5">
        <v>4269.3925220000001</v>
      </c>
      <c r="G44" s="5">
        <v>4125</v>
      </c>
      <c r="H44" s="5">
        <v>6610.401312</v>
      </c>
      <c r="I44" s="5">
        <f t="shared" si="7"/>
        <v>80498.860549999998</v>
      </c>
      <c r="J44" s="3"/>
      <c r="K44" s="3"/>
      <c r="L44" s="3" t="s">
        <v>75</v>
      </c>
      <c r="M44" s="13">
        <v>8.3500000000000005E-2</v>
      </c>
      <c r="N44" s="13">
        <v>3.8899999999999997E-2</v>
      </c>
      <c r="O44" s="13">
        <v>4.9500000000000002E-2</v>
      </c>
      <c r="P44" s="13">
        <v>4.9500000000000002E-2</v>
      </c>
      <c r="Q44" s="13">
        <v>0.1469</v>
      </c>
      <c r="R44" s="13">
        <v>5.5599999999999997E-2</v>
      </c>
      <c r="S44" s="13">
        <v>7.0000000000000007E-2</v>
      </c>
      <c r="V44" s="3">
        <v>2022</v>
      </c>
      <c r="W44" s="143">
        <f t="shared" si="10"/>
        <v>9713.3118232800007</v>
      </c>
      <c r="X44" s="143">
        <f t="shared" si="8"/>
        <v>39125.582028800003</v>
      </c>
      <c r="Y44" s="143">
        <f t="shared" si="8"/>
        <v>169.23677706000001</v>
      </c>
      <c r="Z44" s="143">
        <f t="shared" si="8"/>
        <v>3055.3809600600002</v>
      </c>
      <c r="AA44" s="143">
        <f t="shared" si="8"/>
        <v>3202.0443915000001</v>
      </c>
      <c r="AB44" s="143">
        <f t="shared" si="8"/>
        <v>3258.75</v>
      </c>
      <c r="AC44" s="143">
        <f t="shared" si="8"/>
        <v>5156.1130233599997</v>
      </c>
      <c r="AD44" s="5">
        <f t="shared" si="9"/>
        <v>63680.419004060001</v>
      </c>
    </row>
    <row r="45" spans="1:30">
      <c r="A45" s="3">
        <v>2023</v>
      </c>
      <c r="B45" s="5">
        <v>12553.369988</v>
      </c>
      <c r="C45" s="5">
        <v>49314.056360000002</v>
      </c>
      <c r="D45" s="5">
        <v>217.39881500000001</v>
      </c>
      <c r="E45" s="5">
        <v>3948.8188740000001</v>
      </c>
      <c r="F45" s="5">
        <v>4313.179204</v>
      </c>
      <c r="G45" s="5">
        <v>4186</v>
      </c>
      <c r="H45" s="5">
        <v>6675.7455380000001</v>
      </c>
      <c r="I45" s="5">
        <f t="shared" si="7"/>
        <v>81208.568779000008</v>
      </c>
      <c r="J45" s="3"/>
      <c r="K45" s="3"/>
      <c r="L45" s="3" t="s">
        <v>76</v>
      </c>
      <c r="M45" s="13">
        <v>4.7199999999999999E-2</v>
      </c>
      <c r="N45" s="13">
        <v>3.95E-2</v>
      </c>
      <c r="O45" s="13">
        <v>4.1099999999999998E-2</v>
      </c>
      <c r="P45" s="13">
        <v>4.1099999999999998E-2</v>
      </c>
      <c r="Q45" s="13">
        <v>0.02</v>
      </c>
      <c r="R45" s="13">
        <v>2.0500000000000001E-2</v>
      </c>
      <c r="S45" s="13">
        <v>0.04</v>
      </c>
      <c r="V45" s="3">
        <v>2023</v>
      </c>
      <c r="W45" s="143">
        <f t="shared" si="10"/>
        <v>9791.6285906400008</v>
      </c>
      <c r="X45" s="143">
        <f t="shared" si="8"/>
        <v>39451.245088000003</v>
      </c>
      <c r="Y45" s="143">
        <f t="shared" si="8"/>
        <v>169.57107570000002</v>
      </c>
      <c r="Z45" s="143">
        <f t="shared" si="8"/>
        <v>3080.07872172</v>
      </c>
      <c r="AA45" s="143">
        <f t="shared" si="8"/>
        <v>3234.884403</v>
      </c>
      <c r="AB45" s="143">
        <f t="shared" si="8"/>
        <v>3306.94</v>
      </c>
      <c r="AC45" s="143">
        <f t="shared" si="8"/>
        <v>5207.0815196399999</v>
      </c>
      <c r="AD45" s="5">
        <f t="shared" si="9"/>
        <v>64241.429398700006</v>
      </c>
    </row>
    <row r="46" spans="1:30">
      <c r="A46" s="3">
        <v>2024</v>
      </c>
      <c r="B46" s="5">
        <v>12622.769025</v>
      </c>
      <c r="C46" s="5">
        <v>49801.019130000001</v>
      </c>
      <c r="D46" s="5">
        <v>217.79099099999999</v>
      </c>
      <c r="E46" s="5">
        <v>3980.8032029999999</v>
      </c>
      <c r="F46" s="5">
        <v>4353.3688689999999</v>
      </c>
      <c r="G46" s="5">
        <v>4249</v>
      </c>
      <c r="H46" s="5">
        <v>6747.1883980000002</v>
      </c>
      <c r="I46" s="5">
        <f t="shared" si="7"/>
        <v>81971.939616000003</v>
      </c>
      <c r="J46" s="3"/>
      <c r="K46" s="3"/>
      <c r="L46" s="3" t="s">
        <v>77</v>
      </c>
      <c r="M46" s="13">
        <v>5.2999999999999999E-2</v>
      </c>
      <c r="N46" s="13">
        <v>2.6700000000000002E-2</v>
      </c>
      <c r="O46" s="13">
        <v>4.6100000000000002E-2</v>
      </c>
      <c r="P46" s="13">
        <v>4.6100000000000002E-2</v>
      </c>
      <c r="Q46" s="13">
        <v>6.8400000000000002E-2</v>
      </c>
      <c r="R46" s="13">
        <v>1.5900000000000001E-2</v>
      </c>
      <c r="S46" s="13">
        <v>0.05</v>
      </c>
      <c r="V46" s="3">
        <v>2024</v>
      </c>
      <c r="W46" s="143">
        <f t="shared" si="10"/>
        <v>9845.7598395000005</v>
      </c>
      <c r="X46" s="143">
        <f t="shared" si="8"/>
        <v>39840.815304000003</v>
      </c>
      <c r="Y46" s="143">
        <f t="shared" si="8"/>
        <v>169.87697298000001</v>
      </c>
      <c r="Z46" s="143">
        <f t="shared" si="8"/>
        <v>3105.0264983400002</v>
      </c>
      <c r="AA46" s="143">
        <f t="shared" si="8"/>
        <v>3265.0266517499999</v>
      </c>
      <c r="AB46" s="143">
        <f t="shared" si="8"/>
        <v>3356.71</v>
      </c>
      <c r="AC46" s="143">
        <f t="shared" si="8"/>
        <v>5262.80695044</v>
      </c>
      <c r="AD46" s="5">
        <f t="shared" si="9"/>
        <v>64846.022217009995</v>
      </c>
    </row>
    <row r="47" spans="1:30">
      <c r="A47" s="3">
        <v>2025</v>
      </c>
      <c r="B47" s="5">
        <v>12814.737654</v>
      </c>
      <c r="C47" s="5">
        <v>50145.933727000003</v>
      </c>
      <c r="D47" s="5">
        <v>0</v>
      </c>
      <c r="E47" s="5">
        <v>4009.7858500000002</v>
      </c>
      <c r="F47" s="5">
        <v>4393.082848</v>
      </c>
      <c r="G47" s="5">
        <v>4314</v>
      </c>
      <c r="H47" s="5">
        <v>6818.691194</v>
      </c>
      <c r="I47" s="5">
        <f t="shared" si="7"/>
        <v>82496.231273000012</v>
      </c>
      <c r="J47" s="3"/>
      <c r="K47" s="3"/>
      <c r="L47" s="3" t="s">
        <v>78</v>
      </c>
      <c r="M47" s="13">
        <v>3.5499999999999997E-2</v>
      </c>
      <c r="N47" s="13">
        <v>0.10639999999999999</v>
      </c>
      <c r="O47" s="13">
        <v>0.1119</v>
      </c>
      <c r="P47" s="13">
        <v>0.1119</v>
      </c>
      <c r="Q47" s="13">
        <v>2.5999999999999999E-2</v>
      </c>
      <c r="R47" s="13">
        <v>0.15160000000000001</v>
      </c>
      <c r="S47" s="13">
        <v>0.01</v>
      </c>
      <c r="V47" s="3">
        <v>2025</v>
      </c>
      <c r="W47" s="143">
        <f t="shared" si="10"/>
        <v>9995.4953701200011</v>
      </c>
      <c r="X47" s="143">
        <f t="shared" si="8"/>
        <v>40116.746981600008</v>
      </c>
      <c r="Y47" s="143">
        <f t="shared" si="8"/>
        <v>0</v>
      </c>
      <c r="Z47" s="143">
        <f t="shared" si="8"/>
        <v>3127.6329630000005</v>
      </c>
      <c r="AA47" s="143">
        <f t="shared" si="8"/>
        <v>3294.812136</v>
      </c>
      <c r="AB47" s="143">
        <f t="shared" si="8"/>
        <v>3408.06</v>
      </c>
      <c r="AC47" s="143">
        <f t="shared" si="8"/>
        <v>5318.5791313199998</v>
      </c>
      <c r="AD47" s="5">
        <f t="shared" si="9"/>
        <v>65261.326582040012</v>
      </c>
    </row>
    <row r="48" spans="1:30">
      <c r="A48" s="2">
        <v>2026</v>
      </c>
      <c r="B48" s="9">
        <v>12814.597082</v>
      </c>
      <c r="C48" s="9">
        <v>50610.160309999999</v>
      </c>
      <c r="D48" s="9">
        <v>0</v>
      </c>
      <c r="E48" s="9">
        <v>4040.1391800000001</v>
      </c>
      <c r="F48" s="9">
        <v>4433.7417459999997</v>
      </c>
      <c r="G48" s="9">
        <v>4384</v>
      </c>
      <c r="H48" s="9">
        <v>6892.3180199999997</v>
      </c>
      <c r="I48" s="9">
        <f t="shared" si="7"/>
        <v>83174.956338000004</v>
      </c>
      <c r="J48" s="3"/>
      <c r="K48" s="3"/>
      <c r="L48" s="3" t="s">
        <v>79</v>
      </c>
      <c r="M48" s="13">
        <v>9.3899999999999997E-2</v>
      </c>
      <c r="N48" s="13">
        <v>3.1800000000000002E-2</v>
      </c>
      <c r="O48" s="13">
        <v>5.7000000000000002E-2</v>
      </c>
      <c r="P48" s="13">
        <v>5.7000000000000002E-2</v>
      </c>
      <c r="Q48" s="13">
        <v>6.3500000000000001E-2</v>
      </c>
      <c r="R48" s="13">
        <v>0.224</v>
      </c>
      <c r="S48" s="13">
        <v>0.09</v>
      </c>
      <c r="V48" s="2">
        <v>2026</v>
      </c>
      <c r="W48" s="141">
        <f t="shared" si="10"/>
        <v>9995.3857239600002</v>
      </c>
      <c r="X48" s="141">
        <f t="shared" si="8"/>
        <v>40488.128248000001</v>
      </c>
      <c r="Y48" s="141">
        <f t="shared" si="8"/>
        <v>0</v>
      </c>
      <c r="Z48" s="141">
        <f t="shared" si="8"/>
        <v>3151.3085604000003</v>
      </c>
      <c r="AA48" s="141">
        <f t="shared" si="8"/>
        <v>3325.3063094999998</v>
      </c>
      <c r="AB48" s="141">
        <f t="shared" si="8"/>
        <v>3463.36</v>
      </c>
      <c r="AC48" s="141">
        <f t="shared" si="8"/>
        <v>5376.0080556000003</v>
      </c>
      <c r="AD48" s="9">
        <f t="shared" si="9"/>
        <v>65799.496897460005</v>
      </c>
    </row>
    <row r="49" spans="1:20">
      <c r="J49" s="3"/>
      <c r="K49" s="3"/>
      <c r="L49" s="3" t="s">
        <v>80</v>
      </c>
      <c r="M49" s="13">
        <v>0.15770000000000001</v>
      </c>
      <c r="N49" s="13">
        <v>0.35610000000000003</v>
      </c>
      <c r="O49" s="13">
        <v>0.109</v>
      </c>
      <c r="P49" s="13">
        <v>0.109</v>
      </c>
      <c r="Q49" s="13">
        <v>6.3799999999999996E-2</v>
      </c>
      <c r="R49" s="13">
        <v>4.36E-2</v>
      </c>
      <c r="S49" s="13">
        <v>0.03</v>
      </c>
    </row>
    <row r="50" spans="1:20">
      <c r="J50" s="3"/>
      <c r="K50" s="3"/>
      <c r="L50" s="3" t="s">
        <v>81</v>
      </c>
      <c r="M50" s="13">
        <v>0.17910000000000001</v>
      </c>
      <c r="N50" s="13">
        <v>0.14249999999999999</v>
      </c>
      <c r="O50" s="13">
        <v>0.18090000000000001</v>
      </c>
      <c r="P50" s="13">
        <v>0.18090000000000001</v>
      </c>
      <c r="Q50" s="13">
        <v>0.18970000000000001</v>
      </c>
      <c r="R50" s="13">
        <v>0.1729</v>
      </c>
      <c r="S50" s="13">
        <v>0.21</v>
      </c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 t="s">
        <v>82</v>
      </c>
      <c r="M51" s="13">
        <v>9.98E-2</v>
      </c>
      <c r="N51" s="13">
        <v>6.3600000000000004E-2</v>
      </c>
      <c r="O51" s="13">
        <v>8.2400000000000001E-2</v>
      </c>
      <c r="P51" s="13">
        <v>8.2400000000000001E-2</v>
      </c>
      <c r="Q51" s="13">
        <v>7.7100000000000002E-2</v>
      </c>
      <c r="R51" s="13">
        <v>5.6099999999999997E-2</v>
      </c>
      <c r="S51" s="13">
        <v>0.18</v>
      </c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3" t="s">
        <v>83</v>
      </c>
      <c r="M52" s="13">
        <v>0.1699</v>
      </c>
      <c r="N52" s="13">
        <v>0.11990000000000001</v>
      </c>
      <c r="O52" s="13">
        <v>0.1769</v>
      </c>
      <c r="P52" s="13">
        <v>0.1769</v>
      </c>
      <c r="Q52" s="13">
        <v>0.12989999999999999</v>
      </c>
      <c r="R52" s="13">
        <v>9.4500000000000001E-2</v>
      </c>
      <c r="S52" s="13">
        <v>0.12</v>
      </c>
    </row>
    <row r="53" spans="1:20">
      <c r="A53" s="12" t="s">
        <v>121</v>
      </c>
      <c r="B53" s="12" t="s">
        <v>4</v>
      </c>
      <c r="C53" s="12">
        <v>2018</v>
      </c>
      <c r="D53" s="12">
        <v>2019</v>
      </c>
      <c r="E53" s="12">
        <v>2020</v>
      </c>
      <c r="F53" s="12">
        <v>2021</v>
      </c>
      <c r="G53" s="12">
        <v>2022</v>
      </c>
      <c r="H53" s="12">
        <v>2023</v>
      </c>
      <c r="I53" s="12">
        <v>2024</v>
      </c>
      <c r="J53" s="12">
        <v>2025</v>
      </c>
      <c r="K53" s="3"/>
      <c r="L53" s="3" t="s">
        <v>84</v>
      </c>
      <c r="M53" s="13">
        <v>1.0999999999999999E-2</v>
      </c>
      <c r="N53" s="13">
        <v>3.0700000000000002E-2</v>
      </c>
      <c r="O53" s="13">
        <v>7.8600000000000003E-2</v>
      </c>
      <c r="P53" s="13">
        <v>7.8600000000000003E-2</v>
      </c>
      <c r="Q53" s="13">
        <v>5.4100000000000002E-2</v>
      </c>
      <c r="R53" s="13">
        <v>5.0500000000000003E-2</v>
      </c>
      <c r="S53" s="13">
        <v>0.06</v>
      </c>
    </row>
    <row r="54" spans="1:20">
      <c r="A54" s="3" t="s">
        <v>106</v>
      </c>
      <c r="B54" s="3" t="s">
        <v>73</v>
      </c>
      <c r="C54" s="5" t="e">
        <f t="shared" ref="C54:J63" si="11">INDEX($L$41:$S$54,MATCH($B54,$L$41:$L$54,0),MATCH($A54,$L$41:$S$41,0))*INDEX($A$41:$H$48,MATCH(C$15,$A$41:$A$48,0),MATCH($A54,$A$41:$H$41,0))</f>
        <v>#N/A</v>
      </c>
      <c r="D54" s="5" t="e">
        <f t="shared" si="11"/>
        <v>#N/A</v>
      </c>
      <c r="E54" s="5">
        <f t="shared" si="11"/>
        <v>393.51616334960005</v>
      </c>
      <c r="F54" s="5">
        <f t="shared" si="11"/>
        <v>398.27494457200004</v>
      </c>
      <c r="G54" s="5">
        <f t="shared" si="11"/>
        <v>402.2307331948</v>
      </c>
      <c r="H54" s="5">
        <f t="shared" si="11"/>
        <v>405.47385061240004</v>
      </c>
      <c r="I54" s="5">
        <f t="shared" si="11"/>
        <v>407.71543950750004</v>
      </c>
      <c r="J54" s="5">
        <f t="shared" si="11"/>
        <v>413.91602622420004</v>
      </c>
      <c r="K54" s="3"/>
      <c r="L54" s="2" t="s">
        <v>85</v>
      </c>
      <c r="M54" s="14">
        <v>3.3099999999999997E-2</v>
      </c>
      <c r="N54" s="14">
        <v>0.01</v>
      </c>
      <c r="O54" s="14">
        <v>1.7600000000000001E-2</v>
      </c>
      <c r="P54" s="14">
        <v>1.7600000000000001E-2</v>
      </c>
      <c r="Q54" s="14">
        <v>6.3399999999999998E-2</v>
      </c>
      <c r="R54" s="14">
        <v>9.0200000000000002E-2</v>
      </c>
      <c r="S54" s="14">
        <v>0.06</v>
      </c>
    </row>
    <row r="55" spans="1:20">
      <c r="A55" s="3" t="s">
        <v>106</v>
      </c>
      <c r="B55" s="3" t="s">
        <v>74</v>
      </c>
      <c r="C55" s="5" t="e">
        <f t="shared" si="11"/>
        <v>#N/A</v>
      </c>
      <c r="D55" s="5" t="e">
        <f t="shared" si="11"/>
        <v>#N/A</v>
      </c>
      <c r="E55" s="5">
        <f t="shared" si="11"/>
        <v>48.732651808</v>
      </c>
      <c r="F55" s="5">
        <f t="shared" si="11"/>
        <v>49.321974560000001</v>
      </c>
      <c r="G55" s="5">
        <f t="shared" si="11"/>
        <v>49.811855504</v>
      </c>
      <c r="H55" s="5">
        <f t="shared" si="11"/>
        <v>50.213479952</v>
      </c>
      <c r="I55" s="5">
        <f t="shared" si="11"/>
        <v>50.491076100000001</v>
      </c>
      <c r="J55" s="5">
        <f t="shared" si="11"/>
        <v>51.258950616</v>
      </c>
      <c r="K55" s="3"/>
      <c r="L55" s="3"/>
      <c r="M55" s="3"/>
      <c r="N55" s="3"/>
      <c r="O55" s="3"/>
      <c r="P55" s="3"/>
      <c r="Q55" s="3"/>
      <c r="R55" s="3"/>
      <c r="S55" s="3"/>
    </row>
    <row r="56" spans="1:20">
      <c r="A56" s="3" t="s">
        <v>106</v>
      </c>
      <c r="B56" s="3" t="s">
        <v>75</v>
      </c>
      <c r="C56" s="5" t="e">
        <f t="shared" si="11"/>
        <v>#N/A</v>
      </c>
      <c r="D56" s="5" t="e">
        <f t="shared" si="11"/>
        <v>#N/A</v>
      </c>
      <c r="E56" s="5">
        <f t="shared" si="11"/>
        <v>1017.2941064920001</v>
      </c>
      <c r="F56" s="5">
        <f t="shared" si="11"/>
        <v>1029.5962189400002</v>
      </c>
      <c r="G56" s="5">
        <f t="shared" si="11"/>
        <v>1039.8224836460001</v>
      </c>
      <c r="H56" s="5">
        <f t="shared" si="11"/>
        <v>1048.2063939980001</v>
      </c>
      <c r="I56" s="5">
        <f t="shared" si="11"/>
        <v>1054.0012135874999</v>
      </c>
      <c r="J56" s="5">
        <f t="shared" si="11"/>
        <v>1070.030594109</v>
      </c>
      <c r="K56" s="3"/>
      <c r="L56" s="23" t="s">
        <v>173</v>
      </c>
      <c r="M56" s="2"/>
      <c r="N56" s="2"/>
      <c r="O56" s="2"/>
      <c r="P56" s="2"/>
      <c r="Q56" s="2"/>
      <c r="R56" s="2"/>
      <c r="S56" s="2"/>
    </row>
    <row r="57" spans="1:20">
      <c r="A57" s="3" t="s">
        <v>106</v>
      </c>
      <c r="B57" s="3" t="s">
        <v>76</v>
      </c>
      <c r="C57" s="5" t="e">
        <f t="shared" si="11"/>
        <v>#N/A</v>
      </c>
      <c r="D57" s="5" t="e">
        <f t="shared" si="11"/>
        <v>#N/A</v>
      </c>
      <c r="E57" s="5">
        <f t="shared" si="11"/>
        <v>575.04529133439996</v>
      </c>
      <c r="F57" s="5">
        <f t="shared" si="11"/>
        <v>581.99929980800005</v>
      </c>
      <c r="G57" s="5">
        <f t="shared" si="11"/>
        <v>587.77989494719998</v>
      </c>
      <c r="H57" s="5">
        <f t="shared" si="11"/>
        <v>592.51906343359997</v>
      </c>
      <c r="I57" s="5">
        <f t="shared" si="11"/>
        <v>595.79469798000002</v>
      </c>
      <c r="J57" s="5">
        <f t="shared" si="11"/>
        <v>604.85561726879996</v>
      </c>
      <c r="K57" s="3"/>
      <c r="L57" s="12" t="s">
        <v>113</v>
      </c>
      <c r="M57" s="12" t="s">
        <v>106</v>
      </c>
      <c r="N57" s="12" t="s">
        <v>105</v>
      </c>
      <c r="O57" s="12" t="s">
        <v>107</v>
      </c>
      <c r="P57" s="12" t="s">
        <v>109</v>
      </c>
      <c r="Q57" s="12" t="s">
        <v>108</v>
      </c>
      <c r="R57" s="12" t="s">
        <v>110</v>
      </c>
      <c r="S57" s="12" t="s">
        <v>111</v>
      </c>
      <c r="T57" s="12" t="s">
        <v>21</v>
      </c>
    </row>
    <row r="58" spans="1:20">
      <c r="A58" s="3" t="s">
        <v>106</v>
      </c>
      <c r="B58" s="3" t="s">
        <v>77</v>
      </c>
      <c r="C58" s="5" t="e">
        <f t="shared" si="11"/>
        <v>#N/A</v>
      </c>
      <c r="D58" s="5" t="e">
        <f t="shared" si="11"/>
        <v>#N/A</v>
      </c>
      <c r="E58" s="5">
        <f t="shared" si="11"/>
        <v>645.70763645600005</v>
      </c>
      <c r="F58" s="5">
        <f t="shared" si="11"/>
        <v>653.51616292000006</v>
      </c>
      <c r="G58" s="5">
        <f t="shared" si="11"/>
        <v>660.00708542799998</v>
      </c>
      <c r="H58" s="5">
        <f t="shared" si="11"/>
        <v>665.32860936400004</v>
      </c>
      <c r="I58" s="5">
        <f t="shared" si="11"/>
        <v>669.00675832499996</v>
      </c>
      <c r="J58" s="5">
        <f t="shared" si="11"/>
        <v>679.18109566199996</v>
      </c>
      <c r="K58" s="3"/>
      <c r="L58" s="3" t="s">
        <v>73</v>
      </c>
      <c r="M58" s="5">
        <v>69711427.450000003</v>
      </c>
      <c r="N58" s="5">
        <v>241856900.37643871</v>
      </c>
      <c r="O58" s="5">
        <v>4154299.97</v>
      </c>
      <c r="P58" s="5">
        <v>10665519</v>
      </c>
      <c r="Q58" s="5">
        <v>10251871</v>
      </c>
      <c r="R58" s="5">
        <v>15245851</v>
      </c>
      <c r="S58" s="5">
        <v>43051698</v>
      </c>
      <c r="T58" s="5">
        <f>SUM(M58:S58)</f>
        <v>394937566.79643875</v>
      </c>
    </row>
    <row r="59" spans="1:20">
      <c r="A59" s="3" t="s">
        <v>106</v>
      </c>
      <c r="B59" s="3" t="s">
        <v>78</v>
      </c>
      <c r="C59" s="5" t="e">
        <f t="shared" si="11"/>
        <v>#N/A</v>
      </c>
      <c r="D59" s="5" t="e">
        <f t="shared" si="11"/>
        <v>#N/A</v>
      </c>
      <c r="E59" s="5">
        <f t="shared" si="11"/>
        <v>432.50228479599997</v>
      </c>
      <c r="F59" s="5">
        <f t="shared" si="11"/>
        <v>437.73252421999996</v>
      </c>
      <c r="G59" s="5">
        <f t="shared" si="11"/>
        <v>442.08021759799993</v>
      </c>
      <c r="H59" s="5">
        <f t="shared" si="11"/>
        <v>445.64463457399995</v>
      </c>
      <c r="I59" s="5">
        <f t="shared" si="11"/>
        <v>448.10830038749992</v>
      </c>
      <c r="J59" s="5">
        <f t="shared" si="11"/>
        <v>454.92318671699996</v>
      </c>
      <c r="K59" s="3"/>
      <c r="L59" s="3" t="s">
        <v>74</v>
      </c>
      <c r="M59" s="5">
        <v>15308481</v>
      </c>
      <c r="N59" s="5">
        <v>79323799.684469447</v>
      </c>
      <c r="O59" s="5">
        <v>2979792</v>
      </c>
      <c r="P59" s="5">
        <v>7650152</v>
      </c>
      <c r="Q59" s="5">
        <v>9634213</v>
      </c>
      <c r="R59" s="5">
        <v>3423114</v>
      </c>
      <c r="S59" s="5">
        <v>54283797</v>
      </c>
      <c r="T59" s="5">
        <f t="shared" ref="T59:T71" si="12">SUM(M59:S59)</f>
        <v>172603348.68446946</v>
      </c>
    </row>
    <row r="60" spans="1:20">
      <c r="A60" s="3" t="s">
        <v>106</v>
      </c>
      <c r="B60" s="3" t="s">
        <v>79</v>
      </c>
      <c r="C60" s="5" t="e">
        <f t="shared" si="11"/>
        <v>#N/A</v>
      </c>
      <c r="D60" s="5" t="e">
        <f t="shared" si="11"/>
        <v>#N/A</v>
      </c>
      <c r="E60" s="5">
        <f t="shared" si="11"/>
        <v>1143.9990011928001</v>
      </c>
      <c r="F60" s="5">
        <f t="shared" si="11"/>
        <v>1157.8333527960001</v>
      </c>
      <c r="G60" s="5">
        <f t="shared" si="11"/>
        <v>1169.3333079563999</v>
      </c>
      <c r="H60" s="5">
        <f t="shared" si="11"/>
        <v>1178.7614418732001</v>
      </c>
      <c r="I60" s="5">
        <f t="shared" si="11"/>
        <v>1185.2780114474999</v>
      </c>
      <c r="J60" s="5">
        <f t="shared" si="11"/>
        <v>1203.3038657106001</v>
      </c>
      <c r="K60" s="3"/>
      <c r="L60" s="3" t="s">
        <v>75</v>
      </c>
      <c r="M60" s="5">
        <v>15442942</v>
      </c>
      <c r="N60" s="5">
        <v>23549286.084677462</v>
      </c>
      <c r="O60" s="5">
        <v>1024445</v>
      </c>
      <c r="P60" s="5">
        <v>2630102</v>
      </c>
      <c r="Q60" s="5">
        <v>8989070</v>
      </c>
      <c r="R60" s="5">
        <v>2535890</v>
      </c>
      <c r="S60" s="5">
        <v>26322885</v>
      </c>
      <c r="T60" s="5">
        <f t="shared" si="12"/>
        <v>80494620.084677458</v>
      </c>
    </row>
    <row r="61" spans="1:20">
      <c r="A61" s="3" t="s">
        <v>106</v>
      </c>
      <c r="B61" s="3" t="s">
        <v>80</v>
      </c>
      <c r="C61" s="5" t="e">
        <f t="shared" si="11"/>
        <v>#N/A</v>
      </c>
      <c r="D61" s="5" t="e">
        <f t="shared" si="11"/>
        <v>#N/A</v>
      </c>
      <c r="E61" s="5">
        <f t="shared" si="11"/>
        <v>1921.2847975304003</v>
      </c>
      <c r="F61" s="5">
        <f t="shared" si="11"/>
        <v>1944.5188470280002</v>
      </c>
      <c r="G61" s="5">
        <f t="shared" si="11"/>
        <v>1963.8324032452001</v>
      </c>
      <c r="H61" s="5">
        <f t="shared" si="11"/>
        <v>1979.6664471076001</v>
      </c>
      <c r="I61" s="5">
        <f t="shared" si="11"/>
        <v>1990.6106752425001</v>
      </c>
      <c r="J61" s="5">
        <f t="shared" si="11"/>
        <v>2020.8841280358001</v>
      </c>
      <c r="K61" s="3"/>
      <c r="L61" s="3" t="s">
        <v>76</v>
      </c>
      <c r="M61" s="5">
        <v>184807908.75999999</v>
      </c>
      <c r="N61" s="5">
        <v>492313131.23404294</v>
      </c>
      <c r="O61" s="5">
        <v>2475593.2999999998</v>
      </c>
      <c r="P61" s="5">
        <v>6355700.8099999996</v>
      </c>
      <c r="Q61" s="5">
        <v>4069227.38</v>
      </c>
      <c r="R61" s="5">
        <v>2322721.1800000002</v>
      </c>
      <c r="S61" s="5">
        <v>38138508.009999998</v>
      </c>
      <c r="T61" s="5">
        <f t="shared" si="12"/>
        <v>730482790.6740427</v>
      </c>
    </row>
    <row r="62" spans="1:20">
      <c r="A62" s="3" t="s">
        <v>106</v>
      </c>
      <c r="B62" s="3" t="s">
        <v>81</v>
      </c>
      <c r="C62" s="5" t="e">
        <f t="shared" si="11"/>
        <v>#N/A</v>
      </c>
      <c r="D62" s="5" t="e">
        <f t="shared" si="11"/>
        <v>#N/A</v>
      </c>
      <c r="E62" s="5">
        <f t="shared" si="11"/>
        <v>2182.0044847032004</v>
      </c>
      <c r="F62" s="5">
        <f t="shared" si="11"/>
        <v>2208.3914109240004</v>
      </c>
      <c r="G62" s="5">
        <f t="shared" si="11"/>
        <v>2230.3258301916003</v>
      </c>
      <c r="H62" s="5">
        <f t="shared" si="11"/>
        <v>2248.3085648508004</v>
      </c>
      <c r="I62" s="5">
        <f t="shared" si="11"/>
        <v>2260.7379323774999</v>
      </c>
      <c r="J62" s="5">
        <f t="shared" si="11"/>
        <v>2295.1195138314001</v>
      </c>
      <c r="K62" s="3"/>
      <c r="L62" s="3" t="s">
        <v>77</v>
      </c>
      <c r="M62" s="5">
        <v>141578048.08000001</v>
      </c>
      <c r="N62" s="5">
        <v>1091537127.6849082</v>
      </c>
      <c r="O62" s="5">
        <v>1896507.95</v>
      </c>
      <c r="P62" s="5">
        <v>4868989.22</v>
      </c>
      <c r="Q62" s="5">
        <v>8101545.8700000001</v>
      </c>
      <c r="R62" s="5">
        <v>9766175.9399999995</v>
      </c>
      <c r="S62" s="5">
        <v>32550635.559999999</v>
      </c>
      <c r="T62" s="5">
        <f t="shared" si="12"/>
        <v>1290299030.304908</v>
      </c>
    </row>
    <row r="63" spans="1:20">
      <c r="A63" s="3" t="s">
        <v>106</v>
      </c>
      <c r="B63" s="3" t="s">
        <v>82</v>
      </c>
      <c r="C63" s="5" t="e">
        <f t="shared" si="11"/>
        <v>#N/A</v>
      </c>
      <c r="D63" s="5" t="e">
        <f t="shared" si="11"/>
        <v>#N/A</v>
      </c>
      <c r="E63" s="5">
        <f t="shared" si="11"/>
        <v>1215.8796626096</v>
      </c>
      <c r="F63" s="5">
        <f t="shared" si="11"/>
        <v>1230.5832652720001</v>
      </c>
      <c r="G63" s="5">
        <f t="shared" si="11"/>
        <v>1242.8057948247999</v>
      </c>
      <c r="H63" s="5">
        <f t="shared" si="11"/>
        <v>1252.8263248024</v>
      </c>
      <c r="I63" s="5">
        <f t="shared" si="11"/>
        <v>1259.7523486949999</v>
      </c>
      <c r="J63" s="5">
        <f t="shared" si="11"/>
        <v>1278.9108178691999</v>
      </c>
      <c r="K63" s="3"/>
      <c r="L63" s="3" t="s">
        <v>78</v>
      </c>
      <c r="M63" s="5">
        <v>180138310.38999999</v>
      </c>
      <c r="N63" s="5">
        <v>1979267575.9524152</v>
      </c>
      <c r="O63" s="5">
        <v>6781431.3700000001</v>
      </c>
      <c r="P63" s="5">
        <v>17410270.43</v>
      </c>
      <c r="Q63" s="5">
        <v>8733075.1799999997</v>
      </c>
      <c r="R63" s="5">
        <v>20030523.620000001</v>
      </c>
      <c r="S63" s="5">
        <v>14880634.77</v>
      </c>
      <c r="T63" s="5">
        <f t="shared" si="12"/>
        <v>2227241821.7124147</v>
      </c>
    </row>
    <row r="64" spans="1:20">
      <c r="A64" s="3" t="s">
        <v>106</v>
      </c>
      <c r="B64" s="3" t="s">
        <v>83</v>
      </c>
      <c r="C64" s="5" t="e">
        <f t="shared" ref="C64:J73" si="13">INDEX($L$41:$S$54,MATCH($B64,$L$41:$L$54,0),MATCH($A64,$L$41:$S$41,0))*INDEX($A$41:$H$48,MATCH(C$15,$A$41:$A$48,0),MATCH($A64,$A$41:$H$41,0))</f>
        <v>#N/A</v>
      </c>
      <c r="D64" s="5" t="e">
        <f t="shared" si="13"/>
        <v>#N/A</v>
      </c>
      <c r="E64" s="5">
        <f t="shared" si="13"/>
        <v>2069.9193855448002</v>
      </c>
      <c r="F64" s="5">
        <f t="shared" si="13"/>
        <v>2094.9508694360002</v>
      </c>
      <c r="G64" s="5">
        <f t="shared" si="13"/>
        <v>2115.7585625324</v>
      </c>
      <c r="H64" s="5">
        <f t="shared" si="13"/>
        <v>2132.8175609611999</v>
      </c>
      <c r="I64" s="5">
        <f t="shared" si="13"/>
        <v>2144.6084573475</v>
      </c>
      <c r="J64" s="5">
        <f t="shared" si="13"/>
        <v>2177.2239274146</v>
      </c>
      <c r="K64" s="3"/>
      <c r="L64" s="3" t="s">
        <v>79</v>
      </c>
      <c r="M64" s="5">
        <v>144979712.66999999</v>
      </c>
      <c r="N64" s="5">
        <v>195053623.76795787</v>
      </c>
      <c r="O64" s="5">
        <v>5227474.9800000004</v>
      </c>
      <c r="P64" s="5">
        <v>13420729.039999999</v>
      </c>
      <c r="Q64" s="5">
        <v>13710391.460000001</v>
      </c>
      <c r="R64" s="5">
        <v>10474626.779999999</v>
      </c>
      <c r="S64" s="5">
        <v>110931712.43000001</v>
      </c>
      <c r="T64" s="5">
        <f t="shared" si="12"/>
        <v>493798271.12795788</v>
      </c>
    </row>
    <row r="65" spans="1:20">
      <c r="A65" s="3" t="s">
        <v>106</v>
      </c>
      <c r="B65" s="3" t="s">
        <v>84</v>
      </c>
      <c r="C65" s="5" t="e">
        <f t="shared" si="13"/>
        <v>#N/A</v>
      </c>
      <c r="D65" s="5" t="e">
        <f t="shared" si="13"/>
        <v>#N/A</v>
      </c>
      <c r="E65" s="5">
        <f t="shared" si="13"/>
        <v>134.01479247200001</v>
      </c>
      <c r="F65" s="5">
        <f t="shared" si="13"/>
        <v>135.63543003999999</v>
      </c>
      <c r="G65" s="5">
        <f t="shared" si="13"/>
        <v>136.982602636</v>
      </c>
      <c r="H65" s="5">
        <f t="shared" si="13"/>
        <v>138.08706986799999</v>
      </c>
      <c r="I65" s="5">
        <f t="shared" si="13"/>
        <v>138.85045927499999</v>
      </c>
      <c r="J65" s="5">
        <f t="shared" si="13"/>
        <v>140.96211419400001</v>
      </c>
      <c r="K65" s="3"/>
      <c r="L65" s="3" t="s">
        <v>80</v>
      </c>
      <c r="M65" s="5">
        <v>1378130895.03</v>
      </c>
      <c r="N65" s="5">
        <v>6095179779.3604593</v>
      </c>
      <c r="O65" s="5">
        <v>697801.19</v>
      </c>
      <c r="P65" s="5">
        <v>1791496.03</v>
      </c>
      <c r="Q65" s="5">
        <v>21228720.969999999</v>
      </c>
      <c r="R65" s="5">
        <v>173580321.86000001</v>
      </c>
      <c r="S65" s="5">
        <v>22209694.16</v>
      </c>
      <c r="T65" s="5">
        <f t="shared" si="12"/>
        <v>7692818708.6004581</v>
      </c>
    </row>
    <row r="66" spans="1:20">
      <c r="A66" s="3" t="s">
        <v>106</v>
      </c>
      <c r="B66" s="3" t="s">
        <v>85</v>
      </c>
      <c r="C66" s="5" t="e">
        <f t="shared" si="13"/>
        <v>#N/A</v>
      </c>
      <c r="D66" s="5" t="e">
        <f t="shared" si="13"/>
        <v>#N/A</v>
      </c>
      <c r="E66" s="5">
        <f t="shared" si="13"/>
        <v>403.26269371119997</v>
      </c>
      <c r="F66" s="5">
        <f t="shared" si="13"/>
        <v>408.139339484</v>
      </c>
      <c r="G66" s="5">
        <f t="shared" si="13"/>
        <v>412.19310429559994</v>
      </c>
      <c r="H66" s="5">
        <f t="shared" si="13"/>
        <v>415.51654660279996</v>
      </c>
      <c r="I66" s="5">
        <f t="shared" si="13"/>
        <v>417.81365472749997</v>
      </c>
      <c r="J66" s="5">
        <f t="shared" si="13"/>
        <v>424.16781634739999</v>
      </c>
      <c r="K66" s="3"/>
      <c r="L66" s="3" t="s">
        <v>81</v>
      </c>
      <c r="M66" s="5">
        <v>891012235</v>
      </c>
      <c r="N66" s="5">
        <v>1890496824.299624</v>
      </c>
      <c r="O66" s="5">
        <v>8942035.3900000006</v>
      </c>
      <c r="P66" s="5">
        <v>22957285.23</v>
      </c>
      <c r="Q66" s="5">
        <v>37916739.979999997</v>
      </c>
      <c r="R66" s="5">
        <v>135223455.91</v>
      </c>
      <c r="S66" s="5">
        <v>296551833.14999998</v>
      </c>
      <c r="T66" s="5">
        <f t="shared" si="12"/>
        <v>3283100408.9596238</v>
      </c>
    </row>
    <row r="67" spans="1:20">
      <c r="A67" s="3" t="s">
        <v>105</v>
      </c>
      <c r="B67" s="3" t="s">
        <v>73</v>
      </c>
      <c r="C67" s="5" t="e">
        <f t="shared" si="13"/>
        <v>#N/A</v>
      </c>
      <c r="D67" s="5" t="e">
        <f t="shared" si="13"/>
        <v>#N/A</v>
      </c>
      <c r="E67" s="5">
        <f t="shared" si="13"/>
        <v>1206.2014059999999</v>
      </c>
      <c r="F67" s="5">
        <f t="shared" si="13"/>
        <v>1212.7547848500001</v>
      </c>
      <c r="G67" s="5">
        <f t="shared" si="13"/>
        <v>1222.6744384000001</v>
      </c>
      <c r="H67" s="5">
        <f t="shared" si="13"/>
        <v>1232.8514090000001</v>
      </c>
      <c r="I67" s="5">
        <f t="shared" si="13"/>
        <v>1245.0254782500001</v>
      </c>
      <c r="J67" s="5">
        <f t="shared" si="13"/>
        <v>1253.6483431750003</v>
      </c>
      <c r="K67" s="3"/>
      <c r="L67" s="3" t="s">
        <v>82</v>
      </c>
      <c r="M67" s="5">
        <v>40336766.049999997</v>
      </c>
      <c r="N67" s="5">
        <v>105917425.54099824</v>
      </c>
      <c r="O67" s="5">
        <v>1765459.49</v>
      </c>
      <c r="P67" s="5">
        <v>4532542.68</v>
      </c>
      <c r="Q67" s="5">
        <v>4903274.5999999996</v>
      </c>
      <c r="R67" s="5">
        <v>5609711.5</v>
      </c>
      <c r="S67" s="5">
        <v>75531544.810000002</v>
      </c>
      <c r="T67" s="5">
        <f t="shared" si="12"/>
        <v>238596724.67099825</v>
      </c>
    </row>
    <row r="68" spans="1:20">
      <c r="A68" s="3" t="s">
        <v>105</v>
      </c>
      <c r="B68" s="3" t="s">
        <v>74</v>
      </c>
      <c r="C68" s="5" t="e">
        <f t="shared" si="13"/>
        <v>#N/A</v>
      </c>
      <c r="D68" s="5" t="e">
        <f t="shared" si="13"/>
        <v>#N/A</v>
      </c>
      <c r="E68" s="5">
        <f t="shared" si="13"/>
        <v>429.40770053599999</v>
      </c>
      <c r="F68" s="5">
        <f t="shared" si="13"/>
        <v>431.74070340660001</v>
      </c>
      <c r="G68" s="5">
        <f t="shared" si="13"/>
        <v>435.27210007039997</v>
      </c>
      <c r="H68" s="5">
        <f t="shared" si="13"/>
        <v>438.89510160399999</v>
      </c>
      <c r="I68" s="5">
        <f t="shared" si="13"/>
        <v>443.22907025699999</v>
      </c>
      <c r="J68" s="5">
        <f t="shared" si="13"/>
        <v>446.29881017030004</v>
      </c>
      <c r="K68" s="3"/>
      <c r="L68" s="3" t="s">
        <v>83</v>
      </c>
      <c r="M68" s="5">
        <v>283930854.98000002</v>
      </c>
      <c r="N68" s="5">
        <v>639450787.62480104</v>
      </c>
      <c r="O68" s="5">
        <v>19436154.899999999</v>
      </c>
      <c r="P68" s="5">
        <v>49899305.07</v>
      </c>
      <c r="Q68" s="5">
        <v>32931293.629999999</v>
      </c>
      <c r="R68" s="5">
        <v>47722198.899999999</v>
      </c>
      <c r="S68" s="5">
        <v>170317275.86000001</v>
      </c>
      <c r="T68" s="5">
        <f t="shared" si="12"/>
        <v>1243687870.9648011</v>
      </c>
    </row>
    <row r="69" spans="1:20">
      <c r="A69" s="3" t="s">
        <v>105</v>
      </c>
      <c r="B69" s="3" t="s">
        <v>75</v>
      </c>
      <c r="C69" s="5" t="e">
        <f t="shared" si="13"/>
        <v>#N/A</v>
      </c>
      <c r="D69" s="5" t="e">
        <f t="shared" si="13"/>
        <v>#N/A</v>
      </c>
      <c r="E69" s="5">
        <f t="shared" si="13"/>
        <v>1876.8493877359997</v>
      </c>
      <c r="F69" s="5">
        <f t="shared" si="13"/>
        <v>1887.0464452265999</v>
      </c>
      <c r="G69" s="5">
        <f t="shared" si="13"/>
        <v>1902.4814261503998</v>
      </c>
      <c r="H69" s="5">
        <f t="shared" si="13"/>
        <v>1918.3167924039999</v>
      </c>
      <c r="I69" s="5">
        <f t="shared" si="13"/>
        <v>1937.2596441569999</v>
      </c>
      <c r="J69" s="5">
        <f t="shared" si="13"/>
        <v>1950.6768219803</v>
      </c>
      <c r="K69" s="3"/>
      <c r="L69" s="3" t="s">
        <v>84</v>
      </c>
      <c r="M69" s="5">
        <v>57780078.079999998</v>
      </c>
      <c r="N69" s="5">
        <v>188038611.8367973</v>
      </c>
      <c r="O69" s="5">
        <v>11246877.310000001</v>
      </c>
      <c r="P69" s="5">
        <v>28874608.420000002</v>
      </c>
      <c r="Q69" s="5">
        <v>19911762.420000002</v>
      </c>
      <c r="R69" s="5">
        <v>20517716.489999998</v>
      </c>
      <c r="S69" s="5">
        <v>111437188.20999999</v>
      </c>
      <c r="T69" s="5">
        <f t="shared" si="12"/>
        <v>437806842.7667973</v>
      </c>
    </row>
    <row r="70" spans="1:20">
      <c r="A70" s="3" t="s">
        <v>105</v>
      </c>
      <c r="B70" s="3" t="s">
        <v>76</v>
      </c>
      <c r="C70" s="5" t="e">
        <f t="shared" si="13"/>
        <v>#N/A</v>
      </c>
      <c r="D70" s="5" t="e">
        <f t="shared" si="13"/>
        <v>#N/A</v>
      </c>
      <c r="E70" s="5">
        <f t="shared" si="13"/>
        <v>1905.7982214799999</v>
      </c>
      <c r="F70" s="5">
        <f t="shared" si="13"/>
        <v>1916.152560063</v>
      </c>
      <c r="G70" s="5">
        <f t="shared" si="13"/>
        <v>1931.825612672</v>
      </c>
      <c r="H70" s="5">
        <f t="shared" si="13"/>
        <v>1947.90522622</v>
      </c>
      <c r="I70" s="5">
        <f t="shared" si="13"/>
        <v>1967.1402556350001</v>
      </c>
      <c r="J70" s="5">
        <f t="shared" si="13"/>
        <v>1980.7643822165001</v>
      </c>
      <c r="K70" s="3"/>
      <c r="L70" s="2" t="s">
        <v>85</v>
      </c>
      <c r="M70" s="9">
        <v>316511786.50999999</v>
      </c>
      <c r="N70" s="9">
        <v>309621515.05096602</v>
      </c>
      <c r="O70" s="9">
        <v>7244016.6900000004</v>
      </c>
      <c r="P70" s="9">
        <v>18597886.300000001</v>
      </c>
      <c r="Q70" s="9">
        <v>31679187.989999998</v>
      </c>
      <c r="R70" s="9">
        <v>61416109</v>
      </c>
      <c r="S70" s="9">
        <v>189142884.49000001</v>
      </c>
      <c r="T70" s="9">
        <f t="shared" si="12"/>
        <v>934213386.03096604</v>
      </c>
    </row>
    <row r="71" spans="1:20">
      <c r="A71" s="3" t="s">
        <v>105</v>
      </c>
      <c r="B71" s="3" t="s">
        <v>77</v>
      </c>
      <c r="C71" s="5" t="e">
        <f t="shared" si="13"/>
        <v>#N/A</v>
      </c>
      <c r="D71" s="5" t="e">
        <f t="shared" si="13"/>
        <v>#N/A</v>
      </c>
      <c r="E71" s="5">
        <f t="shared" si="13"/>
        <v>1288.223101608</v>
      </c>
      <c r="F71" s="5">
        <f t="shared" si="13"/>
        <v>1295.2221102198</v>
      </c>
      <c r="G71" s="5">
        <f t="shared" si="13"/>
        <v>1305.8163002112001</v>
      </c>
      <c r="H71" s="5">
        <f t="shared" si="13"/>
        <v>1316.6853048120001</v>
      </c>
      <c r="I71" s="5">
        <f t="shared" si="13"/>
        <v>1329.6872107710001</v>
      </c>
      <c r="J71" s="5">
        <f t="shared" si="13"/>
        <v>1338.8964305109002</v>
      </c>
      <c r="K71" s="3"/>
      <c r="L71" s="2" t="s">
        <v>21</v>
      </c>
      <c r="M71" s="9">
        <f>SUM(M58:M70)</f>
        <v>3719669446</v>
      </c>
      <c r="N71" s="9">
        <f t="shared" ref="N71:S71" si="14">SUM(N58:N70)</f>
        <v>13331606388.498556</v>
      </c>
      <c r="O71" s="9">
        <f t="shared" si="14"/>
        <v>73871889.540000007</v>
      </c>
      <c r="P71" s="9">
        <f t="shared" si="14"/>
        <v>189654586.23000002</v>
      </c>
      <c r="Q71" s="9">
        <f t="shared" si="14"/>
        <v>212060373.48000002</v>
      </c>
      <c r="R71" s="9">
        <f t="shared" si="14"/>
        <v>507868416.17999995</v>
      </c>
      <c r="S71" s="9">
        <f t="shared" si="14"/>
        <v>1185350291.4499998</v>
      </c>
      <c r="T71" s="9">
        <f t="shared" si="12"/>
        <v>19220081391.378559</v>
      </c>
    </row>
    <row r="72" spans="1:20">
      <c r="A72" s="3" t="s">
        <v>105</v>
      </c>
      <c r="B72" s="3" t="s">
        <v>78</v>
      </c>
      <c r="C72" s="5" t="e">
        <f t="shared" si="13"/>
        <v>#N/A</v>
      </c>
      <c r="D72" s="5" t="e">
        <f t="shared" si="13"/>
        <v>#N/A</v>
      </c>
      <c r="E72" s="5">
        <f t="shared" si="13"/>
        <v>5133.5931839359991</v>
      </c>
      <c r="F72" s="5">
        <f t="shared" si="13"/>
        <v>5161.4843643216</v>
      </c>
      <c r="G72" s="5">
        <f t="shared" si="13"/>
        <v>5203.7024098304</v>
      </c>
      <c r="H72" s="5">
        <f t="shared" si="13"/>
        <v>5247.015596704</v>
      </c>
      <c r="I72" s="5">
        <f t="shared" si="13"/>
        <v>5298.8284354319994</v>
      </c>
      <c r="J72" s="5">
        <f t="shared" si="13"/>
        <v>5335.5273485528005</v>
      </c>
      <c r="K72" s="3"/>
      <c r="L72" s="2"/>
      <c r="M72" s="2"/>
      <c r="N72" s="2"/>
      <c r="O72" s="2"/>
      <c r="P72" s="2"/>
      <c r="Q72" s="2"/>
      <c r="R72" s="2"/>
      <c r="S72" s="2"/>
    </row>
    <row r="73" spans="1:20">
      <c r="A73" s="3" t="s">
        <v>105</v>
      </c>
      <c r="B73" s="3" t="s">
        <v>79</v>
      </c>
      <c r="C73" s="5" t="e">
        <f t="shared" si="13"/>
        <v>#N/A</v>
      </c>
      <c r="D73" s="5" t="e">
        <f t="shared" si="13"/>
        <v>#N/A</v>
      </c>
      <c r="E73" s="5">
        <f t="shared" si="13"/>
        <v>1534.288188432</v>
      </c>
      <c r="F73" s="5">
        <f t="shared" si="13"/>
        <v>1542.6240863292001</v>
      </c>
      <c r="G73" s="5">
        <f t="shared" si="13"/>
        <v>1555.2418856448</v>
      </c>
      <c r="H73" s="5">
        <f t="shared" si="13"/>
        <v>1568.1869922480003</v>
      </c>
      <c r="I73" s="5">
        <f t="shared" si="13"/>
        <v>1583.672408334</v>
      </c>
      <c r="J73" s="5">
        <f t="shared" si="13"/>
        <v>1594.6406925186002</v>
      </c>
      <c r="K73" s="3"/>
      <c r="L73" s="12" t="s">
        <v>114</v>
      </c>
      <c r="M73" s="12" t="s">
        <v>106</v>
      </c>
      <c r="N73" s="12" t="s">
        <v>105</v>
      </c>
      <c r="O73" s="12" t="s">
        <v>107</v>
      </c>
      <c r="P73" s="12" t="s">
        <v>109</v>
      </c>
      <c r="Q73" s="12" t="s">
        <v>108</v>
      </c>
      <c r="R73" s="12" t="s">
        <v>110</v>
      </c>
      <c r="S73" s="12" t="s">
        <v>111</v>
      </c>
    </row>
    <row r="74" spans="1:20">
      <c r="A74" s="3" t="s">
        <v>105</v>
      </c>
      <c r="B74" s="3" t="s">
        <v>80</v>
      </c>
      <c r="C74" s="5" t="e">
        <f t="shared" ref="C74:J83" si="15">INDEX($L$41:$S$54,MATCH($B74,$L$41:$L$54,0),MATCH($A74,$L$41:$S$41,0))*INDEX($A$41:$H$48,MATCH(C$15,$A$41:$A$48,0),MATCH($A74,$A$41:$H$41,0))</f>
        <v>#N/A</v>
      </c>
      <c r="D74" s="5" t="e">
        <f t="shared" si="15"/>
        <v>#N/A</v>
      </c>
      <c r="E74" s="5">
        <f t="shared" si="15"/>
        <v>17181.132827064001</v>
      </c>
      <c r="F74" s="5">
        <f t="shared" si="15"/>
        <v>17274.479155403402</v>
      </c>
      <c r="G74" s="5">
        <f t="shared" si="15"/>
        <v>17415.7747005696</v>
      </c>
      <c r="H74" s="5">
        <f t="shared" si="15"/>
        <v>17560.735469796004</v>
      </c>
      <c r="I74" s="5">
        <f t="shared" si="15"/>
        <v>17734.142912193001</v>
      </c>
      <c r="J74" s="5">
        <f t="shared" si="15"/>
        <v>17856.967000184701</v>
      </c>
      <c r="K74" s="3"/>
      <c r="L74" s="3">
        <v>2018</v>
      </c>
      <c r="M74" s="45">
        <v>1.83E-2</v>
      </c>
      <c r="N74" s="45">
        <v>1.1599999999999999E-2</v>
      </c>
      <c r="O74" s="6">
        <v>7.1000000000000004E-3</v>
      </c>
      <c r="P74" s="6">
        <v>7.1000000000000004E-3</v>
      </c>
      <c r="Q74" s="6">
        <v>1.6E-2</v>
      </c>
      <c r="R74" s="6">
        <v>2.2499999999999999E-2</v>
      </c>
      <c r="S74" s="6">
        <v>1.0500000000000001E-2</v>
      </c>
    </row>
    <row r="75" spans="1:20">
      <c r="A75" s="3" t="s">
        <v>105</v>
      </c>
      <c r="B75" s="3" t="s">
        <v>81</v>
      </c>
      <c r="C75" s="5" t="e">
        <f t="shared" si="15"/>
        <v>#N/A</v>
      </c>
      <c r="D75" s="5" t="e">
        <f t="shared" si="15"/>
        <v>#N/A</v>
      </c>
      <c r="E75" s="5">
        <f t="shared" si="15"/>
        <v>6875.3480141999989</v>
      </c>
      <c r="F75" s="5">
        <f t="shared" si="15"/>
        <v>6912.7022736449999</v>
      </c>
      <c r="G75" s="5">
        <f t="shared" si="15"/>
        <v>6969.2442988799994</v>
      </c>
      <c r="H75" s="5">
        <f t="shared" si="15"/>
        <v>7027.2530312999997</v>
      </c>
      <c r="I75" s="5">
        <f t="shared" si="15"/>
        <v>7096.6452260249998</v>
      </c>
      <c r="J75" s="5">
        <f t="shared" si="15"/>
        <v>7145.7955560974997</v>
      </c>
      <c r="K75" s="3"/>
      <c r="L75" s="3">
        <v>2019</v>
      </c>
      <c r="M75" s="45">
        <v>1.8499999999999999E-2</v>
      </c>
      <c r="N75" s="45">
        <v>1.0999999999999999E-2</v>
      </c>
      <c r="O75" s="6">
        <v>7.9000000000000008E-3</v>
      </c>
      <c r="P75" s="6">
        <v>7.9000000000000008E-3</v>
      </c>
      <c r="Q75" s="6">
        <v>1.49E-2</v>
      </c>
      <c r="R75" s="6">
        <v>2.5000000000000001E-2</v>
      </c>
      <c r="S75" s="6">
        <v>9.4000000000000004E-3</v>
      </c>
    </row>
    <row r="76" spans="1:20">
      <c r="A76" s="3" t="s">
        <v>105</v>
      </c>
      <c r="B76" s="3" t="s">
        <v>82</v>
      </c>
      <c r="C76" s="5" t="e">
        <f t="shared" si="15"/>
        <v>#N/A</v>
      </c>
      <c r="D76" s="5" t="e">
        <f t="shared" si="15"/>
        <v>#N/A</v>
      </c>
      <c r="E76" s="5">
        <f t="shared" si="15"/>
        <v>3068.5763768639999</v>
      </c>
      <c r="F76" s="5">
        <f t="shared" si="15"/>
        <v>3085.2481726584001</v>
      </c>
      <c r="G76" s="5">
        <f t="shared" si="15"/>
        <v>3110.4837712896001</v>
      </c>
      <c r="H76" s="5">
        <f t="shared" si="15"/>
        <v>3136.3739844960005</v>
      </c>
      <c r="I76" s="5">
        <f t="shared" si="15"/>
        <v>3167.344816668</v>
      </c>
      <c r="J76" s="5">
        <f t="shared" si="15"/>
        <v>3189.2813850372004</v>
      </c>
      <c r="K76" s="3"/>
      <c r="L76" s="3">
        <v>2020</v>
      </c>
      <c r="M76" s="45">
        <v>1.77E-2</v>
      </c>
      <c r="N76" s="45">
        <v>1.06E-2</v>
      </c>
      <c r="O76" s="6">
        <v>8.3000000000000001E-3</v>
      </c>
      <c r="P76" s="6">
        <v>8.3000000000000001E-3</v>
      </c>
      <c r="Q76" s="6">
        <v>1.47E-2</v>
      </c>
      <c r="R76" s="6">
        <v>2.2499999999999999E-2</v>
      </c>
      <c r="S76" s="6">
        <v>8.8000000000000005E-3</v>
      </c>
    </row>
    <row r="77" spans="1:20">
      <c r="A77" s="3" t="s">
        <v>105</v>
      </c>
      <c r="B77" s="3" t="s">
        <v>83</v>
      </c>
      <c r="C77" s="5" t="e">
        <f t="shared" si="15"/>
        <v>#N/A</v>
      </c>
      <c r="D77" s="5" t="e">
        <f t="shared" si="15"/>
        <v>#N/A</v>
      </c>
      <c r="E77" s="5">
        <f t="shared" si="15"/>
        <v>5784.9419431759998</v>
      </c>
      <c r="F77" s="5">
        <f t="shared" si="15"/>
        <v>5816.3719481406006</v>
      </c>
      <c r="G77" s="5">
        <f t="shared" si="15"/>
        <v>5863.9466065664001</v>
      </c>
      <c r="H77" s="5">
        <f t="shared" si="15"/>
        <v>5912.7553575640004</v>
      </c>
      <c r="I77" s="5">
        <f t="shared" si="15"/>
        <v>5971.1421936870001</v>
      </c>
      <c r="J77" s="5">
        <f t="shared" si="15"/>
        <v>6012.4974538673005</v>
      </c>
      <c r="K77" s="3"/>
      <c r="L77" s="3">
        <v>2021</v>
      </c>
      <c r="M77" s="45">
        <v>1.5599999999999999E-2</v>
      </c>
      <c r="N77" s="45">
        <v>1.04E-2</v>
      </c>
      <c r="O77" s="6">
        <v>1.17E-2</v>
      </c>
      <c r="P77" s="6">
        <v>1.17E-2</v>
      </c>
      <c r="Q77" s="6">
        <v>1.4500000000000001E-2</v>
      </c>
      <c r="R77" s="6">
        <v>1.78E-2</v>
      </c>
      <c r="S77" s="6">
        <v>8.5000000000000006E-3</v>
      </c>
    </row>
    <row r="78" spans="1:20">
      <c r="A78" s="3" t="s">
        <v>105</v>
      </c>
      <c r="B78" s="3" t="s">
        <v>84</v>
      </c>
      <c r="C78" s="5" t="e">
        <f t="shared" si="15"/>
        <v>#N/A</v>
      </c>
      <c r="D78" s="5" t="e">
        <f t="shared" si="15"/>
        <v>#N/A</v>
      </c>
      <c r="E78" s="5">
        <f t="shared" si="15"/>
        <v>1481.2153265679999</v>
      </c>
      <c r="F78" s="5">
        <f t="shared" si="15"/>
        <v>1489.2628757958</v>
      </c>
      <c r="G78" s="5">
        <f t="shared" si="15"/>
        <v>1501.4442103552001</v>
      </c>
      <c r="H78" s="5">
        <f t="shared" si="15"/>
        <v>1513.9415302520001</v>
      </c>
      <c r="I78" s="5">
        <f t="shared" si="15"/>
        <v>1528.891287291</v>
      </c>
      <c r="J78" s="5">
        <f t="shared" si="15"/>
        <v>1539.4801654189002</v>
      </c>
      <c r="K78" s="3"/>
      <c r="L78" s="3">
        <v>2022</v>
      </c>
      <c r="M78" s="45">
        <v>1.4800000000000001E-2</v>
      </c>
      <c r="N78" s="45">
        <v>1.0699999999999999E-2</v>
      </c>
      <c r="O78" s="6">
        <v>1.4999999999999999E-2</v>
      </c>
      <c r="P78" s="6">
        <v>1.4999999999999999E-2</v>
      </c>
      <c r="Q78" s="6">
        <v>1.44E-2</v>
      </c>
      <c r="R78" s="6">
        <v>1.61E-2</v>
      </c>
      <c r="S78" s="6">
        <v>8.3000000000000001E-3</v>
      </c>
    </row>
    <row r="79" spans="1:20">
      <c r="A79" s="3" t="s">
        <v>105</v>
      </c>
      <c r="B79" s="3" t="s">
        <v>85</v>
      </c>
      <c r="C79" s="5" t="e">
        <f t="shared" si="15"/>
        <v>#N/A</v>
      </c>
      <c r="D79" s="5" t="e">
        <f t="shared" si="15"/>
        <v>#N/A</v>
      </c>
      <c r="E79" s="5">
        <f t="shared" si="15"/>
        <v>482.4805624</v>
      </c>
      <c r="F79" s="5">
        <f t="shared" si="15"/>
        <v>485.10191394000003</v>
      </c>
      <c r="G79" s="5">
        <f t="shared" si="15"/>
        <v>489.06977535999999</v>
      </c>
      <c r="H79" s="5">
        <f t="shared" si="15"/>
        <v>493.14056360000001</v>
      </c>
      <c r="I79" s="5">
        <f t="shared" si="15"/>
        <v>498.01019130000003</v>
      </c>
      <c r="J79" s="5">
        <f t="shared" si="15"/>
        <v>501.45933727000005</v>
      </c>
      <c r="K79" s="3"/>
      <c r="L79" s="3">
        <v>2023</v>
      </c>
      <c r="M79" s="45">
        <v>1.41E-2</v>
      </c>
      <c r="N79" s="45">
        <v>1.0200000000000001E-2</v>
      </c>
      <c r="O79" s="6">
        <v>1.83E-2</v>
      </c>
      <c r="P79" s="6">
        <v>1.83E-2</v>
      </c>
      <c r="Q79" s="6">
        <v>1.4200000000000001E-2</v>
      </c>
      <c r="R79" s="6">
        <v>1.7500000000000002E-2</v>
      </c>
      <c r="S79" s="6">
        <v>8.0000000000000002E-3</v>
      </c>
    </row>
    <row r="80" spans="1:20">
      <c r="A80" s="3" t="s">
        <v>107</v>
      </c>
      <c r="B80" s="3" t="s">
        <v>73</v>
      </c>
      <c r="C80" s="5" t="e">
        <f t="shared" si="15"/>
        <v>#N/A</v>
      </c>
      <c r="D80" s="5" t="e">
        <f t="shared" si="15"/>
        <v>#N/A</v>
      </c>
      <c r="E80" s="5">
        <f t="shared" si="15"/>
        <v>4.4476490976000003</v>
      </c>
      <c r="F80" s="5">
        <f t="shared" si="15"/>
        <v>4.4601137250000003</v>
      </c>
      <c r="G80" s="5">
        <f t="shared" si="15"/>
        <v>4.4695866761999996</v>
      </c>
      <c r="H80" s="5">
        <f t="shared" si="15"/>
        <v>4.4784155889999999</v>
      </c>
      <c r="I80" s="5">
        <f t="shared" si="15"/>
        <v>4.4864944146000001</v>
      </c>
      <c r="J80" s="5">
        <f t="shared" si="15"/>
        <v>0</v>
      </c>
      <c r="K80" s="3"/>
      <c r="L80" s="3">
        <v>2024</v>
      </c>
      <c r="M80" s="45">
        <v>1.35E-2</v>
      </c>
      <c r="N80" s="45">
        <v>9.4000000000000004E-3</v>
      </c>
      <c r="O80" s="6">
        <v>2.1700000000000001E-2</v>
      </c>
      <c r="P80" s="6">
        <v>2.1700000000000001E-2</v>
      </c>
      <c r="Q80" s="6">
        <v>1.41E-2</v>
      </c>
      <c r="R80" s="6">
        <v>1.7500000000000002E-2</v>
      </c>
      <c r="S80" s="6">
        <v>7.6E-3</v>
      </c>
    </row>
    <row r="81" spans="1:19">
      <c r="A81" s="3" t="s">
        <v>107</v>
      </c>
      <c r="B81" s="3" t="s">
        <v>74</v>
      </c>
      <c r="C81" s="5" t="e">
        <f t="shared" si="15"/>
        <v>#N/A</v>
      </c>
      <c r="D81" s="5" t="e">
        <f t="shared" si="15"/>
        <v>#N/A</v>
      </c>
      <c r="E81" s="5">
        <f t="shared" si="15"/>
        <v>6.1533009359999999</v>
      </c>
      <c r="F81" s="5">
        <f t="shared" si="15"/>
        <v>6.1705456875000007</v>
      </c>
      <c r="G81" s="5">
        <f t="shared" si="15"/>
        <v>6.1836514695</v>
      </c>
      <c r="H81" s="5">
        <f t="shared" si="15"/>
        <v>6.1958662275000007</v>
      </c>
      <c r="I81" s="5">
        <f t="shared" si="15"/>
        <v>6.2070432435000003</v>
      </c>
      <c r="J81" s="5">
        <f t="shared" si="15"/>
        <v>0</v>
      </c>
      <c r="K81" s="3"/>
      <c r="L81" s="3">
        <v>2025</v>
      </c>
      <c r="M81" s="45">
        <v>1.2999999999999999E-2</v>
      </c>
      <c r="N81" s="45">
        <v>8.9999999999999993E-3</v>
      </c>
      <c r="O81" s="6">
        <v>2.0899999999999998E-2</v>
      </c>
      <c r="P81" s="6">
        <v>2.0899999999999998E-2</v>
      </c>
      <c r="Q81" s="6">
        <v>1.3899999999999999E-2</v>
      </c>
      <c r="R81" s="6">
        <v>1.77E-2</v>
      </c>
      <c r="S81" s="6">
        <v>7.3000000000000001E-3</v>
      </c>
    </row>
    <row r="82" spans="1:19">
      <c r="A82" s="3" t="s">
        <v>107</v>
      </c>
      <c r="B82" s="3" t="s">
        <v>75</v>
      </c>
      <c r="C82" s="5" t="e">
        <f t="shared" si="15"/>
        <v>#N/A</v>
      </c>
      <c r="D82" s="5" t="e">
        <f t="shared" si="15"/>
        <v>#N/A</v>
      </c>
      <c r="E82" s="5">
        <f t="shared" si="15"/>
        <v>10.687312152000001</v>
      </c>
      <c r="F82" s="5">
        <f t="shared" si="15"/>
        <v>10.717263562500001</v>
      </c>
      <c r="G82" s="5">
        <f t="shared" si="15"/>
        <v>10.7400262365</v>
      </c>
      <c r="H82" s="5">
        <f t="shared" si="15"/>
        <v>10.761241342500002</v>
      </c>
      <c r="I82" s="5">
        <f t="shared" si="15"/>
        <v>10.780654054499999</v>
      </c>
      <c r="J82" s="5">
        <f t="shared" si="15"/>
        <v>0</v>
      </c>
      <c r="K82" s="3"/>
      <c r="L82" s="2">
        <v>2026</v>
      </c>
      <c r="M82" s="46">
        <v>1.26E-2</v>
      </c>
      <c r="N82" s="46">
        <v>8.8000000000000005E-3</v>
      </c>
      <c r="O82" s="7">
        <v>2.01E-2</v>
      </c>
      <c r="P82" s="7">
        <v>2.01E-2</v>
      </c>
      <c r="Q82" s="7">
        <v>1.37E-2</v>
      </c>
      <c r="R82" s="7">
        <v>1.8200000000000001E-2</v>
      </c>
      <c r="S82" s="7">
        <v>7.0000000000000001E-3</v>
      </c>
    </row>
    <row r="83" spans="1:19">
      <c r="A83" s="3" t="s">
        <v>107</v>
      </c>
      <c r="B83" s="3" t="s">
        <v>76</v>
      </c>
      <c r="C83" s="5" t="e">
        <f t="shared" si="15"/>
        <v>#N/A</v>
      </c>
      <c r="D83" s="5" t="e">
        <f t="shared" si="15"/>
        <v>#N/A</v>
      </c>
      <c r="E83" s="5">
        <f t="shared" si="15"/>
        <v>8.8737076655999996</v>
      </c>
      <c r="F83" s="5">
        <f t="shared" si="15"/>
        <v>8.8985764125000006</v>
      </c>
      <c r="G83" s="5">
        <f t="shared" si="15"/>
        <v>8.9174763296999995</v>
      </c>
      <c r="H83" s="5">
        <f t="shared" si="15"/>
        <v>8.9350912964999996</v>
      </c>
      <c r="I83" s="5">
        <f t="shared" si="15"/>
        <v>8.9512097300999987</v>
      </c>
      <c r="J83" s="5">
        <f t="shared" si="15"/>
        <v>0</v>
      </c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3" t="s">
        <v>107</v>
      </c>
      <c r="B84" s="3" t="s">
        <v>77</v>
      </c>
      <c r="C84" s="5" t="e">
        <f t="shared" ref="C84:J93" si="16">INDEX($L$41:$S$54,MATCH($B84,$L$41:$L$54,0),MATCH($A84,$L$41:$S$41,0))*INDEX($A$41:$H$48,MATCH(C$15,$A$41:$A$48,0),MATCH($A84,$A$41:$H$41,0))</f>
        <v>#N/A</v>
      </c>
      <c r="D84" s="5" t="e">
        <f t="shared" si="16"/>
        <v>#N/A</v>
      </c>
      <c r="E84" s="5">
        <f t="shared" si="16"/>
        <v>9.9532341455999997</v>
      </c>
      <c r="F84" s="5">
        <f t="shared" si="16"/>
        <v>9.9811282875000007</v>
      </c>
      <c r="G84" s="5">
        <f t="shared" si="16"/>
        <v>10.0023274647</v>
      </c>
      <c r="H84" s="5">
        <f t="shared" si="16"/>
        <v>10.022085371500001</v>
      </c>
      <c r="I84" s="5">
        <f t="shared" si="16"/>
        <v>10.040164685100001</v>
      </c>
      <c r="J84" s="5">
        <f t="shared" si="16"/>
        <v>0</v>
      </c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3" t="s">
        <v>107</v>
      </c>
      <c r="B85" s="3" t="s">
        <v>78</v>
      </c>
      <c r="C85" s="5" t="e">
        <f t="shared" si="16"/>
        <v>#N/A</v>
      </c>
      <c r="D85" s="5" t="e">
        <f t="shared" si="16"/>
        <v>#N/A</v>
      </c>
      <c r="E85" s="5">
        <f t="shared" si="16"/>
        <v>24.159802622399997</v>
      </c>
      <c r="F85" s="5">
        <f t="shared" si="16"/>
        <v>24.227510962500002</v>
      </c>
      <c r="G85" s="5">
        <f t="shared" si="16"/>
        <v>24.278968401299998</v>
      </c>
      <c r="H85" s="5">
        <f t="shared" si="16"/>
        <v>24.326927398500001</v>
      </c>
      <c r="I85" s="5">
        <f t="shared" si="16"/>
        <v>24.370811892899997</v>
      </c>
      <c r="J85" s="5">
        <f t="shared" si="16"/>
        <v>0</v>
      </c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3" t="s">
        <v>107</v>
      </c>
      <c r="B86" s="3" t="s">
        <v>79</v>
      </c>
      <c r="C86" s="5" t="e">
        <f t="shared" si="16"/>
        <v>#N/A</v>
      </c>
      <c r="D86" s="5" t="e">
        <f t="shared" si="16"/>
        <v>#N/A</v>
      </c>
      <c r="E86" s="5">
        <f t="shared" si="16"/>
        <v>12.306601872</v>
      </c>
      <c r="F86" s="5">
        <f t="shared" si="16"/>
        <v>12.341091375000001</v>
      </c>
      <c r="G86" s="5">
        <f t="shared" si="16"/>
        <v>12.367302939</v>
      </c>
      <c r="H86" s="5">
        <f t="shared" si="16"/>
        <v>12.391732455000001</v>
      </c>
      <c r="I86" s="5">
        <f t="shared" si="16"/>
        <v>12.414086487000001</v>
      </c>
      <c r="J86" s="5">
        <f t="shared" si="16"/>
        <v>0</v>
      </c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3" t="s">
        <v>107</v>
      </c>
      <c r="B87" s="3" t="s">
        <v>80</v>
      </c>
      <c r="C87" s="5" t="e">
        <f t="shared" si="16"/>
        <v>#N/A</v>
      </c>
      <c r="D87" s="5" t="e">
        <f t="shared" si="16"/>
        <v>#N/A</v>
      </c>
      <c r="E87" s="5">
        <f t="shared" si="16"/>
        <v>23.533677263999998</v>
      </c>
      <c r="F87" s="5">
        <f t="shared" si="16"/>
        <v>23.599630875000003</v>
      </c>
      <c r="G87" s="5">
        <f t="shared" si="16"/>
        <v>23.649754742999999</v>
      </c>
      <c r="H87" s="5">
        <f t="shared" si="16"/>
        <v>23.696470835000003</v>
      </c>
      <c r="I87" s="5">
        <f t="shared" si="16"/>
        <v>23.739218018999999</v>
      </c>
      <c r="J87" s="5">
        <f t="shared" si="16"/>
        <v>0</v>
      </c>
      <c r="K87" s="3"/>
      <c r="L87" s="3"/>
      <c r="M87" s="3"/>
      <c r="N87" s="3"/>
      <c r="O87" s="3"/>
      <c r="P87" s="3"/>
      <c r="Q87" s="3"/>
      <c r="R87" s="3"/>
      <c r="S87" s="3"/>
    </row>
    <row r="88" spans="1:19">
      <c r="A88" s="3" t="s">
        <v>107</v>
      </c>
      <c r="B88" s="3" t="s">
        <v>81</v>
      </c>
      <c r="C88" s="5" t="e">
        <f t="shared" si="16"/>
        <v>#N/A</v>
      </c>
      <c r="D88" s="5" t="e">
        <f t="shared" si="16"/>
        <v>#N/A</v>
      </c>
      <c r="E88" s="5">
        <f t="shared" si="16"/>
        <v>39.057268046399997</v>
      </c>
      <c r="F88" s="5">
        <f t="shared" si="16"/>
        <v>39.166726837500001</v>
      </c>
      <c r="G88" s="5">
        <f t="shared" si="16"/>
        <v>39.2499140643</v>
      </c>
      <c r="H88" s="5">
        <f t="shared" si="16"/>
        <v>39.327445633500005</v>
      </c>
      <c r="I88" s="5">
        <f t="shared" si="16"/>
        <v>39.398390271899999</v>
      </c>
      <c r="J88" s="5">
        <f t="shared" si="16"/>
        <v>0</v>
      </c>
      <c r="K88" s="3"/>
      <c r="L88" s="3"/>
      <c r="M88" s="3"/>
      <c r="N88" s="3"/>
      <c r="O88" s="3"/>
      <c r="P88" s="3"/>
      <c r="Q88" s="3"/>
      <c r="R88" s="3"/>
      <c r="S88" s="3"/>
    </row>
    <row r="89" spans="1:19">
      <c r="A89" s="3" t="s">
        <v>107</v>
      </c>
      <c r="B89" s="3" t="s">
        <v>82</v>
      </c>
      <c r="C89" s="5" t="e">
        <f t="shared" si="16"/>
        <v>#N/A</v>
      </c>
      <c r="D89" s="5" t="e">
        <f t="shared" si="16"/>
        <v>#N/A</v>
      </c>
      <c r="E89" s="5">
        <f t="shared" si="16"/>
        <v>17.790596390400001</v>
      </c>
      <c r="F89" s="5">
        <f t="shared" si="16"/>
        <v>17.840454900000001</v>
      </c>
      <c r="G89" s="5">
        <f t="shared" si="16"/>
        <v>17.878346704799998</v>
      </c>
      <c r="H89" s="5">
        <f t="shared" si="16"/>
        <v>17.913662356</v>
      </c>
      <c r="I89" s="5">
        <f t="shared" si="16"/>
        <v>17.9459776584</v>
      </c>
      <c r="J89" s="5">
        <f t="shared" si="16"/>
        <v>0</v>
      </c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3" t="s">
        <v>107</v>
      </c>
      <c r="B90" s="3" t="s">
        <v>83</v>
      </c>
      <c r="C90" s="5" t="e">
        <f t="shared" si="16"/>
        <v>#N/A</v>
      </c>
      <c r="D90" s="5" t="e">
        <f t="shared" si="16"/>
        <v>#N/A</v>
      </c>
      <c r="E90" s="5">
        <f t="shared" si="16"/>
        <v>38.193646862400001</v>
      </c>
      <c r="F90" s="5">
        <f t="shared" si="16"/>
        <v>38.300685337499999</v>
      </c>
      <c r="G90" s="5">
        <f t="shared" si="16"/>
        <v>38.382033156299997</v>
      </c>
      <c r="H90" s="5">
        <f t="shared" si="16"/>
        <v>38.457850373500001</v>
      </c>
      <c r="I90" s="5">
        <f t="shared" si="16"/>
        <v>38.527226307900001</v>
      </c>
      <c r="J90" s="5">
        <f t="shared" si="16"/>
        <v>0</v>
      </c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3" t="s">
        <v>107</v>
      </c>
      <c r="B91" s="3" t="s">
        <v>84</v>
      </c>
      <c r="C91" s="5" t="e">
        <f t="shared" si="16"/>
        <v>#N/A</v>
      </c>
      <c r="D91" s="5" t="e">
        <f t="shared" si="16"/>
        <v>#N/A</v>
      </c>
      <c r="E91" s="5">
        <f t="shared" si="16"/>
        <v>16.9701562656</v>
      </c>
      <c r="F91" s="5">
        <f t="shared" si="16"/>
        <v>17.017715475000003</v>
      </c>
      <c r="G91" s="5">
        <f t="shared" si="16"/>
        <v>17.053859842200001</v>
      </c>
      <c r="H91" s="5">
        <f t="shared" si="16"/>
        <v>17.087546859000003</v>
      </c>
      <c r="I91" s="5">
        <f t="shared" si="16"/>
        <v>17.118371892599999</v>
      </c>
      <c r="J91" s="5">
        <f t="shared" si="16"/>
        <v>0</v>
      </c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A92" s="3" t="s">
        <v>107</v>
      </c>
      <c r="B92" s="3" t="s">
        <v>85</v>
      </c>
      <c r="C92" s="5" t="e">
        <f t="shared" si="16"/>
        <v>#N/A</v>
      </c>
      <c r="D92" s="5" t="e">
        <f t="shared" si="16"/>
        <v>#N/A</v>
      </c>
      <c r="E92" s="5">
        <f t="shared" si="16"/>
        <v>3.7999332096000003</v>
      </c>
      <c r="F92" s="5">
        <f t="shared" si="16"/>
        <v>3.8105826000000005</v>
      </c>
      <c r="G92" s="5">
        <f t="shared" si="16"/>
        <v>3.8186759952</v>
      </c>
      <c r="H92" s="5">
        <f t="shared" si="16"/>
        <v>3.8262191440000004</v>
      </c>
      <c r="I92" s="5">
        <f t="shared" si="16"/>
        <v>3.8331214415999999</v>
      </c>
      <c r="J92" s="5">
        <f t="shared" si="16"/>
        <v>0</v>
      </c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A93" s="3" t="s">
        <v>109</v>
      </c>
      <c r="B93" s="3" t="s">
        <v>73</v>
      </c>
      <c r="C93" s="5" t="e">
        <f t="shared" si="16"/>
        <v>#N/A</v>
      </c>
      <c r="D93" s="5" t="e">
        <f t="shared" si="16"/>
        <v>#N/A</v>
      </c>
      <c r="E93" s="5">
        <f t="shared" si="16"/>
        <v>79.577346470400002</v>
      </c>
      <c r="F93" s="5">
        <f t="shared" si="16"/>
        <v>80.222918664000005</v>
      </c>
      <c r="G93" s="5">
        <f t="shared" si="16"/>
        <v>80.6933945862</v>
      </c>
      <c r="H93" s="5">
        <f t="shared" si="16"/>
        <v>81.345668804400006</v>
      </c>
      <c r="I93" s="5">
        <f t="shared" si="16"/>
        <v>82.004545981800007</v>
      </c>
      <c r="J93" s="5">
        <f t="shared" si="16"/>
        <v>82.601588509999999</v>
      </c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A94" s="3" t="s">
        <v>109</v>
      </c>
      <c r="B94" s="3" t="s">
        <v>74</v>
      </c>
      <c r="C94" s="5" t="e">
        <f t="shared" ref="C94:J103" si="17">INDEX($L$41:$S$54,MATCH($B94,$L$41:$L$54,0),MATCH($A94,$L$41:$S$41,0))*INDEX($A$41:$H$48,MATCH(C$15,$A$41:$A$48,0),MATCH($A94,$A$41:$H$41,0))</f>
        <v>#N/A</v>
      </c>
      <c r="D94" s="5" t="e">
        <f t="shared" si="17"/>
        <v>#N/A</v>
      </c>
      <c r="E94" s="5">
        <f t="shared" si="17"/>
        <v>110.09487254400001</v>
      </c>
      <c r="F94" s="5">
        <f t="shared" si="17"/>
        <v>110.98801854</v>
      </c>
      <c r="G94" s="5">
        <f t="shared" si="17"/>
        <v>111.6389196945</v>
      </c>
      <c r="H94" s="5">
        <f t="shared" si="17"/>
        <v>112.54133790900001</v>
      </c>
      <c r="I94" s="5">
        <f t="shared" si="17"/>
        <v>113.4528912855</v>
      </c>
      <c r="J94" s="5">
        <f t="shared" si="17"/>
        <v>114.27889672500001</v>
      </c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A95" s="3" t="s">
        <v>109</v>
      </c>
      <c r="B95" s="3" t="s">
        <v>75</v>
      </c>
      <c r="C95" s="5" t="e">
        <f t="shared" si="17"/>
        <v>#N/A</v>
      </c>
      <c r="D95" s="5" t="e">
        <f t="shared" si="17"/>
        <v>#N/A</v>
      </c>
      <c r="E95" s="5">
        <f t="shared" si="17"/>
        <v>191.21741020800002</v>
      </c>
      <c r="F95" s="5">
        <f t="shared" si="17"/>
        <v>192.76866378000003</v>
      </c>
      <c r="G95" s="5">
        <f t="shared" si="17"/>
        <v>193.89917631150001</v>
      </c>
      <c r="H95" s="5">
        <f t="shared" si="17"/>
        <v>195.466534263</v>
      </c>
      <c r="I95" s="5">
        <f t="shared" si="17"/>
        <v>197.04975854849999</v>
      </c>
      <c r="J95" s="5">
        <f t="shared" si="17"/>
        <v>198.48439957500003</v>
      </c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3" t="s">
        <v>109</v>
      </c>
      <c r="B96" s="3" t="s">
        <v>76</v>
      </c>
      <c r="C96" s="5" t="e">
        <f t="shared" si="17"/>
        <v>#N/A</v>
      </c>
      <c r="D96" s="5" t="e">
        <f t="shared" si="17"/>
        <v>#N/A</v>
      </c>
      <c r="E96" s="5">
        <f t="shared" si="17"/>
        <v>158.76839514239998</v>
      </c>
      <c r="F96" s="5">
        <f t="shared" si="17"/>
        <v>160.056405684</v>
      </c>
      <c r="G96" s="5">
        <f t="shared" si="17"/>
        <v>160.99507366469999</v>
      </c>
      <c r="H96" s="5">
        <f t="shared" si="17"/>
        <v>162.29645572139998</v>
      </c>
      <c r="I96" s="5">
        <f t="shared" si="17"/>
        <v>163.61101164329997</v>
      </c>
      <c r="J96" s="5">
        <f t="shared" si="17"/>
        <v>164.80219843500001</v>
      </c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3" t="s">
        <v>109</v>
      </c>
      <c r="B97" s="3" t="s">
        <v>77</v>
      </c>
      <c r="C97" s="5" t="e">
        <f t="shared" si="17"/>
        <v>#N/A</v>
      </c>
      <c r="D97" s="5" t="e">
        <f t="shared" si="17"/>
        <v>#N/A</v>
      </c>
      <c r="E97" s="5">
        <f t="shared" si="17"/>
        <v>178.08328506240002</v>
      </c>
      <c r="F97" s="5">
        <f t="shared" si="17"/>
        <v>179.527987884</v>
      </c>
      <c r="G97" s="5">
        <f t="shared" si="17"/>
        <v>180.58084904969999</v>
      </c>
      <c r="H97" s="5">
        <f t="shared" si="17"/>
        <v>182.04055009140001</v>
      </c>
      <c r="I97" s="5">
        <f t="shared" si="17"/>
        <v>183.5150276583</v>
      </c>
      <c r="J97" s="5">
        <f t="shared" si="17"/>
        <v>184.85112768500002</v>
      </c>
      <c r="K97" s="3"/>
      <c r="L97" s="3"/>
      <c r="M97" s="3"/>
      <c r="N97" s="3"/>
      <c r="O97" s="3"/>
      <c r="P97" s="3"/>
      <c r="Q97" s="3"/>
      <c r="R97" s="3"/>
      <c r="S97" s="3"/>
    </row>
    <row r="98" spans="1:19">
      <c r="A98" s="3" t="s">
        <v>109</v>
      </c>
      <c r="B98" s="3" t="s">
        <v>78</v>
      </c>
      <c r="C98" s="5" t="e">
        <f t="shared" si="17"/>
        <v>#N/A</v>
      </c>
      <c r="D98" s="5" t="e">
        <f t="shared" si="17"/>
        <v>#N/A</v>
      </c>
      <c r="E98" s="5">
        <f t="shared" si="17"/>
        <v>432.2672364096</v>
      </c>
      <c r="F98" s="5">
        <f t="shared" si="17"/>
        <v>435.77400963600002</v>
      </c>
      <c r="G98" s="5">
        <f t="shared" si="17"/>
        <v>438.32965311629999</v>
      </c>
      <c r="H98" s="5">
        <f t="shared" si="17"/>
        <v>441.8728320006</v>
      </c>
      <c r="I98" s="5">
        <f t="shared" si="17"/>
        <v>445.45187841569998</v>
      </c>
      <c r="J98" s="5">
        <f t="shared" si="17"/>
        <v>448.69503661500005</v>
      </c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3" t="s">
        <v>109</v>
      </c>
      <c r="B99" s="3" t="s">
        <v>79</v>
      </c>
      <c r="C99" s="5" t="e">
        <f t="shared" si="17"/>
        <v>#N/A</v>
      </c>
      <c r="D99" s="5" t="e">
        <f t="shared" si="17"/>
        <v>#N/A</v>
      </c>
      <c r="E99" s="5">
        <f t="shared" si="17"/>
        <v>220.18974508800002</v>
      </c>
      <c r="F99" s="5">
        <f t="shared" si="17"/>
        <v>221.97603708</v>
      </c>
      <c r="G99" s="5">
        <f t="shared" si="17"/>
        <v>223.27783938900001</v>
      </c>
      <c r="H99" s="5">
        <f t="shared" si="17"/>
        <v>225.08267581800001</v>
      </c>
      <c r="I99" s="5">
        <f t="shared" si="17"/>
        <v>226.905782571</v>
      </c>
      <c r="J99" s="5">
        <f t="shared" si="17"/>
        <v>228.55779345000002</v>
      </c>
      <c r="K99" s="3"/>
      <c r="L99" s="3"/>
      <c r="M99" s="3"/>
      <c r="N99" s="3"/>
      <c r="O99" s="3"/>
      <c r="P99" s="3"/>
      <c r="Q99" s="3"/>
      <c r="R99" s="3"/>
      <c r="S99" s="3"/>
    </row>
    <row r="100" spans="1:19">
      <c r="A100" s="3" t="s">
        <v>109</v>
      </c>
      <c r="B100" s="3" t="s">
        <v>80</v>
      </c>
      <c r="C100" s="5" t="e">
        <f t="shared" si="17"/>
        <v>#N/A</v>
      </c>
      <c r="D100" s="5" t="e">
        <f t="shared" si="17"/>
        <v>#N/A</v>
      </c>
      <c r="E100" s="5">
        <f t="shared" si="17"/>
        <v>421.06460025600001</v>
      </c>
      <c r="F100" s="5">
        <f t="shared" si="17"/>
        <v>424.48049195999999</v>
      </c>
      <c r="G100" s="5">
        <f t="shared" si="17"/>
        <v>426.96990339299998</v>
      </c>
      <c r="H100" s="5">
        <f t="shared" si="17"/>
        <v>430.421257266</v>
      </c>
      <c r="I100" s="5">
        <f t="shared" si="17"/>
        <v>433.90754912699998</v>
      </c>
      <c r="J100" s="5">
        <f t="shared" si="17"/>
        <v>437.06665765000002</v>
      </c>
      <c r="K100" s="3"/>
      <c r="L100" s="3"/>
      <c r="M100" s="3"/>
      <c r="N100" s="3"/>
      <c r="O100" s="3"/>
      <c r="P100" s="3"/>
      <c r="Q100" s="3"/>
      <c r="R100" s="3"/>
      <c r="S100" s="3"/>
    </row>
    <row r="101" spans="1:19">
      <c r="A101" s="3" t="s">
        <v>109</v>
      </c>
      <c r="B101" s="3" t="s">
        <v>81</v>
      </c>
      <c r="C101" s="5" t="e">
        <f t="shared" si="17"/>
        <v>#N/A</v>
      </c>
      <c r="D101" s="5" t="e">
        <f t="shared" si="17"/>
        <v>#N/A</v>
      </c>
      <c r="E101" s="5">
        <f t="shared" si="17"/>
        <v>698.81271730560002</v>
      </c>
      <c r="F101" s="5">
        <f t="shared" si="17"/>
        <v>704.48184399600007</v>
      </c>
      <c r="G101" s="5">
        <f t="shared" si="17"/>
        <v>708.61335342929999</v>
      </c>
      <c r="H101" s="5">
        <f t="shared" si="17"/>
        <v>714.34133430660006</v>
      </c>
      <c r="I101" s="5">
        <f t="shared" si="17"/>
        <v>720.12729942270005</v>
      </c>
      <c r="J101" s="5">
        <f t="shared" si="17"/>
        <v>725.37026026500007</v>
      </c>
      <c r="K101" s="3"/>
      <c r="L101" s="3"/>
      <c r="M101" s="3"/>
      <c r="N101" s="3"/>
      <c r="O101" s="3"/>
      <c r="P101" s="3"/>
      <c r="Q101" s="3"/>
      <c r="R101" s="3"/>
      <c r="S101" s="3"/>
    </row>
    <row r="102" spans="1:19">
      <c r="A102" s="3" t="s">
        <v>109</v>
      </c>
      <c r="B102" s="3" t="s">
        <v>82</v>
      </c>
      <c r="C102" s="5" t="e">
        <f t="shared" si="17"/>
        <v>#N/A</v>
      </c>
      <c r="D102" s="5" t="e">
        <f t="shared" si="17"/>
        <v>#N/A</v>
      </c>
      <c r="E102" s="5">
        <f t="shared" si="17"/>
        <v>318.30938588160001</v>
      </c>
      <c r="F102" s="5">
        <f t="shared" si="17"/>
        <v>320.89167465600002</v>
      </c>
      <c r="G102" s="5">
        <f t="shared" si="17"/>
        <v>322.7735783448</v>
      </c>
      <c r="H102" s="5">
        <f t="shared" si="17"/>
        <v>325.38267521760002</v>
      </c>
      <c r="I102" s="5">
        <f t="shared" si="17"/>
        <v>328.01818392720003</v>
      </c>
      <c r="J102" s="5">
        <f t="shared" si="17"/>
        <v>330.40635404</v>
      </c>
      <c r="K102" s="3"/>
      <c r="L102" s="3"/>
      <c r="M102" s="3"/>
      <c r="N102" s="3"/>
      <c r="O102" s="3"/>
      <c r="P102" s="3"/>
      <c r="Q102" s="3"/>
      <c r="R102" s="3"/>
      <c r="S102" s="3"/>
    </row>
    <row r="103" spans="1:19">
      <c r="A103" s="3" t="s">
        <v>109</v>
      </c>
      <c r="B103" s="3" t="s">
        <v>83</v>
      </c>
      <c r="C103" s="5" t="e">
        <f t="shared" si="17"/>
        <v>#N/A</v>
      </c>
      <c r="D103" s="5" t="e">
        <f t="shared" si="17"/>
        <v>#N/A</v>
      </c>
      <c r="E103" s="5">
        <f t="shared" si="17"/>
        <v>683.36080536960003</v>
      </c>
      <c r="F103" s="5">
        <f t="shared" si="17"/>
        <v>688.90457823600002</v>
      </c>
      <c r="G103" s="5">
        <f t="shared" si="17"/>
        <v>692.94473312130003</v>
      </c>
      <c r="H103" s="5">
        <f t="shared" si="17"/>
        <v>698.54605881060002</v>
      </c>
      <c r="I103" s="5">
        <f t="shared" si="17"/>
        <v>704.20408661069996</v>
      </c>
      <c r="J103" s="5">
        <f t="shared" si="17"/>
        <v>709.33111686500001</v>
      </c>
      <c r="K103" s="3"/>
      <c r="L103" s="3"/>
      <c r="M103" s="3"/>
      <c r="N103" s="3"/>
      <c r="O103" s="3"/>
      <c r="P103" s="3"/>
      <c r="Q103" s="3"/>
      <c r="R103" s="3"/>
      <c r="S103" s="3"/>
    </row>
    <row r="104" spans="1:19">
      <c r="A104" s="3" t="s">
        <v>109</v>
      </c>
      <c r="B104" s="3" t="s">
        <v>84</v>
      </c>
      <c r="C104" s="5" t="e">
        <f t="shared" ref="C104:J113" si="18">INDEX($L$41:$S$54,MATCH($B104,$L$41:$L$54,0),MATCH($A104,$L$41:$S$41,0))*INDEX($A$41:$H$48,MATCH(C$15,$A$41:$A$48,0),MATCH($A104,$A$41:$H$41,0))</f>
        <v>#N/A</v>
      </c>
      <c r="D104" s="5" t="e">
        <f t="shared" si="18"/>
        <v>#N/A</v>
      </c>
      <c r="E104" s="5">
        <f t="shared" si="18"/>
        <v>303.63006954240001</v>
      </c>
      <c r="F104" s="5">
        <f t="shared" si="18"/>
        <v>306.093272184</v>
      </c>
      <c r="G104" s="5">
        <f t="shared" si="18"/>
        <v>307.88838905220001</v>
      </c>
      <c r="H104" s="5">
        <f t="shared" si="18"/>
        <v>310.37716349640004</v>
      </c>
      <c r="I104" s="5">
        <f t="shared" si="18"/>
        <v>312.89113175580002</v>
      </c>
      <c r="J104" s="5">
        <f t="shared" si="18"/>
        <v>315.16916781000003</v>
      </c>
      <c r="K104" s="3"/>
      <c r="L104" s="3"/>
      <c r="M104" s="3"/>
      <c r="N104" s="3"/>
      <c r="O104" s="3"/>
      <c r="P104" s="3"/>
      <c r="Q104" s="3"/>
      <c r="R104" s="3"/>
      <c r="S104" s="3"/>
    </row>
    <row r="105" spans="1:19">
      <c r="A105" s="3" t="s">
        <v>109</v>
      </c>
      <c r="B105" s="3" t="s">
        <v>85</v>
      </c>
      <c r="C105" s="5" t="e">
        <f t="shared" si="18"/>
        <v>#N/A</v>
      </c>
      <c r="D105" s="5" t="e">
        <f t="shared" si="18"/>
        <v>#N/A</v>
      </c>
      <c r="E105" s="5">
        <f t="shared" si="18"/>
        <v>67.988412518400011</v>
      </c>
      <c r="F105" s="5">
        <f t="shared" si="18"/>
        <v>68.539969343999999</v>
      </c>
      <c r="G105" s="5">
        <f t="shared" si="18"/>
        <v>68.941929355200003</v>
      </c>
      <c r="H105" s="5">
        <f t="shared" si="18"/>
        <v>69.499212182400001</v>
      </c>
      <c r="I105" s="5">
        <f t="shared" si="18"/>
        <v>70.062136372799998</v>
      </c>
      <c r="J105" s="5">
        <f t="shared" si="18"/>
        <v>70.572230960000013</v>
      </c>
      <c r="K105" s="3"/>
      <c r="L105" s="3"/>
      <c r="M105" s="3"/>
      <c r="N105" s="3"/>
      <c r="O105" s="3"/>
      <c r="P105" s="3"/>
      <c r="Q105" s="3"/>
      <c r="R105" s="3"/>
      <c r="S105" s="3"/>
    </row>
    <row r="106" spans="1:19">
      <c r="A106" s="3" t="s">
        <v>108</v>
      </c>
      <c r="B106" s="3" t="s">
        <v>73</v>
      </c>
      <c r="C106" s="5" t="e">
        <f t="shared" si="18"/>
        <v>#N/A</v>
      </c>
      <c r="D106" s="5" t="e">
        <f t="shared" si="18"/>
        <v>#N/A</v>
      </c>
      <c r="E106" s="5">
        <f t="shared" si="18"/>
        <v>225.20638982880001</v>
      </c>
      <c r="F106" s="5">
        <f t="shared" si="18"/>
        <v>227.28165661040001</v>
      </c>
      <c r="G106" s="5">
        <f t="shared" si="18"/>
        <v>229.69331768360001</v>
      </c>
      <c r="H106" s="5">
        <f t="shared" si="18"/>
        <v>232.04904117520002</v>
      </c>
      <c r="I106" s="5">
        <f t="shared" si="18"/>
        <v>234.21124515220001</v>
      </c>
      <c r="J106" s="5">
        <f t="shared" si="18"/>
        <v>236.34785722239999</v>
      </c>
      <c r="K106" s="3"/>
      <c r="L106" s="3"/>
      <c r="M106" s="3"/>
      <c r="N106" s="3"/>
      <c r="O106" s="3"/>
      <c r="P106" s="3"/>
      <c r="Q106" s="3"/>
      <c r="R106" s="3"/>
      <c r="S106" s="3"/>
    </row>
    <row r="107" spans="1:19">
      <c r="A107" s="3" t="s">
        <v>108</v>
      </c>
      <c r="B107" s="3" t="s">
        <v>74</v>
      </c>
      <c r="C107" s="5" t="e">
        <f t="shared" si="18"/>
        <v>#N/A</v>
      </c>
      <c r="D107" s="5" t="e">
        <f t="shared" si="18"/>
        <v>#N/A</v>
      </c>
      <c r="E107" s="5">
        <f t="shared" si="18"/>
        <v>181.2534698808</v>
      </c>
      <c r="F107" s="5">
        <f t="shared" si="18"/>
        <v>182.9237124764</v>
      </c>
      <c r="G107" s="5">
        <f t="shared" si="18"/>
        <v>184.86469620259999</v>
      </c>
      <c r="H107" s="5">
        <f t="shared" si="18"/>
        <v>186.7606595332</v>
      </c>
      <c r="I107" s="5">
        <f t="shared" si="18"/>
        <v>188.50087202769998</v>
      </c>
      <c r="J107" s="5">
        <f t="shared" si="18"/>
        <v>190.22048731839999</v>
      </c>
      <c r="K107" s="3"/>
      <c r="L107" s="3"/>
      <c r="M107" s="3"/>
      <c r="N107" s="3"/>
      <c r="O107" s="3"/>
      <c r="P107" s="3"/>
      <c r="Q107" s="3"/>
      <c r="R107" s="3"/>
      <c r="S107" s="3"/>
    </row>
    <row r="108" spans="1:19">
      <c r="A108" s="3" t="s">
        <v>108</v>
      </c>
      <c r="B108" s="3" t="s">
        <v>75</v>
      </c>
      <c r="C108" s="5" t="e">
        <f t="shared" si="18"/>
        <v>#N/A</v>
      </c>
      <c r="D108" s="5" t="e">
        <f t="shared" si="18"/>
        <v>#N/A</v>
      </c>
      <c r="E108" s="5">
        <f t="shared" si="18"/>
        <v>614.92228003440005</v>
      </c>
      <c r="F108" s="5">
        <f t="shared" si="18"/>
        <v>620.58876126519999</v>
      </c>
      <c r="G108" s="5">
        <f t="shared" si="18"/>
        <v>627.17376148180006</v>
      </c>
      <c r="H108" s="5">
        <f t="shared" si="18"/>
        <v>633.60602506760006</v>
      </c>
      <c r="I108" s="5">
        <f t="shared" si="18"/>
        <v>639.50988685610002</v>
      </c>
      <c r="J108" s="5">
        <f t="shared" si="18"/>
        <v>645.34387037120007</v>
      </c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 t="s">
        <v>108</v>
      </c>
      <c r="B109" s="3" t="s">
        <v>76</v>
      </c>
      <c r="C109" s="5" t="e">
        <f t="shared" si="18"/>
        <v>#N/A</v>
      </c>
      <c r="D109" s="5" t="e">
        <f t="shared" si="18"/>
        <v>#N/A</v>
      </c>
      <c r="E109" s="5">
        <f t="shared" si="18"/>
        <v>83.719847520000002</v>
      </c>
      <c r="F109" s="5">
        <f t="shared" si="18"/>
        <v>84.491322159999996</v>
      </c>
      <c r="G109" s="5">
        <f t="shared" si="18"/>
        <v>85.387850440000008</v>
      </c>
      <c r="H109" s="5">
        <f t="shared" si="18"/>
        <v>86.263584080000001</v>
      </c>
      <c r="I109" s="5">
        <f t="shared" si="18"/>
        <v>87.067377379999996</v>
      </c>
      <c r="J109" s="5">
        <f t="shared" si="18"/>
        <v>87.861656960000005</v>
      </c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3" t="s">
        <v>108</v>
      </c>
      <c r="B110" s="3" t="s">
        <v>77</v>
      </c>
      <c r="C110" s="5" t="e">
        <f t="shared" si="18"/>
        <v>#N/A</v>
      </c>
      <c r="D110" s="5" t="e">
        <f t="shared" si="18"/>
        <v>#N/A</v>
      </c>
      <c r="E110" s="5">
        <f t="shared" si="18"/>
        <v>286.32187851840001</v>
      </c>
      <c r="F110" s="5">
        <f t="shared" si="18"/>
        <v>288.96032178720003</v>
      </c>
      <c r="G110" s="5">
        <f t="shared" si="18"/>
        <v>292.02644850480004</v>
      </c>
      <c r="H110" s="5">
        <f t="shared" si="18"/>
        <v>295.02145755359999</v>
      </c>
      <c r="I110" s="5">
        <f t="shared" si="18"/>
        <v>297.77043063960002</v>
      </c>
      <c r="J110" s="5">
        <f t="shared" si="18"/>
        <v>300.48686680320003</v>
      </c>
      <c r="K110" s="3"/>
      <c r="L110" s="3"/>
      <c r="M110" s="3"/>
      <c r="N110" s="3"/>
      <c r="O110" s="3"/>
      <c r="P110" s="3"/>
      <c r="Q110" s="3"/>
      <c r="R110" s="3"/>
      <c r="S110" s="3"/>
    </row>
    <row r="111" spans="1:19">
      <c r="A111" s="3" t="s">
        <v>108</v>
      </c>
      <c r="B111" s="3" t="s">
        <v>78</v>
      </c>
      <c r="C111" s="5" t="e">
        <f t="shared" si="18"/>
        <v>#N/A</v>
      </c>
      <c r="D111" s="5" t="e">
        <f t="shared" si="18"/>
        <v>#N/A</v>
      </c>
      <c r="E111" s="5">
        <f t="shared" si="18"/>
        <v>108.835801776</v>
      </c>
      <c r="F111" s="5">
        <f t="shared" si="18"/>
        <v>109.838718808</v>
      </c>
      <c r="G111" s="5">
        <f t="shared" si="18"/>
        <v>111.004205572</v>
      </c>
      <c r="H111" s="5">
        <f t="shared" si="18"/>
        <v>112.14265930399999</v>
      </c>
      <c r="I111" s="5">
        <f t="shared" si="18"/>
        <v>113.18759059399999</v>
      </c>
      <c r="J111" s="5">
        <f t="shared" si="18"/>
        <v>114.220154048</v>
      </c>
      <c r="K111" s="3"/>
      <c r="L111" s="3"/>
      <c r="M111" s="3"/>
      <c r="N111" s="3"/>
      <c r="O111" s="3"/>
      <c r="P111" s="3"/>
      <c r="Q111" s="3"/>
      <c r="R111" s="3"/>
      <c r="S111" s="3"/>
    </row>
    <row r="112" spans="1:19">
      <c r="A112" s="3" t="s">
        <v>108</v>
      </c>
      <c r="B112" s="3" t="s">
        <v>79</v>
      </c>
      <c r="C112" s="5" t="e">
        <f t="shared" si="18"/>
        <v>#N/A</v>
      </c>
      <c r="D112" s="5" t="e">
        <f t="shared" si="18"/>
        <v>#N/A</v>
      </c>
      <c r="E112" s="5">
        <f t="shared" si="18"/>
        <v>265.81051587600001</v>
      </c>
      <c r="F112" s="5">
        <f t="shared" si="18"/>
        <v>268.25994785799998</v>
      </c>
      <c r="G112" s="5">
        <f t="shared" si="18"/>
        <v>271.10642514699998</v>
      </c>
      <c r="H112" s="5">
        <f t="shared" si="18"/>
        <v>273.886879454</v>
      </c>
      <c r="I112" s="5">
        <f t="shared" si="18"/>
        <v>276.4389231815</v>
      </c>
      <c r="J112" s="5">
        <f t="shared" si="18"/>
        <v>278.96076084800001</v>
      </c>
      <c r="K112" s="3"/>
      <c r="L112" s="3"/>
      <c r="M112" s="3"/>
      <c r="N112" s="3"/>
      <c r="O112" s="3"/>
      <c r="P112" s="3"/>
      <c r="Q112" s="3"/>
      <c r="R112" s="3"/>
      <c r="S112" s="3"/>
    </row>
    <row r="113" spans="1:19">
      <c r="A113" s="3" t="s">
        <v>108</v>
      </c>
      <c r="B113" s="3" t="s">
        <v>80</v>
      </c>
      <c r="C113" s="5" t="e">
        <f t="shared" si="18"/>
        <v>#N/A</v>
      </c>
      <c r="D113" s="5" t="e">
        <f t="shared" si="18"/>
        <v>#N/A</v>
      </c>
      <c r="E113" s="5">
        <f t="shared" si="18"/>
        <v>267.06631358879997</v>
      </c>
      <c r="F113" s="5">
        <f t="shared" si="18"/>
        <v>269.52731769039997</v>
      </c>
      <c r="G113" s="5">
        <f t="shared" si="18"/>
        <v>272.3872429036</v>
      </c>
      <c r="H113" s="5">
        <f t="shared" si="18"/>
        <v>275.18083321519998</v>
      </c>
      <c r="I113" s="5">
        <f t="shared" si="18"/>
        <v>277.7449338422</v>
      </c>
      <c r="J113" s="5">
        <f t="shared" si="18"/>
        <v>280.27868570239997</v>
      </c>
      <c r="K113" s="3"/>
      <c r="L113" s="3"/>
      <c r="M113" s="3"/>
      <c r="N113" s="3"/>
      <c r="O113" s="3"/>
      <c r="P113" s="3"/>
      <c r="Q113" s="3"/>
      <c r="R113" s="3"/>
      <c r="S113" s="3"/>
    </row>
    <row r="114" spans="1:19">
      <c r="A114" s="3" t="s">
        <v>108</v>
      </c>
      <c r="B114" s="3" t="s">
        <v>81</v>
      </c>
      <c r="C114" s="5" t="e">
        <f t="shared" ref="C114:J123" si="19">INDEX($L$41:$S$54,MATCH($B114,$L$41:$L$54,0),MATCH($A114,$L$41:$S$41,0))*INDEX($A$41:$H$48,MATCH(C$15,$A$41:$A$48,0),MATCH($A114,$A$41:$H$41,0))</f>
        <v>#N/A</v>
      </c>
      <c r="D114" s="5" t="e">
        <f t="shared" si="19"/>
        <v>#N/A</v>
      </c>
      <c r="E114" s="5">
        <f t="shared" si="19"/>
        <v>794.08275372720004</v>
      </c>
      <c r="F114" s="5">
        <f t="shared" si="19"/>
        <v>801.4001906876</v>
      </c>
      <c r="G114" s="5">
        <f t="shared" si="19"/>
        <v>809.90376142340006</v>
      </c>
      <c r="H114" s="5">
        <f t="shared" si="19"/>
        <v>818.21009499880006</v>
      </c>
      <c r="I114" s="5">
        <f t="shared" si="19"/>
        <v>825.83407444930003</v>
      </c>
      <c r="J114" s="5">
        <f t="shared" si="19"/>
        <v>833.36781626560003</v>
      </c>
      <c r="K114" s="3"/>
      <c r="L114" s="3"/>
      <c r="M114" s="3"/>
      <c r="N114" s="3"/>
      <c r="O114" s="3"/>
      <c r="P114" s="3"/>
      <c r="Q114" s="3"/>
      <c r="R114" s="3"/>
      <c r="S114" s="3"/>
    </row>
    <row r="115" spans="1:19">
      <c r="A115" s="3" t="s">
        <v>108</v>
      </c>
      <c r="B115" s="3" t="s">
        <v>82</v>
      </c>
      <c r="C115" s="5" t="e">
        <f t="shared" si="19"/>
        <v>#N/A</v>
      </c>
      <c r="D115" s="5" t="e">
        <f t="shared" si="19"/>
        <v>#N/A</v>
      </c>
      <c r="E115" s="5">
        <f t="shared" si="19"/>
        <v>322.74001218960001</v>
      </c>
      <c r="F115" s="5">
        <f t="shared" si="19"/>
        <v>325.71404692679999</v>
      </c>
      <c r="G115" s="5">
        <f t="shared" si="19"/>
        <v>329.17016344620004</v>
      </c>
      <c r="H115" s="5">
        <f t="shared" si="19"/>
        <v>332.5461166284</v>
      </c>
      <c r="I115" s="5">
        <f t="shared" si="19"/>
        <v>335.64473979989998</v>
      </c>
      <c r="J115" s="5">
        <f t="shared" si="19"/>
        <v>338.70668758080001</v>
      </c>
      <c r="K115" s="3"/>
      <c r="L115" s="3"/>
      <c r="M115" s="3"/>
      <c r="N115" s="3"/>
      <c r="O115" s="3"/>
      <c r="P115" s="3"/>
      <c r="Q115" s="3"/>
      <c r="R115" s="3"/>
      <c r="S115" s="3"/>
    </row>
    <row r="116" spans="1:19">
      <c r="A116" s="3" t="s">
        <v>108</v>
      </c>
      <c r="B116" s="3" t="s">
        <v>83</v>
      </c>
      <c r="C116" s="5" t="e">
        <f t="shared" si="19"/>
        <v>#N/A</v>
      </c>
      <c r="D116" s="5" t="e">
        <f t="shared" si="19"/>
        <v>#N/A</v>
      </c>
      <c r="E116" s="5">
        <f t="shared" si="19"/>
        <v>543.76040964239996</v>
      </c>
      <c r="F116" s="5">
        <f t="shared" si="19"/>
        <v>548.77113742919994</v>
      </c>
      <c r="G116" s="5">
        <f t="shared" si="19"/>
        <v>554.5940886077999</v>
      </c>
      <c r="H116" s="5">
        <f t="shared" si="19"/>
        <v>560.28197859959994</v>
      </c>
      <c r="I116" s="5">
        <f t="shared" si="19"/>
        <v>565.50261608309995</v>
      </c>
      <c r="J116" s="5">
        <f t="shared" si="19"/>
        <v>570.66146195519991</v>
      </c>
      <c r="K116" s="3"/>
      <c r="L116" s="3"/>
      <c r="M116" s="3"/>
      <c r="N116" s="3"/>
      <c r="O116" s="3"/>
      <c r="P116" s="3"/>
      <c r="Q116" s="3"/>
      <c r="R116" s="3"/>
      <c r="S116" s="3"/>
    </row>
    <row r="117" spans="1:19">
      <c r="A117" s="3" t="s">
        <v>108</v>
      </c>
      <c r="B117" s="3" t="s">
        <v>84</v>
      </c>
      <c r="C117" s="5" t="e">
        <f t="shared" si="19"/>
        <v>#N/A</v>
      </c>
      <c r="D117" s="5" t="e">
        <f t="shared" si="19"/>
        <v>#N/A</v>
      </c>
      <c r="E117" s="5">
        <f t="shared" si="19"/>
        <v>226.46218754160003</v>
      </c>
      <c r="F117" s="5">
        <f t="shared" si="19"/>
        <v>228.5490264428</v>
      </c>
      <c r="G117" s="5">
        <f t="shared" si="19"/>
        <v>230.9741354402</v>
      </c>
      <c r="H117" s="5">
        <f t="shared" si="19"/>
        <v>233.3429949364</v>
      </c>
      <c r="I117" s="5">
        <f t="shared" si="19"/>
        <v>235.5172558129</v>
      </c>
      <c r="J117" s="5">
        <f t="shared" si="19"/>
        <v>237.66578207680001</v>
      </c>
      <c r="K117" s="3"/>
      <c r="L117" s="3"/>
      <c r="M117" s="3"/>
      <c r="N117" s="3"/>
      <c r="O117" s="3"/>
      <c r="P117" s="3"/>
      <c r="Q117" s="3"/>
      <c r="R117" s="3"/>
      <c r="S117" s="3"/>
    </row>
    <row r="118" spans="1:19">
      <c r="A118" s="3" t="s">
        <v>108</v>
      </c>
      <c r="B118" s="3" t="s">
        <v>85</v>
      </c>
      <c r="C118" s="5" t="e">
        <f t="shared" si="19"/>
        <v>#N/A</v>
      </c>
      <c r="D118" s="5" t="e">
        <f t="shared" si="19"/>
        <v>#N/A</v>
      </c>
      <c r="E118" s="5">
        <f t="shared" si="19"/>
        <v>265.39191663840001</v>
      </c>
      <c r="F118" s="5">
        <f t="shared" si="19"/>
        <v>267.83749124719998</v>
      </c>
      <c r="G118" s="5">
        <f t="shared" si="19"/>
        <v>270.6794858948</v>
      </c>
      <c r="H118" s="5">
        <f t="shared" si="19"/>
        <v>273.45556153360002</v>
      </c>
      <c r="I118" s="5">
        <f t="shared" si="19"/>
        <v>276.00358629459998</v>
      </c>
      <c r="J118" s="5">
        <f t="shared" si="19"/>
        <v>278.5214525632</v>
      </c>
      <c r="K118" s="3"/>
      <c r="L118" s="3"/>
      <c r="M118" s="3"/>
      <c r="N118" s="3"/>
      <c r="O118" s="3"/>
      <c r="P118" s="3"/>
      <c r="Q118" s="3"/>
      <c r="R118" s="3"/>
      <c r="S118" s="3"/>
    </row>
    <row r="119" spans="1:19">
      <c r="A119" s="3" t="s">
        <v>110</v>
      </c>
      <c r="B119" s="3" t="s">
        <v>73</v>
      </c>
      <c r="C119" s="5" t="e">
        <f t="shared" si="19"/>
        <v>#N/A</v>
      </c>
      <c r="D119" s="5" t="e">
        <f t="shared" si="19"/>
        <v>#N/A</v>
      </c>
      <c r="E119" s="5">
        <f t="shared" si="19"/>
        <v>55.406999999999996</v>
      </c>
      <c r="F119" s="5">
        <f t="shared" si="19"/>
        <v>55.807200000000002</v>
      </c>
      <c r="G119" s="5">
        <f t="shared" si="19"/>
        <v>56.924999999999997</v>
      </c>
      <c r="H119" s="5">
        <f t="shared" si="19"/>
        <v>57.766799999999996</v>
      </c>
      <c r="I119" s="5">
        <f t="shared" si="19"/>
        <v>58.636200000000002</v>
      </c>
      <c r="J119" s="5">
        <f t="shared" si="19"/>
        <v>59.533200000000001</v>
      </c>
      <c r="K119" s="3"/>
      <c r="L119" s="3"/>
      <c r="M119" s="3"/>
      <c r="N119" s="3"/>
      <c r="O119" s="3"/>
      <c r="P119" s="3"/>
      <c r="Q119" s="3"/>
      <c r="R119" s="3"/>
      <c r="S119" s="3"/>
    </row>
    <row r="120" spans="1:19">
      <c r="A120" s="3" t="s">
        <v>110</v>
      </c>
      <c r="B120" s="3" t="s">
        <v>74</v>
      </c>
      <c r="C120" s="5" t="e">
        <f t="shared" si="19"/>
        <v>#N/A</v>
      </c>
      <c r="D120" s="5" t="e">
        <f t="shared" si="19"/>
        <v>#N/A</v>
      </c>
      <c r="E120" s="5">
        <f t="shared" si="19"/>
        <v>42.960499999999996</v>
      </c>
      <c r="F120" s="5">
        <f t="shared" si="19"/>
        <v>43.270800000000001</v>
      </c>
      <c r="G120" s="5">
        <f t="shared" si="19"/>
        <v>44.137499999999996</v>
      </c>
      <c r="H120" s="5">
        <f t="shared" si="19"/>
        <v>44.790199999999999</v>
      </c>
      <c r="I120" s="5">
        <f t="shared" si="19"/>
        <v>45.464299999999994</v>
      </c>
      <c r="J120" s="5">
        <f t="shared" si="19"/>
        <v>46.159799999999997</v>
      </c>
      <c r="K120" s="3"/>
      <c r="L120" s="3"/>
      <c r="M120" s="3"/>
      <c r="N120" s="3"/>
      <c r="O120" s="3"/>
      <c r="P120" s="3"/>
      <c r="Q120" s="3"/>
      <c r="R120" s="3"/>
      <c r="S120" s="3"/>
    </row>
    <row r="121" spans="1:19">
      <c r="A121" s="3" t="s">
        <v>110</v>
      </c>
      <c r="B121" s="3" t="s">
        <v>75</v>
      </c>
      <c r="C121" s="5" t="e">
        <f t="shared" si="19"/>
        <v>#N/A</v>
      </c>
      <c r="D121" s="5" t="e">
        <f t="shared" si="19"/>
        <v>#N/A</v>
      </c>
      <c r="E121" s="5">
        <f t="shared" si="19"/>
        <v>223.23399999999998</v>
      </c>
      <c r="F121" s="5">
        <f t="shared" si="19"/>
        <v>224.84639999999999</v>
      </c>
      <c r="G121" s="5">
        <f t="shared" si="19"/>
        <v>229.35</v>
      </c>
      <c r="H121" s="5">
        <f t="shared" si="19"/>
        <v>232.74159999999998</v>
      </c>
      <c r="I121" s="5">
        <f t="shared" si="19"/>
        <v>236.24439999999998</v>
      </c>
      <c r="J121" s="5">
        <f t="shared" si="19"/>
        <v>239.85839999999999</v>
      </c>
      <c r="K121" s="3"/>
      <c r="L121" s="3"/>
      <c r="M121" s="3"/>
      <c r="N121" s="3"/>
      <c r="O121" s="3"/>
      <c r="P121" s="3"/>
      <c r="Q121" s="3"/>
      <c r="R121" s="3"/>
      <c r="S121" s="3"/>
    </row>
    <row r="122" spans="1:19">
      <c r="A122" s="3" t="s">
        <v>110</v>
      </c>
      <c r="B122" s="3" t="s">
        <v>76</v>
      </c>
      <c r="C122" s="5" t="e">
        <f t="shared" si="19"/>
        <v>#N/A</v>
      </c>
      <c r="D122" s="5" t="e">
        <f t="shared" si="19"/>
        <v>#N/A</v>
      </c>
      <c r="E122" s="5">
        <f t="shared" si="19"/>
        <v>82.307500000000005</v>
      </c>
      <c r="F122" s="5">
        <f t="shared" si="19"/>
        <v>82.902000000000001</v>
      </c>
      <c r="G122" s="5">
        <f t="shared" si="19"/>
        <v>84.5625</v>
      </c>
      <c r="H122" s="5">
        <f t="shared" si="19"/>
        <v>85.813000000000002</v>
      </c>
      <c r="I122" s="5">
        <f t="shared" si="19"/>
        <v>87.104500000000002</v>
      </c>
      <c r="J122" s="5">
        <f t="shared" si="19"/>
        <v>88.436999999999998</v>
      </c>
      <c r="K122" s="3"/>
      <c r="L122" s="3"/>
      <c r="M122" s="3"/>
      <c r="N122" s="3"/>
      <c r="O122" s="3"/>
      <c r="P122" s="3"/>
      <c r="Q122" s="3"/>
      <c r="R122" s="3"/>
      <c r="S122" s="3"/>
    </row>
    <row r="123" spans="1:19">
      <c r="A123" s="3" t="s">
        <v>110</v>
      </c>
      <c r="B123" s="3" t="s">
        <v>77</v>
      </c>
      <c r="C123" s="5" t="e">
        <f t="shared" si="19"/>
        <v>#N/A</v>
      </c>
      <c r="D123" s="5" t="e">
        <f t="shared" si="19"/>
        <v>#N/A</v>
      </c>
      <c r="E123" s="5">
        <f t="shared" si="19"/>
        <v>63.838500000000003</v>
      </c>
      <c r="F123" s="5">
        <f t="shared" si="19"/>
        <v>64.299599999999998</v>
      </c>
      <c r="G123" s="5">
        <f t="shared" si="19"/>
        <v>65.587500000000006</v>
      </c>
      <c r="H123" s="5">
        <f t="shared" si="19"/>
        <v>66.557400000000001</v>
      </c>
      <c r="I123" s="5">
        <f t="shared" si="19"/>
        <v>67.559100000000001</v>
      </c>
      <c r="J123" s="5">
        <f t="shared" si="19"/>
        <v>68.592600000000004</v>
      </c>
      <c r="K123" s="3"/>
      <c r="L123" s="3"/>
      <c r="M123" s="3"/>
      <c r="N123" s="3"/>
      <c r="O123" s="3"/>
      <c r="P123" s="3"/>
      <c r="Q123" s="3"/>
      <c r="R123" s="3"/>
      <c r="S123" s="3"/>
    </row>
    <row r="124" spans="1:19">
      <c r="A124" s="3" t="s">
        <v>110</v>
      </c>
      <c r="B124" s="3" t="s">
        <v>78</v>
      </c>
      <c r="C124" s="5" t="e">
        <f t="shared" ref="C124:J133" si="20">INDEX($L$41:$S$54,MATCH($B124,$L$41:$L$54,0),MATCH($A124,$L$41:$S$41,0))*INDEX($A$41:$H$48,MATCH(C$15,$A$41:$A$48,0),MATCH($A124,$A$41:$H$41,0))</f>
        <v>#N/A</v>
      </c>
      <c r="D124" s="5" t="e">
        <f t="shared" si="20"/>
        <v>#N/A</v>
      </c>
      <c r="E124" s="5">
        <f t="shared" si="20"/>
        <v>608.67400000000009</v>
      </c>
      <c r="F124" s="5">
        <f t="shared" si="20"/>
        <v>613.07040000000006</v>
      </c>
      <c r="G124" s="5">
        <f t="shared" si="20"/>
        <v>625.35</v>
      </c>
      <c r="H124" s="5">
        <f t="shared" si="20"/>
        <v>634.59760000000006</v>
      </c>
      <c r="I124" s="5">
        <f t="shared" si="20"/>
        <v>644.14840000000004</v>
      </c>
      <c r="J124" s="5">
        <f t="shared" si="20"/>
        <v>654.00240000000008</v>
      </c>
      <c r="K124" s="3"/>
      <c r="L124" s="3"/>
      <c r="M124" s="3"/>
      <c r="N124" s="3"/>
      <c r="O124" s="3"/>
      <c r="P124" s="3"/>
      <c r="Q124" s="3"/>
      <c r="R124" s="3"/>
      <c r="S124" s="3"/>
    </row>
    <row r="125" spans="1:19">
      <c r="A125" s="3" t="s">
        <v>110</v>
      </c>
      <c r="B125" s="3" t="s">
        <v>79</v>
      </c>
      <c r="C125" s="5" t="e">
        <f t="shared" si="20"/>
        <v>#N/A</v>
      </c>
      <c r="D125" s="5" t="e">
        <f t="shared" si="20"/>
        <v>#N/A</v>
      </c>
      <c r="E125" s="5">
        <f t="shared" si="20"/>
        <v>899.36</v>
      </c>
      <c r="F125" s="5">
        <f t="shared" si="20"/>
        <v>905.85599999999999</v>
      </c>
      <c r="G125" s="5">
        <f t="shared" si="20"/>
        <v>924</v>
      </c>
      <c r="H125" s="5">
        <f t="shared" si="20"/>
        <v>937.66399999999999</v>
      </c>
      <c r="I125" s="5">
        <f t="shared" si="20"/>
        <v>951.77600000000007</v>
      </c>
      <c r="J125" s="5">
        <f t="shared" si="20"/>
        <v>966.33600000000001</v>
      </c>
      <c r="K125" s="3"/>
      <c r="L125" s="3"/>
      <c r="M125" s="3"/>
      <c r="N125" s="3"/>
      <c r="O125" s="3"/>
      <c r="P125" s="3"/>
      <c r="Q125" s="3"/>
      <c r="R125" s="3"/>
      <c r="S125" s="3"/>
    </row>
    <row r="126" spans="1:19">
      <c r="A126" s="3" t="s">
        <v>110</v>
      </c>
      <c r="B126" s="3" t="s">
        <v>80</v>
      </c>
      <c r="C126" s="5" t="e">
        <f t="shared" si="20"/>
        <v>#N/A</v>
      </c>
      <c r="D126" s="5" t="e">
        <f t="shared" si="20"/>
        <v>#N/A</v>
      </c>
      <c r="E126" s="5">
        <f t="shared" si="20"/>
        <v>175.054</v>
      </c>
      <c r="F126" s="5">
        <f t="shared" si="20"/>
        <v>176.3184</v>
      </c>
      <c r="G126" s="5">
        <f t="shared" si="20"/>
        <v>179.85</v>
      </c>
      <c r="H126" s="5">
        <f t="shared" si="20"/>
        <v>182.50960000000001</v>
      </c>
      <c r="I126" s="5">
        <f t="shared" si="20"/>
        <v>185.25640000000001</v>
      </c>
      <c r="J126" s="5">
        <f t="shared" si="20"/>
        <v>188.09039999999999</v>
      </c>
      <c r="K126" s="3"/>
      <c r="L126" s="3"/>
      <c r="M126" s="3"/>
      <c r="N126" s="3"/>
      <c r="O126" s="3"/>
      <c r="P126" s="3"/>
      <c r="Q126" s="3"/>
      <c r="R126" s="3"/>
      <c r="S126" s="3"/>
    </row>
    <row r="127" spans="1:19">
      <c r="A127" s="3" t="s">
        <v>110</v>
      </c>
      <c r="B127" s="3" t="s">
        <v>81</v>
      </c>
      <c r="C127" s="5" t="e">
        <f t="shared" si="20"/>
        <v>#N/A</v>
      </c>
      <c r="D127" s="5" t="e">
        <f t="shared" si="20"/>
        <v>#N/A</v>
      </c>
      <c r="E127" s="5">
        <f t="shared" si="20"/>
        <v>694.19349999999997</v>
      </c>
      <c r="F127" s="5">
        <f t="shared" si="20"/>
        <v>699.20759999999996</v>
      </c>
      <c r="G127" s="5">
        <f t="shared" si="20"/>
        <v>713.21249999999998</v>
      </c>
      <c r="H127" s="5">
        <f t="shared" si="20"/>
        <v>723.75940000000003</v>
      </c>
      <c r="I127" s="5">
        <f t="shared" si="20"/>
        <v>734.65210000000002</v>
      </c>
      <c r="J127" s="5">
        <f t="shared" si="20"/>
        <v>745.89059999999995</v>
      </c>
      <c r="K127" s="3"/>
      <c r="L127" s="3"/>
      <c r="M127" s="3"/>
      <c r="N127" s="3"/>
      <c r="O127" s="3"/>
      <c r="P127" s="3"/>
      <c r="Q127" s="3"/>
      <c r="R127" s="3"/>
      <c r="S127" s="3"/>
    </row>
    <row r="128" spans="1:19">
      <c r="A128" s="3" t="s">
        <v>110</v>
      </c>
      <c r="B128" s="3" t="s">
        <v>82</v>
      </c>
      <c r="C128" s="5" t="e">
        <f t="shared" si="20"/>
        <v>#N/A</v>
      </c>
      <c r="D128" s="5" t="e">
        <f t="shared" si="20"/>
        <v>#N/A</v>
      </c>
      <c r="E128" s="5">
        <f t="shared" si="20"/>
        <v>225.2415</v>
      </c>
      <c r="F128" s="5">
        <f t="shared" si="20"/>
        <v>226.86839999999998</v>
      </c>
      <c r="G128" s="5">
        <f t="shared" si="20"/>
        <v>231.41249999999999</v>
      </c>
      <c r="H128" s="5">
        <f t="shared" si="20"/>
        <v>234.83459999999999</v>
      </c>
      <c r="I128" s="5">
        <f t="shared" si="20"/>
        <v>238.3689</v>
      </c>
      <c r="J128" s="5">
        <f t="shared" si="20"/>
        <v>242.0154</v>
      </c>
      <c r="K128" s="3"/>
      <c r="L128" s="3"/>
      <c r="M128" s="3"/>
      <c r="N128" s="3"/>
      <c r="O128" s="3"/>
      <c r="P128" s="3"/>
      <c r="Q128" s="3"/>
      <c r="R128" s="3"/>
      <c r="S128" s="3"/>
    </row>
    <row r="129" spans="1:19">
      <c r="A129" s="3" t="s">
        <v>110</v>
      </c>
      <c r="B129" s="3" t="s">
        <v>83</v>
      </c>
      <c r="C129" s="5" t="e">
        <f t="shared" si="20"/>
        <v>#N/A</v>
      </c>
      <c r="D129" s="5" t="e">
        <f t="shared" si="20"/>
        <v>#N/A</v>
      </c>
      <c r="E129" s="5">
        <f t="shared" si="20"/>
        <v>379.41750000000002</v>
      </c>
      <c r="F129" s="5">
        <f t="shared" si="20"/>
        <v>382.15800000000002</v>
      </c>
      <c r="G129" s="5">
        <f t="shared" si="20"/>
        <v>389.8125</v>
      </c>
      <c r="H129" s="5">
        <f t="shared" si="20"/>
        <v>395.577</v>
      </c>
      <c r="I129" s="5">
        <f t="shared" si="20"/>
        <v>401.53050000000002</v>
      </c>
      <c r="J129" s="5">
        <f t="shared" si="20"/>
        <v>407.673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1:19">
      <c r="A130" s="3" t="s">
        <v>110</v>
      </c>
      <c r="B130" s="3" t="s">
        <v>84</v>
      </c>
      <c r="C130" s="5" t="e">
        <f t="shared" si="20"/>
        <v>#N/A</v>
      </c>
      <c r="D130" s="5" t="e">
        <f t="shared" si="20"/>
        <v>#N/A</v>
      </c>
      <c r="E130" s="5">
        <f t="shared" si="20"/>
        <v>202.75750000000002</v>
      </c>
      <c r="F130" s="5">
        <f t="shared" si="20"/>
        <v>204.22200000000001</v>
      </c>
      <c r="G130" s="5">
        <f t="shared" si="20"/>
        <v>208.3125</v>
      </c>
      <c r="H130" s="5">
        <f t="shared" si="20"/>
        <v>211.393</v>
      </c>
      <c r="I130" s="5">
        <f t="shared" si="20"/>
        <v>214.5745</v>
      </c>
      <c r="J130" s="5">
        <f t="shared" si="20"/>
        <v>217.85700000000003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1:19">
      <c r="A131" s="3" t="s">
        <v>110</v>
      </c>
      <c r="B131" s="3" t="s">
        <v>85</v>
      </c>
      <c r="C131" s="5" t="e">
        <f t="shared" si="20"/>
        <v>#N/A</v>
      </c>
      <c r="D131" s="5" t="e">
        <f t="shared" si="20"/>
        <v>#N/A</v>
      </c>
      <c r="E131" s="5">
        <f t="shared" si="20"/>
        <v>362.15300000000002</v>
      </c>
      <c r="F131" s="5">
        <f t="shared" si="20"/>
        <v>364.7688</v>
      </c>
      <c r="G131" s="5">
        <f t="shared" si="20"/>
        <v>372.07499999999999</v>
      </c>
      <c r="H131" s="5">
        <f t="shared" si="20"/>
        <v>377.5772</v>
      </c>
      <c r="I131" s="5">
        <f t="shared" si="20"/>
        <v>383.25979999999998</v>
      </c>
      <c r="J131" s="5">
        <f t="shared" si="20"/>
        <v>389.12279999999998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1:19">
      <c r="A132" s="3" t="s">
        <v>111</v>
      </c>
      <c r="B132" s="3" t="s">
        <v>73</v>
      </c>
      <c r="C132" s="5" t="e">
        <f t="shared" si="20"/>
        <v>#N/A</v>
      </c>
      <c r="D132" s="5" t="e">
        <f t="shared" si="20"/>
        <v>#N/A</v>
      </c>
      <c r="E132" s="5">
        <f t="shared" si="20"/>
        <v>260.24486400000001</v>
      </c>
      <c r="F132" s="5">
        <f t="shared" si="20"/>
        <v>262.04979768000004</v>
      </c>
      <c r="G132" s="5">
        <f t="shared" si="20"/>
        <v>264.41605248000002</v>
      </c>
      <c r="H132" s="5">
        <f t="shared" si="20"/>
        <v>267.02982151999998</v>
      </c>
      <c r="I132" s="5">
        <f t="shared" si="20"/>
        <v>269.88753592</v>
      </c>
      <c r="J132" s="5">
        <f t="shared" si="20"/>
        <v>272.74764776000001</v>
      </c>
      <c r="K132" s="3"/>
      <c r="L132" s="3"/>
      <c r="M132" s="3"/>
      <c r="N132" s="3"/>
      <c r="O132" s="3"/>
      <c r="P132" s="3"/>
      <c r="Q132" s="3"/>
      <c r="R132" s="3"/>
      <c r="S132" s="3"/>
    </row>
    <row r="133" spans="1:19">
      <c r="A133" s="3" t="s">
        <v>111</v>
      </c>
      <c r="B133" s="3" t="s">
        <v>74</v>
      </c>
      <c r="C133" s="5" t="e">
        <f t="shared" si="20"/>
        <v>#N/A</v>
      </c>
      <c r="D133" s="5" t="e">
        <f t="shared" si="20"/>
        <v>#N/A</v>
      </c>
      <c r="E133" s="5">
        <f t="shared" si="20"/>
        <v>260.24486400000001</v>
      </c>
      <c r="F133" s="5">
        <f t="shared" si="20"/>
        <v>262.04979768000004</v>
      </c>
      <c r="G133" s="5">
        <f t="shared" si="20"/>
        <v>264.41605248000002</v>
      </c>
      <c r="H133" s="5">
        <f t="shared" si="20"/>
        <v>267.02982151999998</v>
      </c>
      <c r="I133" s="5">
        <f t="shared" si="20"/>
        <v>269.88753592</v>
      </c>
      <c r="J133" s="5">
        <f t="shared" si="20"/>
        <v>272.74764776000001</v>
      </c>
      <c r="K133" s="3"/>
      <c r="L133" s="3"/>
      <c r="M133" s="3"/>
      <c r="N133" s="3"/>
      <c r="O133" s="3"/>
      <c r="P133" s="3"/>
      <c r="Q133" s="3"/>
      <c r="R133" s="3"/>
      <c r="S133" s="3"/>
    </row>
    <row r="134" spans="1:19">
      <c r="A134" s="3" t="s">
        <v>111</v>
      </c>
      <c r="B134" s="3" t="s">
        <v>75</v>
      </c>
      <c r="C134" s="5" t="e">
        <f t="shared" ref="C134:J144" si="21">INDEX($L$41:$S$54,MATCH($B134,$L$41:$L$54,0),MATCH($A134,$L$41:$S$41,0))*INDEX($A$41:$H$48,MATCH(C$15,$A$41:$A$48,0),MATCH($A134,$A$41:$H$41,0))</f>
        <v>#N/A</v>
      </c>
      <c r="D134" s="5" t="e">
        <f t="shared" si="21"/>
        <v>#N/A</v>
      </c>
      <c r="E134" s="5">
        <f t="shared" si="21"/>
        <v>455.42851200000007</v>
      </c>
      <c r="F134" s="5">
        <f t="shared" si="21"/>
        <v>458.58714594000008</v>
      </c>
      <c r="G134" s="5">
        <f t="shared" si="21"/>
        <v>462.72809184000005</v>
      </c>
      <c r="H134" s="5">
        <f t="shared" si="21"/>
        <v>467.30218766000007</v>
      </c>
      <c r="I134" s="5">
        <f t="shared" si="21"/>
        <v>472.30318786000004</v>
      </c>
      <c r="J134" s="5">
        <f t="shared" si="21"/>
        <v>477.30838358000005</v>
      </c>
      <c r="K134" s="3"/>
      <c r="L134" s="3"/>
      <c r="M134" s="3"/>
      <c r="N134" s="3"/>
      <c r="O134" s="3"/>
      <c r="P134" s="3"/>
      <c r="Q134" s="3"/>
      <c r="R134" s="3"/>
      <c r="S134" s="3"/>
    </row>
    <row r="135" spans="1:19">
      <c r="A135" s="3" t="s">
        <v>111</v>
      </c>
      <c r="B135" s="3" t="s">
        <v>76</v>
      </c>
      <c r="C135" s="5" t="e">
        <f t="shared" si="21"/>
        <v>#N/A</v>
      </c>
      <c r="D135" s="5" t="e">
        <f t="shared" si="21"/>
        <v>#N/A</v>
      </c>
      <c r="E135" s="5">
        <f t="shared" si="21"/>
        <v>260.24486400000001</v>
      </c>
      <c r="F135" s="5">
        <f t="shared" si="21"/>
        <v>262.04979768000004</v>
      </c>
      <c r="G135" s="5">
        <f t="shared" si="21"/>
        <v>264.41605248000002</v>
      </c>
      <c r="H135" s="5">
        <f t="shared" si="21"/>
        <v>267.02982151999998</v>
      </c>
      <c r="I135" s="5">
        <f t="shared" si="21"/>
        <v>269.88753592</v>
      </c>
      <c r="J135" s="5">
        <f t="shared" si="21"/>
        <v>272.74764776000001</v>
      </c>
      <c r="K135" s="3"/>
      <c r="L135" s="3"/>
      <c r="M135" s="3"/>
      <c r="N135" s="3"/>
      <c r="O135" s="3"/>
      <c r="P135" s="3"/>
      <c r="Q135" s="3"/>
      <c r="R135" s="3"/>
      <c r="S135" s="3"/>
    </row>
    <row r="136" spans="1:19">
      <c r="A136" s="3" t="s">
        <v>111</v>
      </c>
      <c r="B136" s="3" t="s">
        <v>77</v>
      </c>
      <c r="C136" s="5" t="e">
        <f t="shared" si="21"/>
        <v>#N/A</v>
      </c>
      <c r="D136" s="5" t="e">
        <f t="shared" si="21"/>
        <v>#N/A</v>
      </c>
      <c r="E136" s="5">
        <f t="shared" si="21"/>
        <v>325.30608000000007</v>
      </c>
      <c r="F136" s="5">
        <f t="shared" si="21"/>
        <v>327.56224710000004</v>
      </c>
      <c r="G136" s="5">
        <f t="shared" si="21"/>
        <v>330.52006560000001</v>
      </c>
      <c r="H136" s="5">
        <f t="shared" si="21"/>
        <v>333.78727690000005</v>
      </c>
      <c r="I136" s="5">
        <f t="shared" si="21"/>
        <v>337.35941990000003</v>
      </c>
      <c r="J136" s="5">
        <f t="shared" si="21"/>
        <v>340.93455970000002</v>
      </c>
      <c r="K136" s="3"/>
      <c r="L136" s="3"/>
      <c r="M136" s="3"/>
      <c r="N136" s="3"/>
      <c r="O136" s="3"/>
      <c r="P136" s="3"/>
      <c r="Q136" s="3"/>
      <c r="R136" s="3"/>
      <c r="S136" s="3"/>
    </row>
    <row r="137" spans="1:19">
      <c r="A137" s="3" t="s">
        <v>111</v>
      </c>
      <c r="B137" s="3" t="s">
        <v>78</v>
      </c>
      <c r="C137" s="5" t="e">
        <f t="shared" si="21"/>
        <v>#N/A</v>
      </c>
      <c r="D137" s="5" t="e">
        <f t="shared" si="21"/>
        <v>#N/A</v>
      </c>
      <c r="E137" s="5">
        <f t="shared" si="21"/>
        <v>65.061216000000002</v>
      </c>
      <c r="F137" s="5">
        <f t="shared" si="21"/>
        <v>65.51244942000001</v>
      </c>
      <c r="G137" s="5">
        <f t="shared" si="21"/>
        <v>66.104013120000005</v>
      </c>
      <c r="H137" s="5">
        <f t="shared" si="21"/>
        <v>66.757455379999996</v>
      </c>
      <c r="I137" s="5">
        <f t="shared" si="21"/>
        <v>67.471883980000001</v>
      </c>
      <c r="J137" s="5">
        <f t="shared" si="21"/>
        <v>68.186911940000002</v>
      </c>
      <c r="K137" s="3"/>
      <c r="L137" s="3"/>
      <c r="M137" s="3"/>
      <c r="N137" s="3"/>
      <c r="O137" s="3"/>
      <c r="P137" s="3"/>
      <c r="Q137" s="3"/>
      <c r="R137" s="3"/>
      <c r="S137" s="3"/>
    </row>
    <row r="138" spans="1:19">
      <c r="A138" s="3" t="s">
        <v>111</v>
      </c>
      <c r="B138" s="3" t="s">
        <v>79</v>
      </c>
      <c r="C138" s="5" t="e">
        <f t="shared" si="21"/>
        <v>#N/A</v>
      </c>
      <c r="D138" s="5" t="e">
        <f t="shared" si="21"/>
        <v>#N/A</v>
      </c>
      <c r="E138" s="5">
        <f t="shared" si="21"/>
        <v>585.55094399999996</v>
      </c>
      <c r="F138" s="5">
        <f t="shared" si="21"/>
        <v>589.61204478000002</v>
      </c>
      <c r="G138" s="5">
        <f t="shared" si="21"/>
        <v>594.93611808000003</v>
      </c>
      <c r="H138" s="5">
        <f t="shared" si="21"/>
        <v>600.81709841999998</v>
      </c>
      <c r="I138" s="5">
        <f t="shared" si="21"/>
        <v>607.24695582000004</v>
      </c>
      <c r="J138" s="5">
        <f t="shared" si="21"/>
        <v>613.68220745999997</v>
      </c>
      <c r="K138" s="3"/>
      <c r="L138" s="3"/>
      <c r="M138" s="3"/>
      <c r="N138" s="3"/>
      <c r="O138" s="3"/>
      <c r="P138" s="3"/>
      <c r="Q138" s="3"/>
      <c r="R138" s="3"/>
      <c r="S138" s="3"/>
    </row>
    <row r="139" spans="1:19">
      <c r="A139" s="3" t="s">
        <v>111</v>
      </c>
      <c r="B139" s="3" t="s">
        <v>80</v>
      </c>
      <c r="C139" s="5" t="e">
        <f t="shared" si="21"/>
        <v>#N/A</v>
      </c>
      <c r="D139" s="5" t="e">
        <f t="shared" si="21"/>
        <v>#N/A</v>
      </c>
      <c r="E139" s="5">
        <f t="shared" si="21"/>
        <v>195.18364800000001</v>
      </c>
      <c r="F139" s="5">
        <f t="shared" si="21"/>
        <v>196.53734825999999</v>
      </c>
      <c r="G139" s="5">
        <f t="shared" si="21"/>
        <v>198.31203936</v>
      </c>
      <c r="H139" s="5">
        <f t="shared" si="21"/>
        <v>200.27236614</v>
      </c>
      <c r="I139" s="5">
        <f t="shared" si="21"/>
        <v>202.41565194</v>
      </c>
      <c r="J139" s="5">
        <f t="shared" si="21"/>
        <v>204.56073581999999</v>
      </c>
      <c r="K139" s="3"/>
      <c r="L139" s="3"/>
      <c r="M139" s="3"/>
      <c r="N139" s="3"/>
      <c r="O139" s="3"/>
      <c r="P139" s="3"/>
      <c r="Q139" s="3"/>
      <c r="R139" s="3"/>
      <c r="S139" s="3"/>
    </row>
    <row r="140" spans="1:19">
      <c r="A140" s="3" t="s">
        <v>111</v>
      </c>
      <c r="B140" s="3" t="s">
        <v>81</v>
      </c>
      <c r="C140" s="5" t="e">
        <f t="shared" si="21"/>
        <v>#N/A</v>
      </c>
      <c r="D140" s="5" t="e">
        <f t="shared" si="21"/>
        <v>#N/A</v>
      </c>
      <c r="E140" s="5">
        <f t="shared" si="21"/>
        <v>1366.2855360000001</v>
      </c>
      <c r="F140" s="5">
        <f t="shared" si="21"/>
        <v>1375.7614378200001</v>
      </c>
      <c r="G140" s="5">
        <f t="shared" si="21"/>
        <v>1388.18427552</v>
      </c>
      <c r="H140" s="5">
        <f t="shared" si="21"/>
        <v>1401.90656298</v>
      </c>
      <c r="I140" s="5">
        <f t="shared" si="21"/>
        <v>1416.9095635799999</v>
      </c>
      <c r="J140" s="5">
        <f t="shared" si="21"/>
        <v>1431.9251507399999</v>
      </c>
      <c r="K140" s="3"/>
      <c r="L140" s="3"/>
      <c r="M140" s="3"/>
      <c r="N140" s="3"/>
      <c r="O140" s="3"/>
      <c r="P140" s="3"/>
      <c r="Q140" s="3"/>
      <c r="R140" s="3"/>
      <c r="S140" s="3"/>
    </row>
    <row r="141" spans="1:19">
      <c r="A141" s="3" t="s">
        <v>111</v>
      </c>
      <c r="B141" s="3" t="s">
        <v>82</v>
      </c>
      <c r="C141" s="5" t="e">
        <f t="shared" si="21"/>
        <v>#N/A</v>
      </c>
      <c r="D141" s="5" t="e">
        <f t="shared" si="21"/>
        <v>#N/A</v>
      </c>
      <c r="E141" s="5">
        <f t="shared" si="21"/>
        <v>1171.1018879999999</v>
      </c>
      <c r="F141" s="5">
        <f t="shared" si="21"/>
        <v>1179.22408956</v>
      </c>
      <c r="G141" s="5">
        <f t="shared" si="21"/>
        <v>1189.8722361600001</v>
      </c>
      <c r="H141" s="5">
        <f t="shared" si="21"/>
        <v>1201.63419684</v>
      </c>
      <c r="I141" s="5">
        <f t="shared" si="21"/>
        <v>1214.4939116400001</v>
      </c>
      <c r="J141" s="5">
        <f t="shared" si="21"/>
        <v>1227.3644149199999</v>
      </c>
      <c r="K141" s="3"/>
      <c r="L141" s="3"/>
      <c r="M141" s="3"/>
      <c r="N141" s="3"/>
      <c r="O141" s="3"/>
      <c r="P141" s="3"/>
      <c r="Q141" s="3"/>
      <c r="R141" s="3"/>
      <c r="S141" s="3"/>
    </row>
    <row r="142" spans="1:19">
      <c r="A142" s="3" t="s">
        <v>111</v>
      </c>
      <c r="B142" s="3" t="s">
        <v>83</v>
      </c>
      <c r="C142" s="5" t="e">
        <f t="shared" si="21"/>
        <v>#N/A</v>
      </c>
      <c r="D142" s="5" t="e">
        <f t="shared" si="21"/>
        <v>#N/A</v>
      </c>
      <c r="E142" s="5">
        <f t="shared" si="21"/>
        <v>780.73459200000002</v>
      </c>
      <c r="F142" s="5">
        <f t="shared" si="21"/>
        <v>786.14939303999995</v>
      </c>
      <c r="G142" s="5">
        <f t="shared" si="21"/>
        <v>793.24815744</v>
      </c>
      <c r="H142" s="5">
        <f t="shared" si="21"/>
        <v>801.08946456000001</v>
      </c>
      <c r="I142" s="5">
        <f t="shared" si="21"/>
        <v>809.66260776000001</v>
      </c>
      <c r="J142" s="5">
        <f t="shared" si="21"/>
        <v>818.24294327999996</v>
      </c>
      <c r="K142" s="3"/>
      <c r="L142" s="3"/>
      <c r="M142" s="3"/>
      <c r="N142" s="3"/>
      <c r="O142" s="3"/>
      <c r="P142" s="3"/>
      <c r="Q142" s="3"/>
      <c r="R142" s="3"/>
      <c r="S142" s="3"/>
    </row>
    <row r="143" spans="1:19">
      <c r="A143" s="3" t="s">
        <v>111</v>
      </c>
      <c r="B143" s="3" t="s">
        <v>84</v>
      </c>
      <c r="C143" s="5" t="e">
        <f t="shared" si="21"/>
        <v>#N/A</v>
      </c>
      <c r="D143" s="5" t="e">
        <f t="shared" si="21"/>
        <v>#N/A</v>
      </c>
      <c r="E143" s="5">
        <f t="shared" si="21"/>
        <v>390.36729600000001</v>
      </c>
      <c r="F143" s="5">
        <f t="shared" si="21"/>
        <v>393.07469651999997</v>
      </c>
      <c r="G143" s="5">
        <f t="shared" si="21"/>
        <v>396.62407872</v>
      </c>
      <c r="H143" s="5">
        <f t="shared" si="21"/>
        <v>400.54473228000001</v>
      </c>
      <c r="I143" s="5">
        <f t="shared" si="21"/>
        <v>404.83130388000001</v>
      </c>
      <c r="J143" s="5">
        <f t="shared" si="21"/>
        <v>409.12147163999998</v>
      </c>
      <c r="K143" s="3"/>
      <c r="L143" s="3"/>
      <c r="M143" s="3"/>
      <c r="N143" s="3"/>
      <c r="O143" s="3"/>
      <c r="P143" s="3"/>
      <c r="Q143" s="3"/>
      <c r="R143" s="3"/>
      <c r="S143" s="3"/>
    </row>
    <row r="144" spans="1:19">
      <c r="A144" s="2" t="s">
        <v>111</v>
      </c>
      <c r="B144" s="2" t="s">
        <v>85</v>
      </c>
      <c r="C144" s="9" t="e">
        <f t="shared" si="21"/>
        <v>#N/A</v>
      </c>
      <c r="D144" s="9" t="e">
        <f t="shared" si="21"/>
        <v>#N/A</v>
      </c>
      <c r="E144" s="9">
        <f t="shared" si="21"/>
        <v>390.36729600000001</v>
      </c>
      <c r="F144" s="9">
        <f t="shared" si="21"/>
        <v>393.07469651999997</v>
      </c>
      <c r="G144" s="9">
        <f t="shared" si="21"/>
        <v>396.62407872</v>
      </c>
      <c r="H144" s="9">
        <f t="shared" si="21"/>
        <v>400.54473228000001</v>
      </c>
      <c r="I144" s="9">
        <f t="shared" si="21"/>
        <v>404.83130388000001</v>
      </c>
      <c r="J144" s="9">
        <f t="shared" si="21"/>
        <v>409.12147163999998</v>
      </c>
      <c r="K144" s="3"/>
      <c r="L144" s="3"/>
      <c r="M144" s="3"/>
      <c r="N144" s="3"/>
      <c r="O144" s="3"/>
      <c r="P144" s="3"/>
      <c r="Q144" s="3"/>
      <c r="R144" s="3"/>
      <c r="S144" s="3"/>
    </row>
  </sheetData>
  <pageMargins left="0.7" right="0.7" top="0.75" bottom="0.75" header="0.3" footer="0.3"/>
  <pageSetup orientation="portrait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77BC1F"/>
  </sheetPr>
  <dimension ref="A1:U94"/>
  <sheetViews>
    <sheetView tabSelected="1" topLeftCell="D1" zoomScale="90" zoomScaleNormal="90" workbookViewId="0">
      <selection activeCell="F9" sqref="F9"/>
    </sheetView>
  </sheetViews>
  <sheetFormatPr defaultColWidth="9" defaultRowHeight="14.4"/>
  <cols>
    <col min="1" max="1" width="20.3984375" style="3" bestFit="1" customWidth="1"/>
    <col min="2" max="2" width="16.19921875" style="3" bestFit="1" customWidth="1"/>
    <col min="3" max="3" width="11.09765625" style="3" bestFit="1" customWidth="1"/>
    <col min="4" max="6" width="9" style="3"/>
    <col min="7" max="7" width="8.69921875" style="3" customWidth="1"/>
    <col min="8" max="8" width="8.19921875" style="3" customWidth="1"/>
    <col min="9" max="9" width="9" style="3"/>
    <col min="10" max="10" width="22.8984375" style="3" bestFit="1" customWidth="1"/>
    <col min="11" max="11" width="10.69921875" style="3" bestFit="1" customWidth="1"/>
    <col min="12" max="12" width="9.69921875" style="3" bestFit="1" customWidth="1"/>
    <col min="13" max="13" width="9" style="3"/>
    <col min="14" max="14" width="19.19921875" style="3" bestFit="1" customWidth="1"/>
    <col min="15" max="16384" width="9" style="3"/>
  </cols>
  <sheetData>
    <row r="1" spans="1:21">
      <c r="A1" s="23" t="s">
        <v>175</v>
      </c>
      <c r="B1" s="2"/>
      <c r="J1" s="23" t="s">
        <v>161</v>
      </c>
      <c r="K1" s="2"/>
    </row>
    <row r="2" spans="1:21">
      <c r="A2" s="12" t="s">
        <v>139</v>
      </c>
      <c r="B2" s="12" t="s">
        <v>86</v>
      </c>
      <c r="J2" s="12" t="s">
        <v>4</v>
      </c>
      <c r="K2" s="12" t="s">
        <v>86</v>
      </c>
      <c r="N2" s="23" t="s">
        <v>191</v>
      </c>
      <c r="O2" s="2"/>
      <c r="P2" s="2"/>
      <c r="Q2" s="2"/>
      <c r="R2" s="2"/>
      <c r="S2" s="2"/>
      <c r="T2" s="2"/>
      <c r="U2" s="2"/>
    </row>
    <row r="3" spans="1:21">
      <c r="A3" s="3" t="s">
        <v>73</v>
      </c>
      <c r="B3" s="25">
        <f>K15</f>
        <v>2.943661971830986</v>
      </c>
      <c r="J3" s="3" t="s">
        <v>87</v>
      </c>
      <c r="K3" s="27">
        <v>2.0869565217391304</v>
      </c>
      <c r="N3" s="68" t="s">
        <v>139</v>
      </c>
      <c r="O3" s="68" t="s">
        <v>106</v>
      </c>
      <c r="P3" s="68" t="s">
        <v>105</v>
      </c>
      <c r="Q3" s="68" t="s">
        <v>107</v>
      </c>
      <c r="R3" s="68" t="s">
        <v>109</v>
      </c>
      <c r="S3" s="68" t="s">
        <v>108</v>
      </c>
      <c r="T3" s="68" t="s">
        <v>110</v>
      </c>
      <c r="U3" s="68" t="s">
        <v>111</v>
      </c>
    </row>
    <row r="4" spans="1:21">
      <c r="A4" s="3" t="s">
        <v>74</v>
      </c>
      <c r="B4" s="25">
        <f>K16</f>
        <v>2.0220588235294117</v>
      </c>
      <c r="J4" s="3" t="s">
        <v>10</v>
      </c>
      <c r="K4" s="27">
        <v>6.0686274509803919</v>
      </c>
      <c r="N4" s="3" t="s">
        <v>73</v>
      </c>
      <c r="O4" s="27">
        <f>((Forecast!M58/Forecast!M$71)/(Forecast!$T58/Forecast!$T$71)*$B3)</f>
        <v>2.6848148543781778</v>
      </c>
      <c r="P4" s="27">
        <f>((Forecast!N58/Forecast!N$71)/(Forecast!$T58/Forecast!$T$71)*$B3)</f>
        <v>2.5989068487260476</v>
      </c>
      <c r="Q4" s="27">
        <f>((Forecast!O58/Forecast!O$71)/(Forecast!$T58/Forecast!$T$71)*$B3)</f>
        <v>8.0562578587878306</v>
      </c>
      <c r="R4" s="27">
        <f>((Forecast!P58/Forecast!P$71)/(Forecast!$T58/Forecast!$T$71)*$B3)</f>
        <v>8.0562578543819914</v>
      </c>
      <c r="S4" s="27">
        <f>((Forecast!Q58/Forecast!Q$71)/(Forecast!$T58/Forecast!$T$71)*$B3)</f>
        <v>6.9256146711610951</v>
      </c>
      <c r="T4" s="27">
        <f>((Forecast!R58/Forecast!R$71)/(Forecast!$T58/Forecast!$T$71)*$B3)</f>
        <v>4.3004626425438932</v>
      </c>
      <c r="U4" s="27">
        <f>((Forecast!S58/Forecast!S$71)/(Forecast!$T58/Forecast!$T$71)*$B3)</f>
        <v>5.2030534574944918</v>
      </c>
    </row>
    <row r="5" spans="1:21">
      <c r="A5" s="3" t="s">
        <v>75</v>
      </c>
      <c r="B5" s="25">
        <f>K8</f>
        <v>1.3571428571428572</v>
      </c>
      <c r="J5" s="3" t="s">
        <v>88</v>
      </c>
      <c r="K5" s="31" t="s">
        <v>138</v>
      </c>
      <c r="N5" s="3" t="s">
        <v>74</v>
      </c>
      <c r="O5" s="27">
        <f>((Forecast!M59/Forecast!M$71)/(Forecast!$T59/Forecast!$T$71)*$B4)</f>
        <v>0.9266752050950593</v>
      </c>
      <c r="P5" s="27">
        <f>((Forecast!N59/Forecast!N$71)/(Forecast!$T59/Forecast!$T$71)*$B4)</f>
        <v>1.3397409037439245</v>
      </c>
      <c r="Q5" s="27">
        <f>((Forecast!O59/Forecast!O$71)/(Forecast!$T59/Forecast!$T$71)*$B4)</f>
        <v>9.0825235521103238</v>
      </c>
      <c r="R5" s="27">
        <f>((Forecast!P59/Forecast!P$71)/(Forecast!$T59/Forecast!$T$71)*$B4)</f>
        <v>9.0825229847330036</v>
      </c>
      <c r="S5" s="27">
        <f>((Forecast!Q59/Forecast!Q$71)/(Forecast!$T59/Forecast!$T$71)*$B4)</f>
        <v>10.229549601351177</v>
      </c>
      <c r="T5" s="27">
        <f>((Forecast!R59/Forecast!R$71)/(Forecast!$T59/Forecast!$T$71)*$B4)</f>
        <v>1.5176441354956107</v>
      </c>
      <c r="U5" s="27">
        <f>((Forecast!S59/Forecast!S$71)/(Forecast!$T59/Forecast!$T$71)*$B4)</f>
        <v>10.311534462780493</v>
      </c>
    </row>
    <row r="6" spans="1:21">
      <c r="A6" s="3" t="s">
        <v>76</v>
      </c>
      <c r="B6" s="25">
        <f>AVERAGE(K10,K19,K18)</f>
        <v>4.4666918049270992</v>
      </c>
      <c r="J6" s="3" t="s">
        <v>89</v>
      </c>
      <c r="K6" s="27">
        <v>6.333333333333333</v>
      </c>
      <c r="N6" s="3" t="s">
        <v>75</v>
      </c>
      <c r="O6" s="27">
        <f>((Forecast!M60/Forecast!M$71)/(Forecast!$T60/Forecast!$T$71)*$B5)</f>
        <v>1.3453634527125113</v>
      </c>
      <c r="P6" s="27">
        <f>((Forecast!N60/Forecast!N$71)/(Forecast!$T60/Forecast!$T$71)*$B5)</f>
        <v>0.5724126141721263</v>
      </c>
      <c r="Q6" s="27">
        <f>((Forecast!O60/Forecast!O$71)/(Forecast!$T60/Forecast!$T$71)*$B5)</f>
        <v>4.493899668699056</v>
      </c>
      <c r="R6" s="27">
        <f>((Forecast!P60/Forecast!P$71)/(Forecast!$T60/Forecast!$T$71)*$B5)</f>
        <v>4.4938976294057129</v>
      </c>
      <c r="S6" s="27">
        <f>((Forecast!Q60/Forecast!Q$71)/(Forecast!$T60/Forecast!$T$71)*$B5)</f>
        <v>13.736281211905728</v>
      </c>
      <c r="T6" s="27">
        <f>((Forecast!R60/Forecast!R$71)/(Forecast!$T60/Forecast!$T$71)*$B5)</f>
        <v>1.6180544736211211</v>
      </c>
      <c r="U6" s="27">
        <f>((Forecast!S60/Forecast!S$71)/(Forecast!$T60/Forecast!$T$71)*$B5)</f>
        <v>7.1961583006626713</v>
      </c>
    </row>
    <row r="7" spans="1:21">
      <c r="A7" s="3" t="s">
        <v>77</v>
      </c>
      <c r="B7" s="25">
        <f>K18</f>
        <v>7.7205882352941178</v>
      </c>
      <c r="J7" s="3" t="s">
        <v>90</v>
      </c>
      <c r="K7" s="27">
        <v>1.2905405405405406</v>
      </c>
      <c r="N7" s="3" t="s">
        <v>76</v>
      </c>
      <c r="O7" s="27">
        <f>((Forecast!M61/Forecast!M$71)/(Forecast!$T61/Forecast!$T$71)*$B6)</f>
        <v>5.8391203514623236</v>
      </c>
      <c r="P7" s="27">
        <f>((Forecast!N61/Forecast!N$71)/(Forecast!$T61/Forecast!$T$71)*$B6)</f>
        <v>4.3400042844735829</v>
      </c>
      <c r="Q7" s="27">
        <f>((Forecast!O61/Forecast!O$71)/(Forecast!$T61/Forecast!$T$71)*$B6)</f>
        <v>3.9385041932419202</v>
      </c>
      <c r="R7" s="27">
        <f>((Forecast!P61/Forecast!P$71)/(Forecast!$T61/Forecast!$T$71)*$B6)</f>
        <v>3.9385042368654788</v>
      </c>
      <c r="S7" s="27">
        <f>((Forecast!Q61/Forecast!Q$71)/(Forecast!$T61/Forecast!$T$71)*$B6)</f>
        <v>2.2551927018390407</v>
      </c>
      <c r="T7" s="27">
        <f>((Forecast!R61/Forecast!R$71)/(Forecast!$T61/Forecast!$T$71)*$B6)</f>
        <v>0.53749830141022104</v>
      </c>
      <c r="U7" s="27">
        <f>((Forecast!S61/Forecast!S$71)/(Forecast!$T61/Forecast!$T$71)*$B6)</f>
        <v>3.7813616022208718</v>
      </c>
    </row>
    <row r="8" spans="1:21">
      <c r="A8" s="3" t="s">
        <v>78</v>
      </c>
      <c r="B8" s="25">
        <f>AVERAGE(K14:K15,K9)</f>
        <v>2.9577498180166821</v>
      </c>
      <c r="J8" s="3" t="s">
        <v>91</v>
      </c>
      <c r="K8" s="27">
        <v>1.3571428571428572</v>
      </c>
      <c r="N8" s="3" t="s">
        <v>77</v>
      </c>
      <c r="O8" s="27">
        <f>((Forecast!M62/Forecast!M$71)/(Forecast!$T62/Forecast!$T$71)*$B7)</f>
        <v>4.3773050715796318</v>
      </c>
      <c r="P8" s="27">
        <f>((Forecast!N62/Forecast!N$71)/(Forecast!$T62/Forecast!$T$71)*$B7)</f>
        <v>9.4161045491235189</v>
      </c>
      <c r="Q8" s="27">
        <f>((Forecast!O62/Forecast!O$71)/(Forecast!$T62/Forecast!$T$71)*$B7)</f>
        <v>2.9525054096642829</v>
      </c>
      <c r="R8" s="27">
        <f>((Forecast!P62/Forecast!P$71)/(Forecast!$T62/Forecast!$T$71)*$B7)</f>
        <v>2.9525054366883272</v>
      </c>
      <c r="S8" s="27">
        <f>((Forecast!Q62/Forecast!Q$71)/(Forecast!$T62/Forecast!$T$71)*$B7)</f>
        <v>4.3936313618632079</v>
      </c>
      <c r="T8" s="27">
        <f>((Forecast!R62/Forecast!R$71)/(Forecast!$T62/Forecast!$T$71)*$B7)</f>
        <v>2.2115083366630284</v>
      </c>
      <c r="U8" s="27">
        <f>((Forecast!S62/Forecast!S$71)/(Forecast!$T62/Forecast!$T$71)*$B7)</f>
        <v>3.1581154633930675</v>
      </c>
    </row>
    <row r="9" spans="1:21">
      <c r="A9" s="3" t="s">
        <v>79</v>
      </c>
      <c r="B9" s="25">
        <f>K20</f>
        <v>7.3731343283582094</v>
      </c>
      <c r="J9" s="3" t="s">
        <v>92</v>
      </c>
      <c r="K9" s="27">
        <v>4.1052631578947372</v>
      </c>
      <c r="N9" s="3" t="s">
        <v>78</v>
      </c>
      <c r="O9" s="27">
        <f>((Forecast!M63/Forecast!M$71)/(Forecast!$T63/Forecast!$T$71)*$B8)</f>
        <v>1.2360926482505039</v>
      </c>
      <c r="P9" s="27">
        <f>((Forecast!N63/Forecast!N$71)/(Forecast!$T63/Forecast!$T$71)*$B8)</f>
        <v>3.789407525440013</v>
      </c>
      <c r="Q9" s="27">
        <f>((Forecast!O63/Forecast!O$71)/(Forecast!$T63/Forecast!$T$71)*$B8)</f>
        <v>2.3431033716437653</v>
      </c>
      <c r="R9" s="27">
        <f>((Forecast!P63/Forecast!P$71)/(Forecast!$T63/Forecast!$T$71)*$B8)</f>
        <v>2.3431033963149166</v>
      </c>
      <c r="S9" s="27">
        <f>((Forecast!Q63/Forecast!Q$71)/(Forecast!$T63/Forecast!$T$71)*$B8)</f>
        <v>1.0511312862124893</v>
      </c>
      <c r="T9" s="27">
        <f>((Forecast!R63/Forecast!R$71)/(Forecast!$T63/Forecast!$T$71)*$B8)</f>
        <v>1.00667754862744</v>
      </c>
      <c r="U9" s="27">
        <f>((Forecast!S63/Forecast!S$71)/(Forecast!$T63/Forecast!$T$71)*$B8)</f>
        <v>0.32042325844349068</v>
      </c>
    </row>
    <row r="10" spans="1:21">
      <c r="A10" s="3" t="s">
        <v>80</v>
      </c>
      <c r="B10" s="25">
        <f>AVERAGE(K3:K27)</f>
        <v>2.9472665567494256</v>
      </c>
      <c r="J10" s="3" t="s">
        <v>93</v>
      </c>
      <c r="K10" s="27">
        <v>2.8461538461538463</v>
      </c>
      <c r="N10" s="3" t="s">
        <v>79</v>
      </c>
      <c r="O10" s="27">
        <f>((Forecast!M64/Forecast!M$71)/(Forecast!$T64/Forecast!$T$71)*$B9)</f>
        <v>11.185636216879743</v>
      </c>
      <c r="P10" s="27">
        <f>((Forecast!N64/Forecast!N$71)/(Forecast!$T64/Forecast!$T$71)*$B9)</f>
        <v>4.1988401758823981</v>
      </c>
      <c r="Q10" s="27">
        <f>((Forecast!O64/Forecast!O$71)/(Forecast!$T64/Forecast!$T$71)*$B9)</f>
        <v>20.308159170907842</v>
      </c>
      <c r="R10" s="27">
        <f>((Forecast!P64/Forecast!P$71)/(Forecast!$T64/Forecast!$T$71)*$B9)</f>
        <v>20.308159351773011</v>
      </c>
      <c r="S10" s="27">
        <f>((Forecast!Q64/Forecast!Q$71)/(Forecast!$T64/Forecast!$T$71)*$B9)</f>
        <v>18.55445219264708</v>
      </c>
      <c r="T10" s="27">
        <f>((Forecast!R64/Forecast!R$71)/(Forecast!$T64/Forecast!$T$71)*$B9)</f>
        <v>5.9189566044248965</v>
      </c>
      <c r="U10" s="27">
        <f>((Forecast!S64/Forecast!S$71)/(Forecast!$T64/Forecast!$T$71)*$B9)</f>
        <v>26.857575789505539</v>
      </c>
    </row>
    <row r="11" spans="1:21">
      <c r="A11" s="3" t="s">
        <v>81</v>
      </c>
      <c r="B11" s="25">
        <f>K4</f>
        <v>6.0686274509803919</v>
      </c>
      <c r="J11" s="3" t="s">
        <v>11</v>
      </c>
      <c r="K11" s="31" t="s">
        <v>138</v>
      </c>
      <c r="N11" s="3" t="s">
        <v>80</v>
      </c>
      <c r="O11" s="27">
        <f>((Forecast!M65/Forecast!M$71)/(Forecast!$T65/Forecast!$T$71)*$B10)</f>
        <v>2.7281940800631008</v>
      </c>
      <c r="P11" s="27">
        <f>((Forecast!N65/Forecast!N$71)/(Forecast!$T65/Forecast!$T$71)*$B10)</f>
        <v>3.3666128577131009</v>
      </c>
      <c r="Q11" s="27">
        <f>((Forecast!O65/Forecast!O$71)/(Forecast!$T65/Forecast!$T$71)*$B10)</f>
        <v>6.9557127498232604E-2</v>
      </c>
      <c r="R11" s="27">
        <f>((Forecast!P65/Forecast!P$71)/(Forecast!$T65/Forecast!$T$71)*$B10)</f>
        <v>6.9557127960360718E-2</v>
      </c>
      <c r="S11" s="27">
        <f>((Forecast!Q65/Forecast!Q$71)/(Forecast!$T65/Forecast!$T$71)*$B10)</f>
        <v>0.73714588835692529</v>
      </c>
      <c r="T11" s="27">
        <f>((Forecast!R65/Forecast!R$71)/(Forecast!$T65/Forecast!$T$71)*$B10)</f>
        <v>2.5167404231835171</v>
      </c>
      <c r="U11" s="27">
        <f>((Forecast!S65/Forecast!S$71)/(Forecast!$T65/Forecast!$T$71)*$B10)</f>
        <v>0.13797010918961911</v>
      </c>
    </row>
    <row r="12" spans="1:21">
      <c r="A12" s="3" t="s">
        <v>82</v>
      </c>
      <c r="B12" s="25">
        <f>K17</f>
        <v>1.4210526315789473</v>
      </c>
      <c r="J12" s="3" t="s">
        <v>94</v>
      </c>
      <c r="K12" s="31" t="s">
        <v>138</v>
      </c>
      <c r="N12" s="3" t="s">
        <v>81</v>
      </c>
      <c r="O12" s="27">
        <f>((Forecast!M66/Forecast!M$71)/(Forecast!$T66/Forecast!$T$71)*$B11)</f>
        <v>8.5102213218288902</v>
      </c>
      <c r="P12" s="27">
        <f>((Forecast!N66/Forecast!N$71)/(Forecast!$T66/Forecast!$T$71)*$B11)</f>
        <v>5.0379633511661712</v>
      </c>
      <c r="Q12" s="27">
        <f>((Forecast!O66/Forecast!O$71)/(Forecast!$T66/Forecast!$T$71)*$B11)</f>
        <v>4.3004976138192026</v>
      </c>
      <c r="R12" s="27">
        <f>((Forecast!P66/Forecast!P$71)/(Forecast!$T66/Forecast!$T$71)*$B11)</f>
        <v>4.300497656178524</v>
      </c>
      <c r="S12" s="27">
        <f>((Forecast!Q66/Forecast!Q$71)/(Forecast!$T66/Forecast!$T$71)*$B11)</f>
        <v>6.3523292908143594</v>
      </c>
      <c r="T12" s="27">
        <f>((Forecast!R66/Forecast!R$71)/(Forecast!$T66/Forecast!$T$71)*$B11)</f>
        <v>9.4593732038933016</v>
      </c>
      <c r="U12" s="27">
        <f>((Forecast!S66/Forecast!S$71)/(Forecast!$T66/Forecast!$T$71)*$B11)</f>
        <v>8.8882331186004446</v>
      </c>
    </row>
    <row r="13" spans="1:21">
      <c r="A13" s="3" t="s">
        <v>83</v>
      </c>
      <c r="B13" s="25">
        <f>AVERAGE(K23:K25)</f>
        <v>1.3279738945720834</v>
      </c>
      <c r="J13" s="3" t="s">
        <v>95</v>
      </c>
      <c r="K13" s="27">
        <v>1.5</v>
      </c>
      <c r="N13" s="3" t="s">
        <v>82</v>
      </c>
      <c r="O13" s="27">
        <f>((Forecast!M67/Forecast!M$71)/(Forecast!$T67/Forecast!$T$71)*$B12)</f>
        <v>1.2413596850192397</v>
      </c>
      <c r="P13" s="27">
        <f>((Forecast!N67/Forecast!N$71)/(Forecast!$T67/Forecast!$T$71)*$B12)</f>
        <v>0.90946468828770688</v>
      </c>
      <c r="Q13" s="27">
        <f>((Forecast!O67/Forecast!O$71)/(Forecast!$T67/Forecast!$T$71)*$B12)</f>
        <v>2.7357692071600845</v>
      </c>
      <c r="R13" s="27">
        <f>((Forecast!P67/Forecast!P$71)/(Forecast!$T67/Forecast!$T$71)*$B12)</f>
        <v>2.7357692325751461</v>
      </c>
      <c r="S13" s="27">
        <f>((Forecast!Q67/Forecast!Q$71)/(Forecast!$T67/Forecast!$T$71)*$B12)</f>
        <v>2.6468394682181291</v>
      </c>
      <c r="T13" s="27">
        <f>((Forecast!R67/Forecast!R$71)/(Forecast!$T67/Forecast!$T$71)*$B12)</f>
        <v>1.2644167178255368</v>
      </c>
      <c r="U13" s="27">
        <f>((Forecast!S67/Forecast!S$71)/(Forecast!$T67/Forecast!$T$71)*$B12)</f>
        <v>7.2942822538156884</v>
      </c>
    </row>
    <row r="14" spans="1:21">
      <c r="A14" s="3" t="s">
        <v>84</v>
      </c>
      <c r="B14" s="25">
        <f>K16</f>
        <v>2.0220588235294117</v>
      </c>
      <c r="J14" s="3" t="s">
        <v>96</v>
      </c>
      <c r="K14" s="27">
        <v>1.8243243243243243</v>
      </c>
      <c r="N14" s="3" t="s">
        <v>83</v>
      </c>
      <c r="O14" s="27">
        <f>((Forecast!M68/Forecast!M$71)/(Forecast!$T68/Forecast!$T$71)*$B13)</f>
        <v>1.5665404164977665</v>
      </c>
      <c r="P14" s="27">
        <f>((Forecast!N68/Forecast!N$71)/(Forecast!$T68/Forecast!$T$71)*$B13)</f>
        <v>0.98436917405081059</v>
      </c>
      <c r="Q14" s="27">
        <f>((Forecast!O68/Forecast!O$71)/(Forecast!$T68/Forecast!$T$71)*$B13)</f>
        <v>5.3996362595027199</v>
      </c>
      <c r="R14" s="27">
        <f>((Forecast!P68/Forecast!P$71)/(Forecast!$T68/Forecast!$T$71)*$B13)</f>
        <v>5.3996363133973571</v>
      </c>
      <c r="S14" s="27">
        <f>((Forecast!Q68/Forecast!Q$71)/(Forecast!$T68/Forecast!$T$71)*$B13)</f>
        <v>3.187004161876525</v>
      </c>
      <c r="T14" s="27">
        <f>((Forecast!R68/Forecast!R$71)/(Forecast!$T68/Forecast!$T$71)*$B13)</f>
        <v>1.9284243312355269</v>
      </c>
      <c r="U14" s="27">
        <f>((Forecast!S68/Forecast!S$71)/(Forecast!$T68/Forecast!$T$71)*$B13)</f>
        <v>2.948800235778851</v>
      </c>
    </row>
    <row r="15" spans="1:21">
      <c r="A15" s="2" t="s">
        <v>85</v>
      </c>
      <c r="B15" s="32">
        <f>AVERAGE(K13,K7)</f>
        <v>1.3952702702702702</v>
      </c>
      <c r="J15" s="3" t="s">
        <v>97</v>
      </c>
      <c r="K15" s="27">
        <v>2.943661971830986</v>
      </c>
      <c r="N15" s="3" t="s">
        <v>84</v>
      </c>
      <c r="O15" s="27">
        <f>((Forecast!M69/Forecast!M$71)/(Forecast!$T69/Forecast!$T$71)*$B14)</f>
        <v>1.3789237119027784</v>
      </c>
      <c r="P15" s="27">
        <f>((Forecast!N69/Forecast!N$71)/(Forecast!$T69/Forecast!$T$71)*$B14)</f>
        <v>1.2520769381495422</v>
      </c>
      <c r="Q15" s="27">
        <f>((Forecast!O69/Forecast!O$71)/(Forecast!$T69/Forecast!$T$71)*$B14)</f>
        <v>13.515098413655739</v>
      </c>
      <c r="R15" s="27">
        <f>((Forecast!P69/Forecast!P$71)/(Forecast!$T69/Forecast!$T$71)*$B14)</f>
        <v>13.515098547382046</v>
      </c>
      <c r="S15" s="27">
        <f>((Forecast!Q69/Forecast!Q$71)/(Forecast!$T69/Forecast!$T$71)*$B14)</f>
        <v>8.3352118526135222</v>
      </c>
      <c r="T15" s="27">
        <f>((Forecast!R69/Forecast!R$71)/(Forecast!$T69/Forecast!$T$71)*$B14)</f>
        <v>3.586280724198069</v>
      </c>
      <c r="U15" s="27">
        <f>((Forecast!S69/Forecast!S$71)/(Forecast!$T69/Forecast!$T$71)*$B14)</f>
        <v>8.3454526487364635</v>
      </c>
    </row>
    <row r="16" spans="1:21">
      <c r="A16" s="11" t="s">
        <v>21</v>
      </c>
      <c r="B16" s="11"/>
      <c r="J16" s="3" t="s">
        <v>8</v>
      </c>
      <c r="K16" s="27">
        <v>2.0220588235294117</v>
      </c>
      <c r="N16" s="2" t="s">
        <v>85</v>
      </c>
      <c r="O16" s="33">
        <f>((Forecast!M70/Forecast!M$71)/(Forecast!$T70/Forecast!$T$71)*$B15)</f>
        <v>2.4426037362441004</v>
      </c>
      <c r="P16" s="33">
        <f>((Forecast!N70/Forecast!N$71)/(Forecast!$T70/Forecast!$T$71)*$B15)</f>
        <v>0.66667800298337709</v>
      </c>
      <c r="Q16" s="33">
        <f>((Forecast!O70/Forecast!O$71)/(Forecast!$T70/Forecast!$T$71)*$B15)</f>
        <v>2.8149307264262058</v>
      </c>
      <c r="R16" s="33">
        <f>((Forecast!P70/Forecast!P$71)/(Forecast!$T70/Forecast!$T$71)*$B15)</f>
        <v>2.8149307560247241</v>
      </c>
      <c r="S16" s="33">
        <f>((Forecast!Q70/Forecast!Q$71)/(Forecast!$T70/Forecast!$T$71)*$B15)</f>
        <v>4.2882687612411221</v>
      </c>
      <c r="T16" s="33">
        <f>((Forecast!R70/Forecast!R$71)/(Forecast!$T70/Forecast!$T$71)*$B15)</f>
        <v>3.4713513305569808</v>
      </c>
      <c r="U16" s="33">
        <f>((Forecast!S70/Forecast!S$71)/(Forecast!$T70/Forecast!$T$71)*$B15)</f>
        <v>4.5804777118292934</v>
      </c>
    </row>
    <row r="17" spans="1:21">
      <c r="J17" s="3" t="s">
        <v>98</v>
      </c>
      <c r="K17" s="27">
        <v>1.4210526315789473</v>
      </c>
      <c r="N17" s="2"/>
      <c r="O17" s="32"/>
      <c r="P17" s="2"/>
      <c r="Q17" s="32"/>
      <c r="R17" s="2"/>
      <c r="S17" s="32"/>
      <c r="T17" s="2"/>
      <c r="U17" s="32"/>
    </row>
    <row r="18" spans="1:21">
      <c r="A18" s="23"/>
      <c r="B18" s="2"/>
      <c r="C18" s="2"/>
      <c r="D18" s="2"/>
      <c r="E18" s="2"/>
      <c r="F18" s="2"/>
      <c r="G18" s="2"/>
      <c r="H18" s="2"/>
      <c r="J18" s="3" t="s">
        <v>99</v>
      </c>
      <c r="K18" s="27">
        <v>7.7205882352941178</v>
      </c>
    </row>
    <row r="19" spans="1:21">
      <c r="A19" s="12" t="s">
        <v>140</v>
      </c>
      <c r="B19" s="12" t="s">
        <v>106</v>
      </c>
      <c r="C19" s="12" t="s">
        <v>105</v>
      </c>
      <c r="D19" s="12" t="s">
        <v>107</v>
      </c>
      <c r="E19" s="12" t="s">
        <v>109</v>
      </c>
      <c r="F19" s="12" t="s">
        <v>108</v>
      </c>
      <c r="G19" s="12" t="s">
        <v>110</v>
      </c>
      <c r="H19" s="12" t="s">
        <v>111</v>
      </c>
      <c r="J19" s="3" t="s">
        <v>100</v>
      </c>
      <c r="K19" s="27">
        <v>2.8333333333333335</v>
      </c>
      <c r="N19" s="123" t="s">
        <v>232</v>
      </c>
    </row>
    <row r="20" spans="1:21">
      <c r="A20" s="3" t="s">
        <v>6</v>
      </c>
      <c r="B20" s="8">
        <v>1807</v>
      </c>
      <c r="C20" s="47">
        <v>1792</v>
      </c>
      <c r="D20" s="8">
        <v>1789</v>
      </c>
      <c r="E20" s="8">
        <v>1789</v>
      </c>
      <c r="F20" s="8">
        <v>1643</v>
      </c>
      <c r="G20" s="8">
        <v>1792</v>
      </c>
      <c r="H20" s="8">
        <v>1807</v>
      </c>
      <c r="J20" s="3" t="s">
        <v>9</v>
      </c>
      <c r="K20" s="27">
        <v>7.3731343283582094</v>
      </c>
    </row>
    <row r="21" spans="1:21">
      <c r="A21" s="3" t="s">
        <v>67</v>
      </c>
      <c r="B21" s="47">
        <v>1229</v>
      </c>
      <c r="C21" s="47">
        <v>1211</v>
      </c>
      <c r="D21" s="47">
        <v>1144.3449781659388</v>
      </c>
      <c r="E21" s="47">
        <f t="shared" ref="E21:G21" si="0">SUMPRODUCT($C$46:$G$46,$C$65:$G$65)/SUM($C$65:$G$65)</f>
        <v>1144.3449781659388</v>
      </c>
      <c r="F21" s="47">
        <v>1144.3449781659388</v>
      </c>
      <c r="G21" s="47">
        <f t="shared" si="0"/>
        <v>1144.3449781659388</v>
      </c>
      <c r="H21" s="47">
        <v>1229</v>
      </c>
      <c r="J21" s="3" t="s">
        <v>1</v>
      </c>
      <c r="K21" s="31" t="s">
        <v>138</v>
      </c>
      <c r="N21" s="138"/>
    </row>
    <row r="22" spans="1:21">
      <c r="A22" s="2" t="s">
        <v>68</v>
      </c>
      <c r="B22" s="145">
        <v>813</v>
      </c>
      <c r="C22" s="52">
        <v>813</v>
      </c>
      <c r="D22" s="52">
        <v>813</v>
      </c>
      <c r="E22" s="52">
        <f t="shared" ref="E22:H22" si="1">D22</f>
        <v>813</v>
      </c>
      <c r="F22" s="52">
        <v>813</v>
      </c>
      <c r="G22" s="52">
        <f t="shared" si="1"/>
        <v>813</v>
      </c>
      <c r="H22" s="52">
        <f t="shared" si="1"/>
        <v>813</v>
      </c>
      <c r="J22" s="3" t="s">
        <v>101</v>
      </c>
      <c r="K22" s="31" t="s">
        <v>138</v>
      </c>
    </row>
    <row r="23" spans="1:21">
      <c r="A23" s="15" t="s">
        <v>151</v>
      </c>
      <c r="J23" s="3" t="s">
        <v>102</v>
      </c>
      <c r="K23" s="27">
        <v>1.1910112359550562</v>
      </c>
    </row>
    <row r="24" spans="1:21">
      <c r="A24" s="15" t="s">
        <v>166</v>
      </c>
      <c r="J24" s="3" t="s">
        <v>103</v>
      </c>
      <c r="K24" s="27">
        <v>1.375</v>
      </c>
    </row>
    <row r="25" spans="1:21">
      <c r="J25" s="3" t="s">
        <v>104</v>
      </c>
      <c r="K25" s="27">
        <v>1.4179104477611941</v>
      </c>
    </row>
    <row r="26" spans="1:21">
      <c r="J26" s="3" t="s">
        <v>12</v>
      </c>
      <c r="K26" s="27">
        <v>1.3066666666666666</v>
      </c>
    </row>
    <row r="27" spans="1:21">
      <c r="A27" s="23" t="s">
        <v>160</v>
      </c>
      <c r="B27" s="2"/>
      <c r="J27" s="2" t="s">
        <v>3</v>
      </c>
      <c r="K27" s="33">
        <v>1.9285714285714286</v>
      </c>
    </row>
    <row r="28" spans="1:21">
      <c r="A28" s="12" t="s">
        <v>142</v>
      </c>
      <c r="B28" s="12" t="s">
        <v>143</v>
      </c>
    </row>
    <row r="29" spans="1:21">
      <c r="A29" s="3" t="s">
        <v>6</v>
      </c>
      <c r="B29" s="36">
        <v>1.3751922705622928</v>
      </c>
    </row>
    <row r="30" spans="1:21">
      <c r="A30" s="3" t="s">
        <v>67</v>
      </c>
      <c r="B30" s="59">
        <f>SUMPRODUCT($L$70:$N$70,$L$94:$N$94)/SUM(L94:N94)</f>
        <v>3.66734693877551</v>
      </c>
      <c r="C30" s="15" t="s">
        <v>179</v>
      </c>
    </row>
    <row r="31" spans="1:21">
      <c r="A31" s="2" t="s">
        <v>68</v>
      </c>
      <c r="B31" s="37">
        <v>1</v>
      </c>
    </row>
    <row r="36" spans="1:17">
      <c r="A36" s="2"/>
      <c r="B36" s="2"/>
      <c r="C36" s="2"/>
      <c r="J36" s="2"/>
      <c r="K36" s="2"/>
      <c r="L36" s="2"/>
    </row>
    <row r="37" spans="1:17">
      <c r="A37" s="34" t="s">
        <v>72</v>
      </c>
      <c r="B37" s="35" t="s">
        <v>141</v>
      </c>
      <c r="C37" s="50" t="s">
        <v>172</v>
      </c>
      <c r="J37" s="56" t="s">
        <v>171</v>
      </c>
      <c r="K37" s="57" t="s">
        <v>141</v>
      </c>
      <c r="L37" s="58" t="s">
        <v>172</v>
      </c>
    </row>
    <row r="38" spans="1:17">
      <c r="A38" s="3" t="s">
        <v>69</v>
      </c>
      <c r="B38" s="3">
        <v>422</v>
      </c>
      <c r="C38" s="8">
        <v>1822</v>
      </c>
      <c r="J38" s="3" t="s">
        <v>6</v>
      </c>
      <c r="K38" s="3">
        <f>K65</f>
        <v>8681</v>
      </c>
      <c r="L38" s="8">
        <f>SUMPRODUCT($L$46:$Q$46,$L$65:$Q$65)/SUM($L$65:$Q$65)</f>
        <v>2405.483870967742</v>
      </c>
    </row>
    <row r="39" spans="1:17">
      <c r="A39" s="3" t="s">
        <v>70</v>
      </c>
      <c r="B39" s="3">
        <v>323</v>
      </c>
      <c r="C39" s="8">
        <v>1081</v>
      </c>
      <c r="J39" s="3" t="s">
        <v>67</v>
      </c>
      <c r="K39" s="3">
        <f>B65</f>
        <v>2286</v>
      </c>
      <c r="L39" s="8">
        <f>SUMPRODUCT($C$46:$G$46,$C$65:$G$65)/SUM($C$65:$G$65)</f>
        <v>1144.3449781659388</v>
      </c>
    </row>
    <row r="40" spans="1:17">
      <c r="A40" s="2" t="s">
        <v>71</v>
      </c>
      <c r="B40" s="2">
        <v>55</v>
      </c>
      <c r="C40" s="10">
        <v>1140</v>
      </c>
      <c r="J40" s="2" t="s">
        <v>71</v>
      </c>
      <c r="K40" s="54"/>
      <c r="L40" s="55"/>
    </row>
    <row r="41" spans="1:17">
      <c r="A41" s="2" t="s">
        <v>23</v>
      </c>
      <c r="B41" s="2"/>
      <c r="C41" s="9">
        <f>SUMPRODUCT(B38:B40,C38:C40)/SUM(B38:B40)</f>
        <v>1475.9337499999999</v>
      </c>
      <c r="J41" s="2" t="s">
        <v>23</v>
      </c>
      <c r="K41" s="2"/>
      <c r="L41" s="9">
        <f>SUMPRODUCT(K38:K40,L38:L40)/SUM(K38:K40)</f>
        <v>2142.6076505843262</v>
      </c>
    </row>
    <row r="43" spans="1:17">
      <c r="A43" s="15" t="s">
        <v>168</v>
      </c>
      <c r="J43" s="15" t="s">
        <v>169</v>
      </c>
    </row>
    <row r="44" spans="1:17" ht="15.6">
      <c r="A44" s="65" t="s">
        <v>162</v>
      </c>
      <c r="B44" s="2"/>
      <c r="C44" s="2"/>
      <c r="D44" s="2"/>
      <c r="E44" s="2"/>
      <c r="F44" s="2"/>
      <c r="G44" s="2"/>
      <c r="J44" s="65" t="s">
        <v>167</v>
      </c>
    </row>
    <row r="45" spans="1:17">
      <c r="A45" s="56" t="s">
        <v>165</v>
      </c>
      <c r="B45" s="157" t="s">
        <v>163</v>
      </c>
      <c r="C45" s="157"/>
      <c r="D45" s="157"/>
      <c r="E45" s="157"/>
      <c r="F45" s="157"/>
      <c r="G45" s="157"/>
      <c r="J45" s="56" t="s">
        <v>170</v>
      </c>
      <c r="K45" s="157" t="s">
        <v>163</v>
      </c>
      <c r="L45" s="157"/>
      <c r="M45" s="157"/>
      <c r="N45" s="157"/>
      <c r="O45" s="157"/>
      <c r="P45" s="157"/>
      <c r="Q45" s="157"/>
    </row>
    <row r="46" spans="1:17">
      <c r="A46" s="42" t="s">
        <v>164</v>
      </c>
      <c r="B46" s="51" t="s">
        <v>138</v>
      </c>
      <c r="C46" s="3">
        <v>750</v>
      </c>
      <c r="D46" s="3">
        <v>1100</v>
      </c>
      <c r="E46" s="3">
        <v>1300</v>
      </c>
      <c r="F46" s="3">
        <v>1600</v>
      </c>
      <c r="G46" s="3">
        <v>2000</v>
      </c>
      <c r="J46" s="42" t="s">
        <v>164</v>
      </c>
      <c r="K46" s="51" t="s">
        <v>138</v>
      </c>
      <c r="L46" s="3">
        <v>1200</v>
      </c>
      <c r="M46" s="3">
        <v>1600</v>
      </c>
      <c r="N46" s="3">
        <v>2100</v>
      </c>
      <c r="O46" s="3">
        <v>2700</v>
      </c>
      <c r="P46" s="3">
        <v>3500</v>
      </c>
      <c r="Q46" s="3">
        <v>4000</v>
      </c>
    </row>
    <row r="47" spans="1:17">
      <c r="A47" s="48">
        <v>1999</v>
      </c>
      <c r="B47" s="3">
        <v>163</v>
      </c>
      <c r="C47" s="3">
        <v>66</v>
      </c>
      <c r="D47" s="3">
        <v>55</v>
      </c>
      <c r="E47" s="3">
        <v>23</v>
      </c>
      <c r="F47" s="3">
        <v>14</v>
      </c>
      <c r="G47" s="3">
        <v>5</v>
      </c>
      <c r="J47" s="48">
        <v>1999</v>
      </c>
      <c r="K47" s="3">
        <v>570</v>
      </c>
      <c r="L47" s="3">
        <v>88</v>
      </c>
      <c r="M47" s="3">
        <v>119</v>
      </c>
      <c r="N47" s="3">
        <v>168</v>
      </c>
      <c r="O47" s="3">
        <v>90</v>
      </c>
      <c r="P47" s="3">
        <v>77</v>
      </c>
      <c r="Q47" s="3">
        <v>28</v>
      </c>
    </row>
    <row r="48" spans="1:17">
      <c r="A48" s="48">
        <v>2000</v>
      </c>
      <c r="B48" s="3">
        <v>163</v>
      </c>
      <c r="C48" s="3">
        <v>60</v>
      </c>
      <c r="D48" s="3">
        <v>51</v>
      </c>
      <c r="E48" s="3">
        <v>28</v>
      </c>
      <c r="F48" s="3">
        <v>17</v>
      </c>
      <c r="G48" s="3">
        <v>8</v>
      </c>
      <c r="J48" s="48">
        <v>2000</v>
      </c>
      <c r="K48" s="3">
        <v>566</v>
      </c>
      <c r="L48" s="3">
        <v>81</v>
      </c>
      <c r="M48" s="3">
        <v>116</v>
      </c>
      <c r="N48" s="3">
        <v>170</v>
      </c>
      <c r="O48" s="3">
        <v>94</v>
      </c>
      <c r="P48" s="3">
        <v>72</v>
      </c>
      <c r="Q48" s="3">
        <v>32</v>
      </c>
    </row>
    <row r="49" spans="1:17">
      <c r="A49" s="48">
        <v>2001</v>
      </c>
      <c r="B49" s="3">
        <v>148</v>
      </c>
      <c r="C49" s="3">
        <v>51</v>
      </c>
      <c r="D49" s="3">
        <v>44</v>
      </c>
      <c r="E49" s="3">
        <v>27</v>
      </c>
      <c r="F49" s="3">
        <v>16</v>
      </c>
      <c r="G49" s="3">
        <v>10</v>
      </c>
      <c r="J49" s="48">
        <v>2001</v>
      </c>
      <c r="K49" s="3">
        <v>578</v>
      </c>
      <c r="L49" s="3">
        <v>76</v>
      </c>
      <c r="M49" s="3">
        <v>109</v>
      </c>
      <c r="N49" s="3">
        <v>173</v>
      </c>
      <c r="O49" s="3">
        <v>104</v>
      </c>
      <c r="P49" s="3">
        <v>79</v>
      </c>
      <c r="Q49" s="3">
        <v>37</v>
      </c>
    </row>
    <row r="50" spans="1:17">
      <c r="A50" s="48">
        <v>2002</v>
      </c>
      <c r="B50" s="3">
        <v>143</v>
      </c>
      <c r="C50" s="3">
        <v>49</v>
      </c>
      <c r="D50" s="3">
        <v>43</v>
      </c>
      <c r="E50" s="3">
        <v>23</v>
      </c>
      <c r="F50" s="3">
        <v>19</v>
      </c>
      <c r="G50" s="3">
        <v>9</v>
      </c>
      <c r="J50" s="48">
        <v>2002</v>
      </c>
      <c r="K50" s="3">
        <v>615</v>
      </c>
      <c r="L50" s="3">
        <v>80</v>
      </c>
      <c r="M50" s="3">
        <v>124</v>
      </c>
      <c r="N50" s="3">
        <v>181</v>
      </c>
      <c r="O50" s="3">
        <v>114</v>
      </c>
      <c r="P50" s="3">
        <v>83</v>
      </c>
      <c r="Q50" s="3">
        <v>33</v>
      </c>
    </row>
    <row r="51" spans="1:17">
      <c r="A51" s="48">
        <v>2003</v>
      </c>
      <c r="B51" s="3">
        <v>120</v>
      </c>
      <c r="C51" s="3">
        <v>37</v>
      </c>
      <c r="D51" s="3">
        <v>40</v>
      </c>
      <c r="E51" s="3">
        <v>22</v>
      </c>
      <c r="F51" s="3">
        <v>13</v>
      </c>
      <c r="G51" s="3">
        <v>8</v>
      </c>
      <c r="J51" s="48">
        <v>2003</v>
      </c>
      <c r="K51" s="3">
        <v>635</v>
      </c>
      <c r="L51" s="3">
        <v>81</v>
      </c>
      <c r="M51" s="3">
        <v>121</v>
      </c>
      <c r="N51" s="3">
        <v>194</v>
      </c>
      <c r="O51" s="3">
        <v>111</v>
      </c>
      <c r="P51" s="3">
        <v>92</v>
      </c>
      <c r="Q51" s="3">
        <v>36</v>
      </c>
    </row>
    <row r="52" spans="1:17">
      <c r="A52" s="48">
        <v>2004</v>
      </c>
      <c r="B52" s="3">
        <v>141</v>
      </c>
      <c r="C52" s="3">
        <v>44</v>
      </c>
      <c r="D52" s="3">
        <v>39</v>
      </c>
      <c r="E52" s="3">
        <v>27</v>
      </c>
      <c r="F52" s="3">
        <v>20</v>
      </c>
      <c r="G52" s="3">
        <v>11</v>
      </c>
      <c r="J52" s="48">
        <v>2004</v>
      </c>
      <c r="K52" s="3">
        <v>700</v>
      </c>
      <c r="L52" s="3">
        <v>86</v>
      </c>
      <c r="M52" s="3">
        <v>133</v>
      </c>
      <c r="N52" s="3">
        <v>197</v>
      </c>
      <c r="O52" s="3">
        <v>138</v>
      </c>
      <c r="P52" s="3">
        <v>103</v>
      </c>
      <c r="Q52" s="3">
        <v>42</v>
      </c>
    </row>
    <row r="53" spans="1:17">
      <c r="A53" s="48">
        <v>2005</v>
      </c>
      <c r="B53" s="3">
        <v>143</v>
      </c>
      <c r="C53" s="3">
        <v>38</v>
      </c>
      <c r="D53" s="3">
        <v>43</v>
      </c>
      <c r="E53" s="3">
        <v>26</v>
      </c>
      <c r="F53" s="3">
        <v>23</v>
      </c>
      <c r="G53" s="3">
        <v>14</v>
      </c>
      <c r="J53" s="48">
        <v>2005</v>
      </c>
      <c r="K53" s="3">
        <v>760</v>
      </c>
      <c r="L53" s="3">
        <v>70</v>
      </c>
      <c r="M53" s="3">
        <v>135</v>
      </c>
      <c r="N53" s="3">
        <v>227</v>
      </c>
      <c r="O53" s="3">
        <v>143</v>
      </c>
      <c r="P53" s="3">
        <v>129</v>
      </c>
      <c r="Q53" s="3">
        <v>56</v>
      </c>
    </row>
    <row r="54" spans="1:17">
      <c r="A54" s="48">
        <v>2006</v>
      </c>
      <c r="B54" s="3">
        <v>161</v>
      </c>
      <c r="C54" s="3">
        <v>37</v>
      </c>
      <c r="D54" s="3">
        <v>47</v>
      </c>
      <c r="E54" s="3">
        <v>34</v>
      </c>
      <c r="F54" s="3">
        <v>22</v>
      </c>
      <c r="G54" s="3">
        <v>22</v>
      </c>
      <c r="J54" s="48">
        <v>2006</v>
      </c>
      <c r="K54" s="3">
        <v>826</v>
      </c>
      <c r="L54" s="3">
        <v>69</v>
      </c>
      <c r="M54" s="3">
        <v>153</v>
      </c>
      <c r="N54" s="3">
        <v>230</v>
      </c>
      <c r="O54" s="3">
        <v>166</v>
      </c>
      <c r="P54" s="3">
        <v>139</v>
      </c>
      <c r="Q54" s="3">
        <v>68</v>
      </c>
    </row>
    <row r="55" spans="1:17">
      <c r="A55" s="48">
        <v>2007</v>
      </c>
      <c r="B55" s="3">
        <v>135</v>
      </c>
      <c r="C55" s="3">
        <v>38</v>
      </c>
      <c r="D55" s="3">
        <v>32</v>
      </c>
      <c r="E55" s="3">
        <v>25</v>
      </c>
      <c r="F55" s="3">
        <v>21</v>
      </c>
      <c r="G55" s="3">
        <v>18</v>
      </c>
      <c r="J55" s="48">
        <v>2007</v>
      </c>
      <c r="K55" s="3">
        <v>631</v>
      </c>
      <c r="L55" s="3">
        <v>54</v>
      </c>
      <c r="M55" s="3">
        <v>105</v>
      </c>
      <c r="N55" s="3">
        <v>175</v>
      </c>
      <c r="O55" s="3">
        <v>126</v>
      </c>
      <c r="P55" s="3">
        <v>111</v>
      </c>
      <c r="Q55" s="3">
        <v>60</v>
      </c>
    </row>
    <row r="56" spans="1:17">
      <c r="A56" s="48">
        <v>2008</v>
      </c>
      <c r="B56" s="3">
        <v>150</v>
      </c>
      <c r="C56" s="3">
        <v>55</v>
      </c>
      <c r="D56" s="3">
        <v>38</v>
      </c>
      <c r="E56" s="3">
        <v>28</v>
      </c>
      <c r="F56" s="3">
        <v>15</v>
      </c>
      <c r="G56" s="3">
        <v>14</v>
      </c>
      <c r="J56" s="48">
        <v>2008</v>
      </c>
      <c r="K56" s="3">
        <v>417</v>
      </c>
      <c r="L56" s="3">
        <v>48</v>
      </c>
      <c r="M56" s="3">
        <v>66</v>
      </c>
      <c r="N56" s="3">
        <v>115</v>
      </c>
      <c r="O56" s="3">
        <v>75</v>
      </c>
      <c r="P56" s="3">
        <v>68</v>
      </c>
      <c r="Q56" s="3">
        <v>45</v>
      </c>
    </row>
    <row r="57" spans="1:17">
      <c r="A57" s="48">
        <v>2009</v>
      </c>
      <c r="B57" s="3">
        <v>135</v>
      </c>
      <c r="C57" s="3">
        <v>47</v>
      </c>
      <c r="D57" s="3">
        <v>38</v>
      </c>
      <c r="E57" s="3">
        <v>27</v>
      </c>
      <c r="F57" s="3">
        <v>15</v>
      </c>
      <c r="G57" s="3">
        <v>7</v>
      </c>
      <c r="J57" s="48">
        <v>2009</v>
      </c>
      <c r="K57" s="3">
        <v>259</v>
      </c>
      <c r="L57" s="3">
        <v>31</v>
      </c>
      <c r="M57" s="3">
        <v>49</v>
      </c>
      <c r="N57" s="3">
        <v>70</v>
      </c>
      <c r="O57" s="3">
        <v>47</v>
      </c>
      <c r="P57" s="3">
        <v>38</v>
      </c>
      <c r="Q57" s="3">
        <v>25</v>
      </c>
    </row>
    <row r="58" spans="1:17">
      <c r="A58" s="48">
        <v>2010</v>
      </c>
      <c r="B58" s="3">
        <v>59</v>
      </c>
      <c r="C58" s="3">
        <v>17</v>
      </c>
      <c r="D58" s="3">
        <v>16</v>
      </c>
      <c r="E58" s="3">
        <v>17</v>
      </c>
      <c r="F58" s="3">
        <v>6</v>
      </c>
      <c r="G58" s="3">
        <v>3</v>
      </c>
      <c r="J58" s="48">
        <v>2010</v>
      </c>
      <c r="K58" s="3">
        <v>258</v>
      </c>
      <c r="L58" s="3">
        <v>36</v>
      </c>
      <c r="M58" s="3">
        <v>47</v>
      </c>
      <c r="N58" s="3">
        <v>68</v>
      </c>
      <c r="O58" s="3">
        <v>46</v>
      </c>
      <c r="P58" s="3">
        <v>43</v>
      </c>
      <c r="Q58" s="3">
        <v>18</v>
      </c>
    </row>
    <row r="59" spans="1:17">
      <c r="A59" s="48">
        <v>2011</v>
      </c>
      <c r="B59" s="3">
        <v>60</v>
      </c>
      <c r="C59" s="3">
        <v>19</v>
      </c>
      <c r="D59" s="3">
        <v>10</v>
      </c>
      <c r="E59" s="3">
        <v>18</v>
      </c>
      <c r="F59" s="3">
        <v>11</v>
      </c>
      <c r="G59" s="3">
        <v>2</v>
      </c>
      <c r="J59" s="48">
        <v>2011</v>
      </c>
      <c r="K59" s="3">
        <v>236</v>
      </c>
      <c r="L59" s="3">
        <v>30</v>
      </c>
      <c r="M59" s="3">
        <v>40</v>
      </c>
      <c r="N59" s="3">
        <v>55</v>
      </c>
      <c r="O59" s="3">
        <v>41</v>
      </c>
      <c r="P59" s="3">
        <v>46</v>
      </c>
      <c r="Q59" s="3">
        <v>23</v>
      </c>
    </row>
    <row r="60" spans="1:17">
      <c r="A60" s="48">
        <v>2012</v>
      </c>
      <c r="B60" s="3">
        <v>74</v>
      </c>
      <c r="C60" s="3">
        <v>34</v>
      </c>
      <c r="D60" s="3">
        <v>14</v>
      </c>
      <c r="E60" s="3">
        <v>16</v>
      </c>
      <c r="F60" s="3">
        <v>7</v>
      </c>
      <c r="G60" s="3">
        <v>4</v>
      </c>
      <c r="J60" s="48">
        <v>2012</v>
      </c>
      <c r="K60" s="3">
        <v>250</v>
      </c>
      <c r="L60" s="3">
        <v>28</v>
      </c>
      <c r="M60" s="3">
        <v>39</v>
      </c>
      <c r="N60" s="3">
        <v>60</v>
      </c>
      <c r="O60" s="3">
        <v>49</v>
      </c>
      <c r="P60" s="3">
        <v>53</v>
      </c>
      <c r="Q60" s="3">
        <v>22</v>
      </c>
    </row>
    <row r="61" spans="1:17">
      <c r="A61" s="48">
        <v>2013</v>
      </c>
      <c r="B61" s="3">
        <v>93</v>
      </c>
      <c r="C61" s="3">
        <v>40</v>
      </c>
      <c r="D61" s="3">
        <v>26</v>
      </c>
      <c r="E61" s="3">
        <v>15</v>
      </c>
      <c r="F61" s="3">
        <v>9</v>
      </c>
      <c r="G61" s="3">
        <v>4</v>
      </c>
      <c r="J61" s="48">
        <v>2013</v>
      </c>
      <c r="K61" s="3">
        <v>296</v>
      </c>
      <c r="L61" s="3">
        <v>22</v>
      </c>
      <c r="M61" s="3">
        <v>39</v>
      </c>
      <c r="N61" s="3">
        <v>79</v>
      </c>
      <c r="O61" s="3">
        <v>58</v>
      </c>
      <c r="P61" s="3">
        <v>64</v>
      </c>
      <c r="Q61" s="3">
        <v>34</v>
      </c>
    </row>
    <row r="62" spans="1:17">
      <c r="A62" s="48">
        <v>2014</v>
      </c>
      <c r="B62" s="3">
        <v>112</v>
      </c>
      <c r="C62" s="3">
        <v>43</v>
      </c>
      <c r="D62" s="3">
        <v>31</v>
      </c>
      <c r="E62" s="3">
        <v>20</v>
      </c>
      <c r="F62" s="3">
        <v>10</v>
      </c>
      <c r="G62" s="3">
        <v>8</v>
      </c>
      <c r="J62" s="48">
        <v>2014</v>
      </c>
      <c r="K62" s="3">
        <v>329</v>
      </c>
      <c r="L62" s="3">
        <v>24</v>
      </c>
      <c r="M62" s="3">
        <v>41</v>
      </c>
      <c r="N62" s="3">
        <v>88</v>
      </c>
      <c r="O62" s="3">
        <v>67</v>
      </c>
      <c r="P62" s="3">
        <v>70</v>
      </c>
      <c r="Q62" s="3">
        <v>39</v>
      </c>
    </row>
    <row r="63" spans="1:17">
      <c r="A63" s="48">
        <v>2015</v>
      </c>
      <c r="B63" s="3">
        <v>138</v>
      </c>
      <c r="C63" s="3">
        <v>50</v>
      </c>
      <c r="D63" s="3">
        <v>45</v>
      </c>
      <c r="E63" s="3">
        <v>20</v>
      </c>
      <c r="F63" s="3">
        <v>16</v>
      </c>
      <c r="G63" s="3">
        <v>7</v>
      </c>
      <c r="J63" s="48">
        <v>2015</v>
      </c>
      <c r="K63" s="3">
        <v>352</v>
      </c>
      <c r="L63" s="3">
        <v>26</v>
      </c>
      <c r="M63" s="3">
        <v>39</v>
      </c>
      <c r="N63" s="3">
        <v>93</v>
      </c>
      <c r="O63" s="3">
        <v>74</v>
      </c>
      <c r="P63" s="3">
        <v>75</v>
      </c>
      <c r="Q63" s="3">
        <v>45</v>
      </c>
    </row>
    <row r="64" spans="1:17">
      <c r="A64" s="49">
        <v>2016</v>
      </c>
      <c r="B64" s="2">
        <v>148</v>
      </c>
      <c r="C64" s="2">
        <v>44</v>
      </c>
      <c r="D64" s="2">
        <v>46</v>
      </c>
      <c r="E64" s="2">
        <v>28</v>
      </c>
      <c r="F64" s="2">
        <v>19</v>
      </c>
      <c r="G64" s="2">
        <v>12</v>
      </c>
      <c r="J64" s="49">
        <v>2016</v>
      </c>
      <c r="K64" s="2">
        <v>403</v>
      </c>
      <c r="L64" s="2">
        <v>26</v>
      </c>
      <c r="M64" s="2">
        <v>55</v>
      </c>
      <c r="N64" s="2">
        <v>112</v>
      </c>
      <c r="O64" s="2">
        <v>84</v>
      </c>
      <c r="P64" s="2">
        <v>82</v>
      </c>
      <c r="Q64" s="2">
        <v>45</v>
      </c>
    </row>
    <row r="65" spans="1:17">
      <c r="A65" s="11" t="s">
        <v>21</v>
      </c>
      <c r="B65" s="11">
        <f t="shared" ref="B65:G65" si="2">SUM(B47:B64)</f>
        <v>2286</v>
      </c>
      <c r="C65" s="11">
        <f t="shared" si="2"/>
        <v>769</v>
      </c>
      <c r="D65" s="11">
        <f t="shared" si="2"/>
        <v>658</v>
      </c>
      <c r="E65" s="11">
        <f t="shared" si="2"/>
        <v>424</v>
      </c>
      <c r="F65" s="11">
        <f t="shared" si="2"/>
        <v>273</v>
      </c>
      <c r="G65" s="11">
        <f t="shared" si="2"/>
        <v>166</v>
      </c>
      <c r="J65" s="53" t="s">
        <v>21</v>
      </c>
      <c r="K65" s="11">
        <f>SUM(K47:K64)</f>
        <v>8681</v>
      </c>
      <c r="L65" s="11">
        <f t="shared" ref="L65:Q65" si="3">SUM(L47:L64)</f>
        <v>956</v>
      </c>
      <c r="M65" s="11">
        <f t="shared" si="3"/>
        <v>1530</v>
      </c>
      <c r="N65" s="11">
        <f t="shared" si="3"/>
        <v>2455</v>
      </c>
      <c r="O65" s="11">
        <f t="shared" si="3"/>
        <v>1627</v>
      </c>
      <c r="P65" s="11">
        <f t="shared" si="3"/>
        <v>1424</v>
      </c>
      <c r="Q65" s="11">
        <f t="shared" si="3"/>
        <v>688</v>
      </c>
    </row>
    <row r="68" spans="1:17">
      <c r="J68" s="23" t="s">
        <v>168</v>
      </c>
    </row>
    <row r="69" spans="1:17">
      <c r="J69" s="56" t="s">
        <v>165</v>
      </c>
      <c r="K69" s="157" t="s">
        <v>163</v>
      </c>
      <c r="L69" s="157"/>
      <c r="M69" s="157"/>
      <c r="N69" s="157"/>
    </row>
    <row r="70" spans="1:17">
      <c r="J70" s="42" t="s">
        <v>178</v>
      </c>
      <c r="K70" s="60" t="s">
        <v>138</v>
      </c>
      <c r="L70" s="3">
        <v>1.5</v>
      </c>
      <c r="M70" s="3">
        <v>3</v>
      </c>
      <c r="N70" s="3">
        <v>5</v>
      </c>
    </row>
    <row r="71" spans="1:17">
      <c r="J71" s="48">
        <v>1994</v>
      </c>
      <c r="K71" s="3">
        <v>74</v>
      </c>
      <c r="L71" s="3">
        <v>67</v>
      </c>
      <c r="M71" s="3" t="s">
        <v>177</v>
      </c>
      <c r="N71" s="3">
        <v>7</v>
      </c>
    </row>
    <row r="72" spans="1:17">
      <c r="J72" s="48">
        <v>1995</v>
      </c>
      <c r="K72" s="3">
        <v>109</v>
      </c>
      <c r="L72" s="3">
        <v>101</v>
      </c>
      <c r="M72" s="3" t="s">
        <v>177</v>
      </c>
      <c r="N72" s="3">
        <v>8</v>
      </c>
    </row>
    <row r="73" spans="1:17">
      <c r="J73" s="48">
        <v>1996</v>
      </c>
      <c r="K73" s="3">
        <v>130</v>
      </c>
      <c r="L73" s="3">
        <v>120</v>
      </c>
      <c r="M73" s="3" t="s">
        <v>177</v>
      </c>
      <c r="N73" s="3">
        <v>10</v>
      </c>
    </row>
    <row r="74" spans="1:17">
      <c r="J74" s="48">
        <v>1997</v>
      </c>
      <c r="K74" s="3">
        <v>129</v>
      </c>
      <c r="L74" s="3">
        <v>114</v>
      </c>
      <c r="M74" s="3" t="s">
        <v>177</v>
      </c>
      <c r="N74" s="3">
        <v>15</v>
      </c>
    </row>
    <row r="75" spans="1:17">
      <c r="J75" s="48">
        <v>1998</v>
      </c>
      <c r="K75" s="3">
        <v>154</v>
      </c>
      <c r="L75" s="3">
        <v>143</v>
      </c>
      <c r="M75" s="3" t="s">
        <v>177</v>
      </c>
      <c r="N75" s="3">
        <v>12</v>
      </c>
    </row>
    <row r="76" spans="1:17">
      <c r="J76" s="48">
        <v>1999</v>
      </c>
      <c r="K76" s="3">
        <v>163</v>
      </c>
      <c r="L76" s="3">
        <v>142</v>
      </c>
      <c r="M76" s="3" t="s">
        <v>177</v>
      </c>
      <c r="N76" s="3">
        <v>21</v>
      </c>
    </row>
    <row r="77" spans="1:17">
      <c r="J77" s="48">
        <v>2000</v>
      </c>
      <c r="K77" s="3">
        <v>163</v>
      </c>
      <c r="L77" s="3">
        <v>138</v>
      </c>
      <c r="M77" s="3" t="s">
        <v>177</v>
      </c>
      <c r="N77" s="3">
        <v>25</v>
      </c>
    </row>
    <row r="78" spans="1:17">
      <c r="J78" s="48">
        <v>2001</v>
      </c>
      <c r="K78" s="3">
        <v>148</v>
      </c>
      <c r="L78" s="3">
        <v>122</v>
      </c>
      <c r="M78" s="3" t="s">
        <v>177</v>
      </c>
      <c r="N78" s="3">
        <v>26</v>
      </c>
    </row>
    <row r="79" spans="1:17">
      <c r="J79" s="48">
        <v>2002</v>
      </c>
      <c r="K79" s="3">
        <v>143</v>
      </c>
      <c r="L79" s="3">
        <v>115</v>
      </c>
      <c r="M79" s="3" t="s">
        <v>177</v>
      </c>
      <c r="N79" s="3">
        <v>28</v>
      </c>
    </row>
    <row r="80" spans="1:17">
      <c r="J80" s="48">
        <v>2003</v>
      </c>
      <c r="K80" s="3">
        <v>120</v>
      </c>
      <c r="L80" s="3">
        <v>97</v>
      </c>
      <c r="M80" s="3" t="s">
        <v>177</v>
      </c>
      <c r="N80" s="3">
        <v>23</v>
      </c>
    </row>
    <row r="81" spans="10:14">
      <c r="J81" s="48">
        <v>2004</v>
      </c>
      <c r="K81" s="3">
        <v>141</v>
      </c>
      <c r="L81" s="3">
        <v>107</v>
      </c>
      <c r="M81" s="3" t="s">
        <v>177</v>
      </c>
      <c r="N81" s="3">
        <v>33</v>
      </c>
    </row>
    <row r="82" spans="10:14">
      <c r="J82" s="48">
        <v>2005</v>
      </c>
      <c r="K82" s="3">
        <v>143</v>
      </c>
      <c r="L82" s="3">
        <v>101</v>
      </c>
      <c r="M82" s="3" t="s">
        <v>177</v>
      </c>
      <c r="N82" s="3">
        <v>43</v>
      </c>
    </row>
    <row r="83" spans="10:14">
      <c r="J83" s="48">
        <v>2006</v>
      </c>
      <c r="K83" s="3">
        <v>161</v>
      </c>
      <c r="L83" s="3">
        <v>107</v>
      </c>
      <c r="M83" s="3" t="s">
        <v>177</v>
      </c>
      <c r="N83" s="3">
        <v>53</v>
      </c>
    </row>
    <row r="84" spans="10:14">
      <c r="J84" s="48">
        <v>2007</v>
      </c>
      <c r="K84" s="3">
        <v>135</v>
      </c>
      <c r="L84" s="3">
        <v>86</v>
      </c>
      <c r="M84" s="3" t="s">
        <v>177</v>
      </c>
      <c r="N84" s="3">
        <v>48</v>
      </c>
    </row>
    <row r="85" spans="10:14">
      <c r="J85" s="48">
        <v>2008</v>
      </c>
      <c r="K85" s="3">
        <v>150</v>
      </c>
      <c r="L85" s="3">
        <v>95</v>
      </c>
      <c r="M85" s="3" t="s">
        <v>177</v>
      </c>
      <c r="N85" s="3">
        <v>55</v>
      </c>
    </row>
    <row r="86" spans="10:14">
      <c r="J86" s="48">
        <v>2009</v>
      </c>
      <c r="K86" s="3">
        <v>135</v>
      </c>
      <c r="L86" s="3">
        <v>87</v>
      </c>
      <c r="M86" s="3" t="s">
        <v>177</v>
      </c>
      <c r="N86" s="3">
        <v>48</v>
      </c>
    </row>
    <row r="87" spans="10:14">
      <c r="J87" s="48">
        <v>2010</v>
      </c>
      <c r="K87" s="3">
        <v>59</v>
      </c>
      <c r="L87" s="3">
        <v>38</v>
      </c>
      <c r="M87" s="3" t="s">
        <v>177</v>
      </c>
      <c r="N87" s="3">
        <v>21</v>
      </c>
    </row>
    <row r="88" spans="10:14">
      <c r="J88" s="48">
        <v>2011</v>
      </c>
      <c r="K88" s="3">
        <v>60</v>
      </c>
      <c r="L88" s="3">
        <v>49</v>
      </c>
      <c r="M88" s="3" t="s">
        <v>177</v>
      </c>
      <c r="N88" s="3">
        <v>11</v>
      </c>
    </row>
    <row r="89" spans="10:14">
      <c r="J89" s="48">
        <v>2012</v>
      </c>
      <c r="K89" s="3">
        <v>74</v>
      </c>
      <c r="L89" s="3">
        <v>56</v>
      </c>
      <c r="M89" s="3" t="s">
        <v>177</v>
      </c>
      <c r="N89" s="3">
        <v>19</v>
      </c>
    </row>
    <row r="90" spans="10:14">
      <c r="J90" s="61">
        <v>2013</v>
      </c>
      <c r="K90" s="62">
        <v>93</v>
      </c>
      <c r="L90" s="62">
        <v>21</v>
      </c>
      <c r="M90" s="62">
        <v>42</v>
      </c>
      <c r="N90" s="62">
        <v>30</v>
      </c>
    </row>
    <row r="91" spans="10:14">
      <c r="J91" s="61">
        <v>2014</v>
      </c>
      <c r="K91" s="62">
        <v>112</v>
      </c>
      <c r="L91" s="62">
        <v>15</v>
      </c>
      <c r="M91" s="62">
        <v>42</v>
      </c>
      <c r="N91" s="62">
        <v>54</v>
      </c>
    </row>
    <row r="92" spans="10:14">
      <c r="J92" s="61">
        <v>2015</v>
      </c>
      <c r="K92" s="62">
        <v>138</v>
      </c>
      <c r="L92" s="62">
        <v>26</v>
      </c>
      <c r="M92" s="62">
        <v>47</v>
      </c>
      <c r="N92" s="62">
        <v>65</v>
      </c>
    </row>
    <row r="93" spans="10:14">
      <c r="J93" s="61">
        <v>2016</v>
      </c>
      <c r="K93" s="62">
        <v>148</v>
      </c>
      <c r="L93" s="62">
        <v>20</v>
      </c>
      <c r="M93" s="62">
        <v>52</v>
      </c>
      <c r="N93" s="62">
        <v>76</v>
      </c>
    </row>
    <row r="94" spans="10:14">
      <c r="J94" s="53" t="s">
        <v>21</v>
      </c>
      <c r="K94" s="11">
        <f>SUM(K90:K93)</f>
        <v>491</v>
      </c>
      <c r="L94" s="11">
        <f>SUM(L90:L93)</f>
        <v>82</v>
      </c>
      <c r="M94" s="11">
        <f t="shared" ref="M94" si="4">SUM(M71:M93)</f>
        <v>183</v>
      </c>
      <c r="N94" s="11">
        <f>SUM(N90:N93)</f>
        <v>225</v>
      </c>
    </row>
  </sheetData>
  <mergeCells count="3">
    <mergeCell ref="B45:G45"/>
    <mergeCell ref="K45:Q45"/>
    <mergeCell ref="K69:N69"/>
  </mergeCells>
  <hyperlinks>
    <hyperlink ref="J44" r:id="rId1"/>
    <hyperlink ref="A44" r:id="rId2"/>
  </hyperlinks>
  <pageMargins left="0.7" right="0.7" top="0.75" bottom="0.75" header="0.3" footer="0.3"/>
  <pageSetup orientation="portrait" verticalDpi="0"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77BC1F"/>
  </sheetPr>
  <dimension ref="A1:AB76"/>
  <sheetViews>
    <sheetView topLeftCell="A36" workbookViewId="0">
      <selection activeCell="J52" sqref="J52"/>
    </sheetView>
  </sheetViews>
  <sheetFormatPr defaultColWidth="9" defaultRowHeight="14.4" outlineLevelRow="1"/>
  <cols>
    <col min="1" max="1" width="47.09765625" style="3" bestFit="1" customWidth="1"/>
    <col min="2" max="2" width="19.5" style="3" customWidth="1"/>
    <col min="3" max="3" width="16.5" style="3" customWidth="1"/>
    <col min="4" max="4" width="27.59765625" style="3" bestFit="1" customWidth="1"/>
    <col min="5" max="5" width="18.5" style="3" hidden="1" customWidth="1"/>
    <col min="6" max="6" width="18.5" style="3" customWidth="1"/>
    <col min="7" max="16384" width="9" style="3"/>
  </cols>
  <sheetData>
    <row r="1" spans="1:24">
      <c r="A1" s="23" t="s">
        <v>125</v>
      </c>
      <c r="B1" s="2"/>
      <c r="C1" s="2"/>
      <c r="D1" s="2"/>
      <c r="E1" s="2"/>
    </row>
    <row r="2" spans="1:24">
      <c r="A2" s="38" t="s">
        <v>126</v>
      </c>
      <c r="B2" s="38" t="s">
        <v>0</v>
      </c>
      <c r="C2" s="38" t="s">
        <v>194</v>
      </c>
      <c r="D2" s="38" t="s">
        <v>176</v>
      </c>
      <c r="E2" s="38" t="s">
        <v>181</v>
      </c>
      <c r="G2" s="15" t="s">
        <v>154</v>
      </c>
    </row>
    <row r="3" spans="1:24">
      <c r="A3" s="3" t="s">
        <v>124</v>
      </c>
      <c r="B3" s="3" t="s">
        <v>105</v>
      </c>
      <c r="C3" s="27">
        <f>300/((64.7*39.1)/144)</f>
        <v>17.076651237068983</v>
      </c>
      <c r="D3" s="27">
        <v>1116</v>
      </c>
      <c r="E3" s="27">
        <f>250/((77*39)/144)</f>
        <v>11.988011988011987</v>
      </c>
      <c r="G3" s="15" t="s">
        <v>157</v>
      </c>
    </row>
    <row r="4" spans="1:24">
      <c r="A4" s="3" t="s">
        <v>127</v>
      </c>
      <c r="B4" s="3" t="s">
        <v>110</v>
      </c>
      <c r="C4" s="27">
        <f t="shared" ref="C4:C9" si="0">300/((64.7*39.1)/144)</f>
        <v>17.076651237068983</v>
      </c>
      <c r="D4" s="27">
        <f>J42/J18</f>
        <v>1514.8518218975</v>
      </c>
      <c r="E4" s="27">
        <f t="shared" ref="E4:E9" si="1">250/((77*39)/144)</f>
        <v>11.988011988011987</v>
      </c>
      <c r="G4" s="15" t="s">
        <v>195</v>
      </c>
    </row>
    <row r="5" spans="1:24">
      <c r="A5" s="3" t="s">
        <v>128</v>
      </c>
      <c r="B5" s="3" t="s">
        <v>108</v>
      </c>
      <c r="C5" s="27">
        <f t="shared" si="0"/>
        <v>17.076651237068983</v>
      </c>
      <c r="D5" s="27">
        <f>X42/X18</f>
        <v>1435.6718139674999</v>
      </c>
      <c r="E5" s="27">
        <f t="shared" si="1"/>
        <v>11.988011988011987</v>
      </c>
      <c r="G5" s="15" t="s">
        <v>158</v>
      </c>
    </row>
    <row r="6" spans="1:24">
      <c r="A6" s="3" t="s">
        <v>128</v>
      </c>
      <c r="B6" s="3" t="s">
        <v>107</v>
      </c>
      <c r="C6" s="27">
        <f t="shared" si="0"/>
        <v>17.076651237068983</v>
      </c>
      <c r="D6" s="27">
        <f>X42/X18</f>
        <v>1435.6718139674999</v>
      </c>
      <c r="E6" s="27">
        <f t="shared" si="1"/>
        <v>11.988011988011987</v>
      </c>
      <c r="G6" s="15" t="s">
        <v>155</v>
      </c>
    </row>
    <row r="7" spans="1:24">
      <c r="A7" s="3" t="s">
        <v>129</v>
      </c>
      <c r="B7" s="3" t="s">
        <v>111</v>
      </c>
      <c r="C7" s="27">
        <f t="shared" si="0"/>
        <v>17.076651237068983</v>
      </c>
      <c r="D7" s="27">
        <f>Q42/Q18</f>
        <v>1553.362205505</v>
      </c>
      <c r="E7" s="27">
        <f t="shared" si="1"/>
        <v>11.988011988011987</v>
      </c>
      <c r="G7" s="15" t="s">
        <v>156</v>
      </c>
    </row>
    <row r="8" spans="1:24">
      <c r="A8" s="3" t="s">
        <v>185</v>
      </c>
      <c r="B8" s="3" t="s">
        <v>106</v>
      </c>
      <c r="C8" s="27">
        <f t="shared" si="0"/>
        <v>17.076651237068983</v>
      </c>
      <c r="D8" s="140">
        <f>(B76/B52*0.1)+(Q42/Q18*0.45)+(J42/J18*0.45)</f>
        <v>1520.2110706313752</v>
      </c>
      <c r="E8" s="27">
        <f t="shared" si="1"/>
        <v>11.988011988011987</v>
      </c>
    </row>
    <row r="9" spans="1:24" ht="15.6">
      <c r="A9" s="2" t="s">
        <v>130</v>
      </c>
      <c r="B9" s="2" t="s">
        <v>109</v>
      </c>
      <c r="C9" s="33">
        <f t="shared" si="0"/>
        <v>17.076651237068983</v>
      </c>
      <c r="D9" s="33">
        <f>J76/J52</f>
        <v>1480.3609619199999</v>
      </c>
      <c r="E9" s="33">
        <f t="shared" si="1"/>
        <v>11.988011988011987</v>
      </c>
      <c r="G9" s="71" t="s">
        <v>180</v>
      </c>
    </row>
    <row r="10" spans="1:24">
      <c r="C10" s="30"/>
      <c r="D10" s="30"/>
      <c r="G10" s="15" t="s">
        <v>182</v>
      </c>
    </row>
    <row r="11" spans="1:24">
      <c r="A11" s="63" t="s">
        <v>144</v>
      </c>
    </row>
    <row r="12" spans="1:24" outlineLevel="1">
      <c r="A12" s="3" t="s">
        <v>28</v>
      </c>
      <c r="C12" s="5">
        <f>4000/C9</f>
        <v>234.23796296296297</v>
      </c>
      <c r="D12" s="27">
        <v>1116</v>
      </c>
      <c r="F12" s="25">
        <v>1116</v>
      </c>
      <c r="I12" s="3" t="s">
        <v>28</v>
      </c>
      <c r="P12" s="3" t="s">
        <v>28</v>
      </c>
      <c r="W12" s="3" t="s">
        <v>28</v>
      </c>
    </row>
    <row r="13" spans="1:24" outlineLevel="1">
      <c r="A13" s="3" t="s">
        <v>29</v>
      </c>
      <c r="B13" s="3" t="s">
        <v>124</v>
      </c>
      <c r="D13" s="27">
        <v>1514.8518218975</v>
      </c>
      <c r="F13" s="25">
        <v>1514.9</v>
      </c>
      <c r="I13" s="3" t="s">
        <v>29</v>
      </c>
      <c r="J13" s="26" t="s">
        <v>127</v>
      </c>
      <c r="P13" s="3" t="s">
        <v>29</v>
      </c>
      <c r="Q13" s="3" t="s">
        <v>132</v>
      </c>
      <c r="W13" s="3" t="s">
        <v>29</v>
      </c>
      <c r="X13" s="3" t="s">
        <v>134</v>
      </c>
    </row>
    <row r="14" spans="1:24" outlineLevel="1">
      <c r="A14" s="3" t="s">
        <v>30</v>
      </c>
      <c r="B14" s="3" t="s">
        <v>31</v>
      </c>
      <c r="D14" s="27">
        <v>1435.6718139674999</v>
      </c>
      <c r="F14" s="25">
        <v>1435.7</v>
      </c>
      <c r="I14" s="3" t="s">
        <v>30</v>
      </c>
      <c r="J14" s="3" t="s">
        <v>131</v>
      </c>
      <c r="P14" s="3" t="s">
        <v>30</v>
      </c>
      <c r="Q14" s="3" t="s">
        <v>133</v>
      </c>
      <c r="W14" s="3" t="s">
        <v>30</v>
      </c>
      <c r="X14" s="3" t="s">
        <v>135</v>
      </c>
    </row>
    <row r="15" spans="1:24" outlineLevel="1">
      <c r="A15" s="3" t="s">
        <v>32</v>
      </c>
      <c r="B15" s="3">
        <v>25.77</v>
      </c>
      <c r="D15" s="27">
        <v>1435.6718139674999</v>
      </c>
      <c r="F15" s="25">
        <v>1435.7</v>
      </c>
      <c r="I15" s="3" t="s">
        <v>32</v>
      </c>
      <c r="J15" s="3">
        <v>28.53</v>
      </c>
      <c r="P15" s="3" t="s">
        <v>32</v>
      </c>
      <c r="Q15" s="3">
        <v>27.93</v>
      </c>
      <c r="W15" s="3" t="s">
        <v>32</v>
      </c>
      <c r="X15" s="3">
        <v>30.33</v>
      </c>
    </row>
    <row r="16" spans="1:24" outlineLevel="1">
      <c r="A16" s="3" t="s">
        <v>33</v>
      </c>
      <c r="B16" s="3">
        <v>80.180000000000007</v>
      </c>
      <c r="D16" s="27">
        <v>1553.362205505</v>
      </c>
      <c r="F16" s="25">
        <v>1553.4</v>
      </c>
      <c r="I16" s="3" t="s">
        <v>33</v>
      </c>
      <c r="J16" s="3">
        <v>81.38</v>
      </c>
      <c r="P16" s="3" t="s">
        <v>33</v>
      </c>
      <c r="Q16" s="3">
        <v>82.46</v>
      </c>
      <c r="W16" s="3" t="s">
        <v>33</v>
      </c>
      <c r="X16" s="3">
        <v>81.66</v>
      </c>
    </row>
    <row r="17" spans="1:28" outlineLevel="1">
      <c r="A17" s="3" t="s">
        <v>34</v>
      </c>
      <c r="B17" s="3">
        <v>0</v>
      </c>
      <c r="D17" s="27">
        <v>1520.2110706313752</v>
      </c>
      <c r="F17" s="25">
        <v>1520.2</v>
      </c>
      <c r="I17" s="3" t="s">
        <v>34</v>
      </c>
      <c r="J17" s="3">
        <v>31.049999237061002</v>
      </c>
      <c r="P17" s="3" t="s">
        <v>34</v>
      </c>
      <c r="Q17" s="3">
        <v>2.8235294818878001</v>
      </c>
      <c r="W17" s="3" t="s">
        <v>34</v>
      </c>
      <c r="X17" s="3">
        <v>12.60000038147</v>
      </c>
    </row>
    <row r="18" spans="1:28" outlineLevel="1">
      <c r="A18" s="3" t="s">
        <v>35</v>
      </c>
      <c r="B18" s="3">
        <v>4</v>
      </c>
      <c r="D18" s="27">
        <v>1480.3609619199999</v>
      </c>
      <c r="F18" s="25">
        <v>1480.4</v>
      </c>
      <c r="I18" s="3" t="s">
        <v>35</v>
      </c>
      <c r="J18" s="3">
        <v>4</v>
      </c>
      <c r="P18" s="3" t="s">
        <v>35</v>
      </c>
      <c r="Q18" s="3">
        <v>4</v>
      </c>
      <c r="W18" s="3" t="s">
        <v>35</v>
      </c>
      <c r="X18" s="3">
        <v>4</v>
      </c>
    </row>
    <row r="19" spans="1:28" outlineLevel="1">
      <c r="A19" s="3" t="s">
        <v>36</v>
      </c>
      <c r="B19" s="3" t="s">
        <v>37</v>
      </c>
      <c r="I19" s="3" t="s">
        <v>36</v>
      </c>
      <c r="J19" s="3" t="s">
        <v>37</v>
      </c>
      <c r="P19" s="3" t="s">
        <v>36</v>
      </c>
      <c r="Q19" s="3" t="s">
        <v>37</v>
      </c>
      <c r="W19" s="3" t="s">
        <v>36</v>
      </c>
      <c r="X19" s="3" t="s">
        <v>37</v>
      </c>
    </row>
    <row r="20" spans="1:28" outlineLevel="1">
      <c r="A20" s="3" t="s">
        <v>38</v>
      </c>
      <c r="B20" s="3" t="s">
        <v>198</v>
      </c>
      <c r="I20" s="3" t="s">
        <v>38</v>
      </c>
      <c r="J20" s="3" t="s">
        <v>198</v>
      </c>
      <c r="P20" s="3" t="s">
        <v>38</v>
      </c>
      <c r="Q20" s="3" t="s">
        <v>198</v>
      </c>
      <c r="W20" s="3" t="s">
        <v>38</v>
      </c>
      <c r="X20" s="3" t="s">
        <v>198</v>
      </c>
    </row>
    <row r="21" spans="1:28" outlineLevel="1">
      <c r="A21" s="3" t="s">
        <v>39</v>
      </c>
      <c r="B21" s="3">
        <v>25.8</v>
      </c>
      <c r="I21" s="3" t="s">
        <v>39</v>
      </c>
      <c r="J21" s="3">
        <v>28.5</v>
      </c>
      <c r="P21" s="3" t="s">
        <v>39</v>
      </c>
      <c r="Q21" s="3">
        <v>27.9</v>
      </c>
      <c r="W21" s="3" t="s">
        <v>39</v>
      </c>
      <c r="X21" s="3">
        <v>30.3</v>
      </c>
    </row>
    <row r="22" spans="1:28" outlineLevel="1">
      <c r="A22" s="3" t="s">
        <v>40</v>
      </c>
      <c r="B22" s="3">
        <v>180</v>
      </c>
      <c r="I22" s="3" t="s">
        <v>40</v>
      </c>
      <c r="J22" s="3">
        <v>180</v>
      </c>
      <c r="P22" s="3" t="s">
        <v>40</v>
      </c>
      <c r="Q22" s="3">
        <v>180</v>
      </c>
      <c r="W22" s="3" t="s">
        <v>40</v>
      </c>
      <c r="X22" s="3">
        <v>180</v>
      </c>
    </row>
    <row r="23" spans="1:28" outlineLevel="1">
      <c r="A23" s="3" t="s">
        <v>41</v>
      </c>
      <c r="B23" s="3">
        <v>14</v>
      </c>
      <c r="I23" s="3" t="s">
        <v>41</v>
      </c>
      <c r="J23" s="3">
        <v>14</v>
      </c>
      <c r="P23" s="3" t="s">
        <v>41</v>
      </c>
      <c r="Q23" s="3">
        <v>14</v>
      </c>
      <c r="W23" s="3" t="s">
        <v>41</v>
      </c>
      <c r="X23" s="3">
        <v>14</v>
      </c>
    </row>
    <row r="24" spans="1:28" outlineLevel="1">
      <c r="A24" s="3" t="s">
        <v>42</v>
      </c>
      <c r="B24" s="13">
        <v>0.96</v>
      </c>
      <c r="I24" s="3" t="s">
        <v>42</v>
      </c>
      <c r="J24" s="3">
        <v>96</v>
      </c>
      <c r="P24" s="3" t="s">
        <v>42</v>
      </c>
      <c r="Q24" s="3">
        <v>96</v>
      </c>
      <c r="W24" s="3" t="s">
        <v>42</v>
      </c>
      <c r="X24" s="3">
        <v>96</v>
      </c>
    </row>
    <row r="25" spans="1:28" outlineLevel="1">
      <c r="A25" s="3" t="s">
        <v>43</v>
      </c>
      <c r="B25" s="3">
        <v>1.1000000000000001</v>
      </c>
      <c r="I25" s="3" t="s">
        <v>43</v>
      </c>
      <c r="J25" s="3">
        <v>1.1000000000000001</v>
      </c>
      <c r="P25" s="3" t="s">
        <v>43</v>
      </c>
      <c r="Q25" s="3">
        <v>1.1000000000000001</v>
      </c>
      <c r="W25" s="3" t="s">
        <v>43</v>
      </c>
      <c r="X25" s="3">
        <v>1.1000000000000001</v>
      </c>
    </row>
    <row r="26" spans="1:28" outlineLevel="1">
      <c r="A26" s="3" t="s">
        <v>44</v>
      </c>
      <c r="B26" s="3">
        <v>0.104</v>
      </c>
      <c r="I26" s="3" t="s">
        <v>44</v>
      </c>
      <c r="J26" s="3">
        <v>0.111</v>
      </c>
      <c r="P26" s="3" t="s">
        <v>44</v>
      </c>
      <c r="Q26" s="3">
        <v>0.114</v>
      </c>
      <c r="W26" s="3" t="s">
        <v>44</v>
      </c>
      <c r="X26" s="3">
        <v>0.124</v>
      </c>
    </row>
    <row r="27" spans="1:28" outlineLevel="1">
      <c r="A27" s="3" t="s">
        <v>45</v>
      </c>
      <c r="B27" s="18">
        <v>0.17799999999999999</v>
      </c>
      <c r="I27" s="3" t="s">
        <v>45</v>
      </c>
      <c r="J27" s="75">
        <v>0.17299999999999999</v>
      </c>
      <c r="P27" s="3" t="s">
        <v>45</v>
      </c>
      <c r="Q27" s="108">
        <v>0.17699999999999999</v>
      </c>
      <c r="W27" s="3" t="s">
        <v>45</v>
      </c>
      <c r="X27" s="75">
        <v>0.16400000000000001</v>
      </c>
    </row>
    <row r="28" spans="1:28" outlineLevel="1"/>
    <row r="29" spans="1:28" outlineLevel="1">
      <c r="A29" s="3" t="s">
        <v>46</v>
      </c>
      <c r="B29" s="3" t="s">
        <v>47</v>
      </c>
      <c r="C29" s="3" t="s">
        <v>48</v>
      </c>
      <c r="D29" s="3" t="s">
        <v>49</v>
      </c>
      <c r="E29" s="3" t="s">
        <v>50</v>
      </c>
      <c r="F29" s="3" t="s">
        <v>51</v>
      </c>
      <c r="I29" s="3" t="s">
        <v>46</v>
      </c>
      <c r="J29" s="3" t="s">
        <v>47</v>
      </c>
      <c r="K29" s="3" t="s">
        <v>48</v>
      </c>
      <c r="L29" s="3" t="s">
        <v>49</v>
      </c>
      <c r="M29" s="3" t="s">
        <v>50</v>
      </c>
      <c r="N29" s="3" t="s">
        <v>51</v>
      </c>
      <c r="P29" s="3" t="s">
        <v>46</v>
      </c>
      <c r="Q29" s="3" t="s">
        <v>47</v>
      </c>
      <c r="R29" s="3" t="s">
        <v>48</v>
      </c>
      <c r="S29" s="3" t="s">
        <v>49</v>
      </c>
      <c r="T29" s="3" t="s">
        <v>50</v>
      </c>
      <c r="U29" s="3" t="s">
        <v>51</v>
      </c>
      <c r="W29" s="3" t="s">
        <v>46</v>
      </c>
      <c r="X29" s="3" t="s">
        <v>47</v>
      </c>
      <c r="Y29" s="3" t="s">
        <v>48</v>
      </c>
      <c r="Z29" s="3" t="s">
        <v>49</v>
      </c>
      <c r="AA29" s="3" t="s">
        <v>50</v>
      </c>
      <c r="AB29" s="3" t="s">
        <v>51</v>
      </c>
    </row>
    <row r="30" spans="1:28" outlineLevel="1">
      <c r="A30" s="3">
        <v>1</v>
      </c>
      <c r="B30" s="3">
        <v>490.70858765000003</v>
      </c>
      <c r="C30" s="3">
        <v>5.23141766</v>
      </c>
      <c r="D30" s="3">
        <v>162.17395020000001</v>
      </c>
      <c r="E30" s="3">
        <v>512.13507079999999</v>
      </c>
      <c r="F30" s="3">
        <v>51.03</v>
      </c>
      <c r="I30" s="3">
        <v>1</v>
      </c>
      <c r="J30" s="3">
        <v>488.16967772999999</v>
      </c>
      <c r="K30" s="3">
        <v>5.2319974900000004</v>
      </c>
      <c r="L30" s="3">
        <v>162.19192505000001</v>
      </c>
      <c r="M30" s="3">
        <v>509.67639159999999</v>
      </c>
      <c r="N30" s="3">
        <v>54.24</v>
      </c>
      <c r="P30" s="3">
        <v>1</v>
      </c>
      <c r="Q30" s="3">
        <v>495.27139282000002</v>
      </c>
      <c r="R30" s="3">
        <v>5.2020120600000004</v>
      </c>
      <c r="S30" s="3">
        <v>161.26237488000001</v>
      </c>
      <c r="T30" s="3">
        <v>516.65533446999996</v>
      </c>
      <c r="U30" s="3">
        <v>56.56</v>
      </c>
      <c r="W30" s="3">
        <v>1</v>
      </c>
      <c r="X30" s="3">
        <v>449.00582886000001</v>
      </c>
      <c r="Y30" s="3">
        <v>4.9276885999999998</v>
      </c>
      <c r="Z30" s="3">
        <v>152.75834656000001</v>
      </c>
      <c r="AA30" s="3">
        <v>468.49258422999998</v>
      </c>
      <c r="AB30" s="3">
        <v>55.68</v>
      </c>
    </row>
    <row r="31" spans="1:28" outlineLevel="1">
      <c r="A31" s="3">
        <v>2</v>
      </c>
      <c r="B31" s="3">
        <v>485.79275512999999</v>
      </c>
      <c r="C31" s="3">
        <v>5.7365670199999999</v>
      </c>
      <c r="D31" s="3">
        <v>160.62387085</v>
      </c>
      <c r="E31" s="3">
        <v>506.67037964000002</v>
      </c>
      <c r="F31" s="3">
        <v>50.52</v>
      </c>
      <c r="I31" s="3">
        <v>2</v>
      </c>
      <c r="J31" s="3">
        <v>453.19824218999997</v>
      </c>
      <c r="K31" s="3">
        <v>5.3403429999999998</v>
      </c>
      <c r="L31" s="3">
        <v>149.52960204999999</v>
      </c>
      <c r="M31" s="3">
        <v>473.02377318999999</v>
      </c>
      <c r="N31" s="3">
        <v>50.35</v>
      </c>
      <c r="P31" s="3">
        <v>2</v>
      </c>
      <c r="Q31" s="3">
        <v>475.02331543000003</v>
      </c>
      <c r="R31" s="3">
        <v>5.5304422400000002</v>
      </c>
      <c r="S31" s="3">
        <v>154.85238647</v>
      </c>
      <c r="T31" s="3">
        <v>495.71578978999997</v>
      </c>
      <c r="U31" s="3">
        <v>54.25</v>
      </c>
      <c r="W31" s="3">
        <v>2</v>
      </c>
      <c r="X31" s="3">
        <v>424.31552124000001</v>
      </c>
      <c r="Y31" s="3">
        <v>5.17850637</v>
      </c>
      <c r="Z31" s="3">
        <v>144.9981842</v>
      </c>
      <c r="AA31" s="3">
        <v>443.19839478</v>
      </c>
      <c r="AB31" s="3">
        <v>52.62</v>
      </c>
    </row>
    <row r="32" spans="1:28" outlineLevel="1">
      <c r="A32" s="3">
        <v>3</v>
      </c>
      <c r="B32" s="3">
        <v>597.21307373000002</v>
      </c>
      <c r="C32" s="3">
        <v>6.4047574999999997</v>
      </c>
      <c r="D32" s="3">
        <v>198.54748534999999</v>
      </c>
      <c r="E32" s="3">
        <v>622.29943848000005</v>
      </c>
      <c r="F32" s="3">
        <v>62.11</v>
      </c>
      <c r="I32" s="3">
        <v>3</v>
      </c>
      <c r="J32" s="3">
        <v>574.17791748000002</v>
      </c>
      <c r="K32" s="3">
        <v>6.2782239899999999</v>
      </c>
      <c r="L32" s="3">
        <v>194.62493896000001</v>
      </c>
      <c r="M32" s="3">
        <v>598.65838623000002</v>
      </c>
      <c r="N32" s="3">
        <v>63.79</v>
      </c>
      <c r="P32" s="3">
        <v>3</v>
      </c>
      <c r="Q32" s="3">
        <v>598.25872803000004</v>
      </c>
      <c r="R32" s="3">
        <v>6.5734243399999999</v>
      </c>
      <c r="S32" s="3">
        <v>203.77615356000001</v>
      </c>
      <c r="T32" s="3">
        <v>623.63928223000005</v>
      </c>
      <c r="U32" s="3">
        <v>68.319999999999993</v>
      </c>
      <c r="W32" s="3">
        <v>3</v>
      </c>
      <c r="X32" s="3">
        <v>536.27362060999997</v>
      </c>
      <c r="Y32" s="3">
        <v>6.1009106600000003</v>
      </c>
      <c r="Z32" s="3">
        <v>189.12823485999999</v>
      </c>
      <c r="AA32" s="3">
        <v>559.40869140999996</v>
      </c>
      <c r="AB32" s="3">
        <v>66.5</v>
      </c>
    </row>
    <row r="33" spans="1:28" outlineLevel="1">
      <c r="A33" s="3">
        <v>4</v>
      </c>
      <c r="B33" s="3">
        <v>585.52001953000001</v>
      </c>
      <c r="C33" s="3">
        <v>6.5748271899999997</v>
      </c>
      <c r="D33" s="3">
        <v>197.24481201</v>
      </c>
      <c r="E33" s="3">
        <v>611.05535888999998</v>
      </c>
      <c r="F33" s="3">
        <v>60.89</v>
      </c>
      <c r="I33" s="3">
        <v>4</v>
      </c>
      <c r="J33" s="3">
        <v>563.92773437999995</v>
      </c>
      <c r="K33" s="3">
        <v>6.4745974500000001</v>
      </c>
      <c r="L33" s="3">
        <v>194.23793029999999</v>
      </c>
      <c r="M33" s="3">
        <v>588.81726074000005</v>
      </c>
      <c r="N33" s="3">
        <v>62.65</v>
      </c>
      <c r="P33" s="3">
        <v>4</v>
      </c>
      <c r="Q33" s="3">
        <v>576.46478271000001</v>
      </c>
      <c r="R33" s="3">
        <v>6.6702075000000001</v>
      </c>
      <c r="S33" s="3">
        <v>200.10623168999999</v>
      </c>
      <c r="T33" s="3">
        <v>601.59527588000003</v>
      </c>
      <c r="U33" s="3">
        <v>65.83</v>
      </c>
      <c r="W33" s="3">
        <v>4</v>
      </c>
      <c r="X33" s="3">
        <v>538.71765137</v>
      </c>
      <c r="Y33" s="3">
        <v>6.3991847000000002</v>
      </c>
      <c r="Z33" s="3">
        <v>191.97554016000001</v>
      </c>
      <c r="AA33" s="3">
        <v>562.52832031000003</v>
      </c>
      <c r="AB33" s="3">
        <v>66.8</v>
      </c>
    </row>
    <row r="34" spans="1:28" outlineLevel="1">
      <c r="A34" s="3">
        <v>5</v>
      </c>
      <c r="B34" s="3">
        <v>571.69836425999995</v>
      </c>
      <c r="C34" s="3">
        <v>6.3697409599999997</v>
      </c>
      <c r="D34" s="3">
        <v>197.46197509999999</v>
      </c>
      <c r="E34" s="3">
        <v>596.73706055000002</v>
      </c>
      <c r="F34" s="3">
        <v>59.46</v>
      </c>
      <c r="I34" s="3">
        <v>5</v>
      </c>
      <c r="J34" s="3">
        <v>558.96917725000003</v>
      </c>
      <c r="K34" s="3">
        <v>6.3414683299999997</v>
      </c>
      <c r="L34" s="3">
        <v>196.58552551</v>
      </c>
      <c r="M34" s="3">
        <v>583.49932861000002</v>
      </c>
      <c r="N34" s="3">
        <v>62.1</v>
      </c>
      <c r="P34" s="3">
        <v>5</v>
      </c>
      <c r="Q34" s="3">
        <v>583.51977538999995</v>
      </c>
      <c r="R34" s="3">
        <v>6.59181595</v>
      </c>
      <c r="S34" s="3">
        <v>204.34629821999999</v>
      </c>
      <c r="T34" s="3">
        <v>608.85601807</v>
      </c>
      <c r="U34" s="3">
        <v>66.64</v>
      </c>
      <c r="W34" s="3">
        <v>5</v>
      </c>
      <c r="X34" s="3">
        <v>541.32708739999998</v>
      </c>
      <c r="Y34" s="3">
        <v>6.2721681599999997</v>
      </c>
      <c r="Z34" s="3">
        <v>194.43721008</v>
      </c>
      <c r="AA34" s="3">
        <v>565.08868408000001</v>
      </c>
      <c r="AB34" s="3">
        <v>67.12</v>
      </c>
    </row>
    <row r="35" spans="1:28" outlineLevel="1">
      <c r="A35" s="3">
        <v>6</v>
      </c>
      <c r="B35" s="3">
        <v>488.93920897999999</v>
      </c>
      <c r="C35" s="3">
        <v>5.6322140699999999</v>
      </c>
      <c r="D35" s="3">
        <v>168.96641541</v>
      </c>
      <c r="E35" s="3">
        <v>510.86471558</v>
      </c>
      <c r="F35" s="3">
        <v>50.85</v>
      </c>
      <c r="I35" s="3">
        <v>6</v>
      </c>
      <c r="J35" s="3">
        <v>487.23031615999997</v>
      </c>
      <c r="K35" s="3">
        <v>5.6692853000000003</v>
      </c>
      <c r="L35" s="3">
        <v>170.07855225</v>
      </c>
      <c r="M35" s="3">
        <v>509.13833618000001</v>
      </c>
      <c r="N35" s="3">
        <v>54.13</v>
      </c>
      <c r="P35" s="3">
        <v>6</v>
      </c>
      <c r="Q35" s="3">
        <v>494.26611328000001</v>
      </c>
      <c r="R35" s="3">
        <v>5.7219605400000004</v>
      </c>
      <c r="S35" s="3">
        <v>171.65881347999999</v>
      </c>
      <c r="T35" s="3">
        <v>516.38861083999996</v>
      </c>
      <c r="U35" s="3">
        <v>56.45</v>
      </c>
      <c r="W35" s="3">
        <v>6</v>
      </c>
      <c r="X35" s="3">
        <v>473.68103027000001</v>
      </c>
      <c r="Y35" s="3">
        <v>5.7813734999999999</v>
      </c>
      <c r="Z35" s="3">
        <v>173.44120788999999</v>
      </c>
      <c r="AA35" s="3">
        <v>494.98175049000002</v>
      </c>
      <c r="AB35" s="3">
        <v>58.74</v>
      </c>
    </row>
    <row r="36" spans="1:28" outlineLevel="1">
      <c r="A36" s="3">
        <v>7</v>
      </c>
      <c r="B36" s="3">
        <v>530.80883788999995</v>
      </c>
      <c r="C36" s="3">
        <v>5.9561400400000002</v>
      </c>
      <c r="D36" s="3">
        <v>184.64033508</v>
      </c>
      <c r="E36" s="3">
        <v>554.40100098000005</v>
      </c>
      <c r="F36" s="3">
        <v>55.2</v>
      </c>
      <c r="I36" s="3">
        <v>7</v>
      </c>
      <c r="J36" s="3">
        <v>513.18249512</v>
      </c>
      <c r="K36" s="3">
        <v>5.8292512900000002</v>
      </c>
      <c r="L36" s="3">
        <v>180.70678710999999</v>
      </c>
      <c r="M36" s="3">
        <v>536.04791260000002</v>
      </c>
      <c r="N36" s="3">
        <v>57.01</v>
      </c>
      <c r="P36" s="3">
        <v>7</v>
      </c>
      <c r="Q36" s="3">
        <v>483.46228027000001</v>
      </c>
      <c r="R36" s="3">
        <v>5.4377107599999999</v>
      </c>
      <c r="S36" s="3">
        <v>168.56903076</v>
      </c>
      <c r="T36" s="3">
        <v>505.40185546999999</v>
      </c>
      <c r="U36" s="3">
        <v>55.21</v>
      </c>
      <c r="W36" s="3">
        <v>7</v>
      </c>
      <c r="X36" s="3">
        <v>506.93365478999999</v>
      </c>
      <c r="Y36" s="3">
        <v>5.9051237099999998</v>
      </c>
      <c r="Z36" s="3">
        <v>183.05883789000001</v>
      </c>
      <c r="AA36" s="3">
        <v>529.48870850000003</v>
      </c>
      <c r="AB36" s="3">
        <v>62.86</v>
      </c>
    </row>
    <row r="37" spans="1:28" outlineLevel="1">
      <c r="A37" s="3">
        <v>8</v>
      </c>
      <c r="B37" s="3">
        <v>544.12475586000005</v>
      </c>
      <c r="C37" s="3">
        <v>6.1696586599999996</v>
      </c>
      <c r="D37" s="3">
        <v>191.25941467000001</v>
      </c>
      <c r="E37" s="3">
        <v>568.16754149999997</v>
      </c>
      <c r="F37" s="3">
        <v>56.59</v>
      </c>
      <c r="I37" s="3">
        <v>8</v>
      </c>
      <c r="J37" s="3">
        <v>498.48989868000001</v>
      </c>
      <c r="K37" s="3">
        <v>5.6916189199999998</v>
      </c>
      <c r="L37" s="3">
        <v>176.44018555</v>
      </c>
      <c r="M37" s="3">
        <v>521.02978515999996</v>
      </c>
      <c r="N37" s="3">
        <v>55.38</v>
      </c>
      <c r="P37" s="3">
        <v>8</v>
      </c>
      <c r="Q37" s="3">
        <v>502.58889771000003</v>
      </c>
      <c r="R37" s="3">
        <v>5.7357239699999996</v>
      </c>
      <c r="S37" s="3">
        <v>177.80744934000001</v>
      </c>
      <c r="T37" s="3">
        <v>525.21624756000006</v>
      </c>
      <c r="U37" s="3">
        <v>57.4</v>
      </c>
      <c r="W37" s="3">
        <v>8</v>
      </c>
      <c r="X37" s="3">
        <v>497.07769775000003</v>
      </c>
      <c r="Y37" s="3">
        <v>5.8807830799999996</v>
      </c>
      <c r="Z37" s="3">
        <v>182.30427551</v>
      </c>
      <c r="AA37" s="3">
        <v>519.44201659999999</v>
      </c>
      <c r="AB37" s="3">
        <v>61.64</v>
      </c>
    </row>
    <row r="38" spans="1:28" outlineLevel="1">
      <c r="A38" s="3">
        <v>9</v>
      </c>
      <c r="B38" s="3">
        <v>474.85223388999998</v>
      </c>
      <c r="C38" s="3">
        <v>5.46730757</v>
      </c>
      <c r="D38" s="3">
        <v>164.01922607</v>
      </c>
      <c r="E38" s="3">
        <v>496.03671265000003</v>
      </c>
      <c r="F38" s="3">
        <v>49.38</v>
      </c>
      <c r="I38" s="3">
        <v>9</v>
      </c>
      <c r="J38" s="3">
        <v>478.60668944999998</v>
      </c>
      <c r="K38" s="3">
        <v>5.5544505099999997</v>
      </c>
      <c r="L38" s="3">
        <v>166.6335144</v>
      </c>
      <c r="M38" s="3">
        <v>499.94677733999998</v>
      </c>
      <c r="N38" s="3">
        <v>53.17</v>
      </c>
      <c r="P38" s="3">
        <v>9</v>
      </c>
      <c r="Q38" s="3">
        <v>485.15728760000002</v>
      </c>
      <c r="R38" s="3">
        <v>5.5697812999999998</v>
      </c>
      <c r="S38" s="3">
        <v>167.09344482</v>
      </c>
      <c r="T38" s="3">
        <v>506.86285400000003</v>
      </c>
      <c r="U38" s="3">
        <v>55.4</v>
      </c>
      <c r="W38" s="3">
        <v>9</v>
      </c>
      <c r="X38" s="3">
        <v>439.47659302</v>
      </c>
      <c r="Y38" s="3">
        <v>5.2956991200000001</v>
      </c>
      <c r="Z38" s="3">
        <v>158.87097168</v>
      </c>
      <c r="AA38" s="3">
        <v>459.63211059999998</v>
      </c>
      <c r="AB38" s="3">
        <v>54.5</v>
      </c>
    </row>
    <row r="39" spans="1:28" outlineLevel="1">
      <c r="A39" s="3">
        <v>10</v>
      </c>
      <c r="B39" s="3">
        <v>528.41754149999997</v>
      </c>
      <c r="C39" s="3">
        <v>5.7354893699999998</v>
      </c>
      <c r="D39" s="3">
        <v>177.80017090000001</v>
      </c>
      <c r="E39" s="3">
        <v>551.45251465000001</v>
      </c>
      <c r="F39" s="3">
        <v>54.96</v>
      </c>
      <c r="I39" s="3">
        <v>10</v>
      </c>
      <c r="J39" s="3">
        <v>519.05023193</v>
      </c>
      <c r="K39" s="3">
        <v>5.7456054700000001</v>
      </c>
      <c r="L39" s="3">
        <v>178.11376953000001</v>
      </c>
      <c r="M39" s="3">
        <v>541.39587401999995</v>
      </c>
      <c r="N39" s="3">
        <v>57.67</v>
      </c>
      <c r="P39" s="3">
        <v>10</v>
      </c>
      <c r="Q39" s="3">
        <v>557.08959961000005</v>
      </c>
      <c r="R39" s="3">
        <v>6.1624445899999998</v>
      </c>
      <c r="S39" s="3">
        <v>191.03578185999999</v>
      </c>
      <c r="T39" s="3">
        <v>580.52807616999996</v>
      </c>
      <c r="U39" s="3">
        <v>63.62</v>
      </c>
      <c r="W39" s="3">
        <v>10</v>
      </c>
      <c r="X39" s="3">
        <v>492.84457397</v>
      </c>
      <c r="Y39" s="3">
        <v>5.6360697699999998</v>
      </c>
      <c r="Z39" s="3">
        <v>174.71817017000001</v>
      </c>
      <c r="AA39" s="3">
        <v>514.22039795000001</v>
      </c>
      <c r="AB39" s="3">
        <v>61.11</v>
      </c>
    </row>
    <row r="40" spans="1:28" outlineLevel="1">
      <c r="A40" s="3">
        <v>11</v>
      </c>
      <c r="B40" s="3">
        <v>478.10729980000002</v>
      </c>
      <c r="C40" s="3">
        <v>5.3125262299999996</v>
      </c>
      <c r="D40" s="3">
        <v>159.37579346000001</v>
      </c>
      <c r="E40" s="3">
        <v>498.16952515000003</v>
      </c>
      <c r="F40" s="3">
        <v>49.72</v>
      </c>
      <c r="I40" s="3">
        <v>11</v>
      </c>
      <c r="J40" s="3">
        <v>484.14840698</v>
      </c>
      <c r="K40" s="3">
        <v>5.37548256</v>
      </c>
      <c r="L40" s="3">
        <v>161.26448059000001</v>
      </c>
      <c r="M40" s="3">
        <v>504.69497681000001</v>
      </c>
      <c r="N40" s="3">
        <v>53.79</v>
      </c>
      <c r="P40" s="3">
        <v>11</v>
      </c>
      <c r="Q40" s="3">
        <v>501.23519897</v>
      </c>
      <c r="R40" s="3">
        <v>5.5771932599999996</v>
      </c>
      <c r="S40" s="3">
        <v>167.31579590000001</v>
      </c>
      <c r="T40" s="3">
        <v>522.47198486000002</v>
      </c>
      <c r="U40" s="3">
        <v>57.24</v>
      </c>
      <c r="W40" s="3">
        <v>11</v>
      </c>
      <c r="X40" s="3">
        <v>450.81228637999999</v>
      </c>
      <c r="Y40" s="3">
        <v>5.1470355999999997</v>
      </c>
      <c r="Z40" s="3">
        <v>154.41107177999999</v>
      </c>
      <c r="AA40" s="3">
        <v>470.17532348999998</v>
      </c>
      <c r="AB40" s="3">
        <v>55.9</v>
      </c>
    </row>
    <row r="41" spans="1:28" outlineLevel="1">
      <c r="A41" s="3">
        <v>12</v>
      </c>
      <c r="B41" s="3">
        <v>461.51156615999997</v>
      </c>
      <c r="C41" s="3">
        <v>4.9124908400000002</v>
      </c>
      <c r="D41" s="3">
        <v>152.28721619000001</v>
      </c>
      <c r="E41" s="3">
        <v>481.31921387</v>
      </c>
      <c r="F41" s="3">
        <v>48</v>
      </c>
      <c r="I41" s="3">
        <v>12</v>
      </c>
      <c r="J41" s="3">
        <v>440.25650023999998</v>
      </c>
      <c r="K41" s="3">
        <v>4.6384325000000004</v>
      </c>
      <c r="L41" s="3">
        <v>143.79141235</v>
      </c>
      <c r="M41" s="3">
        <v>459.64285278</v>
      </c>
      <c r="N41" s="3">
        <v>48.91</v>
      </c>
      <c r="P41" s="3">
        <v>12</v>
      </c>
      <c r="Q41" s="3">
        <v>461.11145019999998</v>
      </c>
      <c r="R41" s="3">
        <v>4.82585335</v>
      </c>
      <c r="S41" s="3">
        <v>149.60145568999999</v>
      </c>
      <c r="T41" s="3">
        <v>481.2840271</v>
      </c>
      <c r="U41" s="3">
        <v>52.66</v>
      </c>
      <c r="W41" s="3">
        <v>12</v>
      </c>
      <c r="X41" s="3">
        <v>392.22171021000003</v>
      </c>
      <c r="Y41" s="3">
        <v>4.3260126100000003</v>
      </c>
      <c r="Z41" s="3">
        <v>134.10638427999999</v>
      </c>
      <c r="AA41" s="3">
        <v>409.72854613999999</v>
      </c>
      <c r="AB41" s="3">
        <v>48.64</v>
      </c>
    </row>
    <row r="42" spans="1:28" outlineLevel="1">
      <c r="A42" s="3" t="s">
        <v>21</v>
      </c>
      <c r="B42" s="3">
        <v>6237.6942443799999</v>
      </c>
      <c r="C42" s="3">
        <v>69.503137109999997</v>
      </c>
      <c r="D42" s="3">
        <v>2114.4006652899998</v>
      </c>
      <c r="E42" s="3">
        <v>6509.3085327400004</v>
      </c>
      <c r="F42" s="3">
        <v>648.71</v>
      </c>
      <c r="I42" s="3" t="s">
        <v>21</v>
      </c>
      <c r="J42" s="3">
        <v>6059.4072875900001</v>
      </c>
      <c r="K42" s="3">
        <v>68.17075681</v>
      </c>
      <c r="L42" s="3">
        <v>2074.1986236500002</v>
      </c>
      <c r="M42" s="3">
        <v>6325.5716552599997</v>
      </c>
      <c r="N42" s="3">
        <v>673.19</v>
      </c>
      <c r="P42" s="3" t="s">
        <v>21</v>
      </c>
      <c r="Q42" s="3">
        <v>6213.4488220200001</v>
      </c>
      <c r="R42" s="3">
        <v>69.598569859999998</v>
      </c>
      <c r="S42" s="3">
        <v>2117.4252166699998</v>
      </c>
      <c r="T42" s="3">
        <v>6484.6153564400001</v>
      </c>
      <c r="U42" s="3">
        <v>709.58</v>
      </c>
      <c r="W42" s="3" t="s">
        <v>21</v>
      </c>
      <c r="X42" s="3">
        <v>5742.6872558699997</v>
      </c>
      <c r="Y42" s="3">
        <v>66.850555880000002</v>
      </c>
      <c r="Z42" s="3">
        <v>2034.2084350600001</v>
      </c>
      <c r="AA42" s="3">
        <v>5996.38552858</v>
      </c>
      <c r="AB42" s="3">
        <v>712.11</v>
      </c>
    </row>
    <row r="43" spans="1:28" outlineLevel="1"/>
    <row r="44" spans="1:28" outlineLevel="1"/>
    <row r="45" spans="1:28" outlineLevel="1"/>
    <row r="46" spans="1:28" outlineLevel="1">
      <c r="A46" s="3" t="s">
        <v>28</v>
      </c>
      <c r="I46" s="3" t="s">
        <v>233</v>
      </c>
    </row>
    <row r="47" spans="1:28" outlineLevel="1">
      <c r="A47" s="3" t="s">
        <v>29</v>
      </c>
      <c r="B47" s="3" t="s">
        <v>136</v>
      </c>
      <c r="C47" s="138"/>
      <c r="I47" s="3" t="s">
        <v>29</v>
      </c>
      <c r="J47" s="3" t="s">
        <v>234</v>
      </c>
    </row>
    <row r="48" spans="1:28" outlineLevel="1">
      <c r="A48" s="3" t="s">
        <v>30</v>
      </c>
      <c r="B48" s="137" t="s">
        <v>137</v>
      </c>
      <c r="C48" s="138"/>
      <c r="I48" s="3" t="s">
        <v>30</v>
      </c>
      <c r="J48" s="3" t="s">
        <v>235</v>
      </c>
    </row>
    <row r="49" spans="1:14" outlineLevel="1">
      <c r="A49" s="3" t="s">
        <v>32</v>
      </c>
      <c r="B49" s="3">
        <v>30.45</v>
      </c>
      <c r="I49" s="3" t="s">
        <v>32</v>
      </c>
      <c r="J49" s="3">
        <v>30.41</v>
      </c>
    </row>
    <row r="50" spans="1:14" outlineLevel="1">
      <c r="A50" s="3" t="s">
        <v>33</v>
      </c>
      <c r="B50" s="3">
        <v>84.26</v>
      </c>
      <c r="I50" s="3" t="s">
        <v>33</v>
      </c>
      <c r="J50" s="3">
        <v>87.22</v>
      </c>
    </row>
    <row r="51" spans="1:14" outlineLevel="1">
      <c r="A51" s="3" t="s">
        <v>34</v>
      </c>
      <c r="B51" s="3">
        <v>51.560001373291001</v>
      </c>
      <c r="I51" s="3" t="s">
        <v>34</v>
      </c>
      <c r="J51" s="3">
        <v>12.666666984558001</v>
      </c>
    </row>
    <row r="52" spans="1:14" outlineLevel="1">
      <c r="A52" s="3" t="s">
        <v>35</v>
      </c>
      <c r="B52" s="3">
        <v>4</v>
      </c>
      <c r="I52" s="3" t="s">
        <v>35</v>
      </c>
      <c r="J52" s="3">
        <v>4</v>
      </c>
    </row>
    <row r="53" spans="1:14" outlineLevel="1">
      <c r="A53" s="3" t="s">
        <v>36</v>
      </c>
      <c r="B53" s="3" t="s">
        <v>37</v>
      </c>
      <c r="I53" s="3" t="s">
        <v>36</v>
      </c>
      <c r="J53" s="3" t="s">
        <v>37</v>
      </c>
    </row>
    <row r="54" spans="1:14" outlineLevel="1">
      <c r="A54" s="3" t="s">
        <v>38</v>
      </c>
      <c r="B54" s="3" t="s">
        <v>198</v>
      </c>
      <c r="I54" s="3" t="s">
        <v>38</v>
      </c>
      <c r="J54" s="3" t="s">
        <v>198</v>
      </c>
    </row>
    <row r="55" spans="1:14" outlineLevel="1">
      <c r="A55" s="3" t="s">
        <v>39</v>
      </c>
      <c r="B55" s="3">
        <v>33.299999999999997</v>
      </c>
      <c r="I55" s="101" t="s">
        <v>39</v>
      </c>
      <c r="J55" s="3">
        <v>30.4</v>
      </c>
    </row>
    <row r="56" spans="1:14" outlineLevel="1">
      <c r="A56" s="3" t="s">
        <v>40</v>
      </c>
      <c r="B56" s="3">
        <v>180</v>
      </c>
      <c r="I56" s="3" t="s">
        <v>40</v>
      </c>
      <c r="J56" s="3">
        <v>180</v>
      </c>
    </row>
    <row r="57" spans="1:14" outlineLevel="1">
      <c r="A57" s="3" t="s">
        <v>41</v>
      </c>
      <c r="B57" s="3">
        <v>14</v>
      </c>
      <c r="I57" s="3" t="s">
        <v>41</v>
      </c>
      <c r="J57" s="3">
        <v>14.08</v>
      </c>
    </row>
    <row r="58" spans="1:14" outlineLevel="1">
      <c r="A58" s="3" t="s">
        <v>42</v>
      </c>
      <c r="B58" s="3">
        <v>96</v>
      </c>
      <c r="I58" s="3" t="s">
        <v>42</v>
      </c>
      <c r="J58" s="3">
        <v>96</v>
      </c>
    </row>
    <row r="59" spans="1:14" outlineLevel="1">
      <c r="A59" s="3" t="s">
        <v>43</v>
      </c>
      <c r="B59" s="3">
        <v>1.1000000000000001</v>
      </c>
      <c r="I59" s="3" t="s">
        <v>43</v>
      </c>
      <c r="J59" s="3">
        <v>1.1000000000000001</v>
      </c>
    </row>
    <row r="60" spans="1:14" outlineLevel="1">
      <c r="A60" s="3" t="s">
        <v>44</v>
      </c>
      <c r="B60" s="3">
        <v>0.124</v>
      </c>
      <c r="I60" s="3" t="s">
        <v>44</v>
      </c>
      <c r="J60" s="3">
        <v>0.121</v>
      </c>
    </row>
    <row r="61" spans="1:14" outlineLevel="1">
      <c r="A61" s="3" t="s">
        <v>45</v>
      </c>
      <c r="B61" s="18">
        <v>0.159</v>
      </c>
      <c r="C61" s="18">
        <f>(0.1*B61)+(0.45*J27)+(0.45*Q27)</f>
        <v>0.1734</v>
      </c>
      <c r="I61" s="3" t="s">
        <v>45</v>
      </c>
      <c r="J61" s="18">
        <v>0.16900000000000001</v>
      </c>
    </row>
    <row r="62" spans="1:14" outlineLevel="1"/>
    <row r="63" spans="1:14" outlineLevel="1">
      <c r="A63" s="3" t="s">
        <v>46</v>
      </c>
      <c r="B63" s="3" t="s">
        <v>47</v>
      </c>
      <c r="C63" s="3" t="s">
        <v>48</v>
      </c>
      <c r="D63" s="3" t="s">
        <v>49</v>
      </c>
      <c r="E63" s="3" t="s">
        <v>50</v>
      </c>
      <c r="F63" s="3" t="s">
        <v>51</v>
      </c>
      <c r="I63" s="3" t="s">
        <v>46</v>
      </c>
      <c r="J63" s="3" t="s">
        <v>47</v>
      </c>
      <c r="K63" s="3" t="s">
        <v>48</v>
      </c>
      <c r="L63" s="3" t="s">
        <v>49</v>
      </c>
      <c r="M63" s="3" t="s">
        <v>50</v>
      </c>
      <c r="N63" s="3" t="s">
        <v>51</v>
      </c>
    </row>
    <row r="64" spans="1:14" outlineLevel="1">
      <c r="A64" s="3">
        <v>1</v>
      </c>
      <c r="B64" s="3">
        <v>437.53012085</v>
      </c>
      <c r="C64" s="3">
        <v>4.6989111899999996</v>
      </c>
      <c r="D64" s="3">
        <v>145.66624451000001</v>
      </c>
      <c r="E64" s="3">
        <v>456.81265259000003</v>
      </c>
      <c r="F64" s="3">
        <v>54.25</v>
      </c>
      <c r="I64" s="3">
        <v>1</v>
      </c>
      <c r="J64" s="3">
        <v>433.39508057</v>
      </c>
      <c r="K64" s="3">
        <v>4.57850599</v>
      </c>
      <c r="L64" s="3">
        <v>141.93368530000001</v>
      </c>
      <c r="M64" s="3">
        <v>452.49069214000002</v>
      </c>
      <c r="N64" s="3">
        <v>52.27</v>
      </c>
    </row>
    <row r="65" spans="1:14" outlineLevel="1">
      <c r="A65" s="3">
        <v>2</v>
      </c>
      <c r="B65" s="3">
        <v>416.15270995999998</v>
      </c>
      <c r="C65" s="3">
        <v>5.0917487100000001</v>
      </c>
      <c r="D65" s="3">
        <v>142.56896972999999</v>
      </c>
      <c r="E65" s="3">
        <v>434.40090942</v>
      </c>
      <c r="F65" s="3">
        <v>51.6</v>
      </c>
      <c r="I65" s="3">
        <v>2</v>
      </c>
      <c r="J65" s="3">
        <v>401.25167847</v>
      </c>
      <c r="K65" s="3">
        <v>4.7227129899999998</v>
      </c>
      <c r="L65" s="3">
        <v>132.23596190999999</v>
      </c>
      <c r="M65" s="3">
        <v>419.16213988999999</v>
      </c>
      <c r="N65" s="3">
        <v>48.39</v>
      </c>
    </row>
    <row r="66" spans="1:14" outlineLevel="1">
      <c r="A66" s="3">
        <v>3</v>
      </c>
      <c r="B66" s="3">
        <v>508.09463500999999</v>
      </c>
      <c r="C66" s="3">
        <v>5.8230681400000002</v>
      </c>
      <c r="D66" s="3">
        <v>180.51510619999999</v>
      </c>
      <c r="E66" s="3">
        <v>530.71527100000003</v>
      </c>
      <c r="F66" s="3">
        <v>63</v>
      </c>
      <c r="I66" s="3">
        <v>3</v>
      </c>
      <c r="J66" s="3">
        <v>543.31567383000004</v>
      </c>
      <c r="K66" s="3">
        <v>5.8481540699999996</v>
      </c>
      <c r="L66" s="3">
        <v>181.29277038999999</v>
      </c>
      <c r="M66" s="3">
        <v>567.24530029000005</v>
      </c>
      <c r="N66" s="3">
        <v>65.52</v>
      </c>
    </row>
    <row r="67" spans="1:14" outlineLevel="1">
      <c r="A67" s="3">
        <v>4</v>
      </c>
      <c r="B67" s="3">
        <v>500.51950073</v>
      </c>
      <c r="C67" s="3">
        <v>5.9594492900000002</v>
      </c>
      <c r="D67" s="3">
        <v>178.78347778</v>
      </c>
      <c r="E67" s="3">
        <v>522.94860840000001</v>
      </c>
      <c r="F67" s="3">
        <v>62.06</v>
      </c>
      <c r="I67" s="3">
        <v>4</v>
      </c>
      <c r="J67" s="3">
        <v>543.70147704999999</v>
      </c>
      <c r="K67" s="3">
        <v>6.1118640900000001</v>
      </c>
      <c r="L67" s="3">
        <v>183.35592650999999</v>
      </c>
      <c r="M67" s="3">
        <v>567.51995850000003</v>
      </c>
      <c r="N67" s="3">
        <v>65.569999999999993</v>
      </c>
    </row>
    <row r="68" spans="1:14" outlineLevel="1">
      <c r="A68" s="3">
        <v>5</v>
      </c>
      <c r="B68" s="3">
        <v>514.22589111000002</v>
      </c>
      <c r="C68" s="3">
        <v>6.1221466099999997</v>
      </c>
      <c r="D68" s="3">
        <v>189.7865448</v>
      </c>
      <c r="E68" s="3">
        <v>537.14025878999996</v>
      </c>
      <c r="F68" s="3">
        <v>63.76</v>
      </c>
      <c r="I68" s="3">
        <v>5</v>
      </c>
      <c r="J68" s="3">
        <v>577.62280272999999</v>
      </c>
      <c r="K68" s="3">
        <v>6.55710411</v>
      </c>
      <c r="L68" s="3">
        <v>203.27023315</v>
      </c>
      <c r="M68" s="3">
        <v>602.98083496000004</v>
      </c>
      <c r="N68" s="3">
        <v>69.66</v>
      </c>
    </row>
    <row r="69" spans="1:14" outlineLevel="1">
      <c r="A69" s="3">
        <v>6</v>
      </c>
      <c r="B69" s="3">
        <v>449.15328978999997</v>
      </c>
      <c r="C69" s="3">
        <v>5.5219330800000002</v>
      </c>
      <c r="D69" s="3">
        <v>165.65798950000001</v>
      </c>
      <c r="E69" s="3">
        <v>469.96377562999999</v>
      </c>
      <c r="F69" s="3">
        <v>55.7</v>
      </c>
      <c r="I69" s="3">
        <v>6</v>
      </c>
      <c r="J69" s="3">
        <v>497.14596558</v>
      </c>
      <c r="K69" s="3">
        <v>5.8857016599999996</v>
      </c>
      <c r="L69" s="3">
        <v>176.57104491999999</v>
      </c>
      <c r="M69" s="3">
        <v>519.92321776999995</v>
      </c>
      <c r="N69" s="3">
        <v>59.96</v>
      </c>
    </row>
    <row r="70" spans="1:14" outlineLevel="1">
      <c r="A70" s="3">
        <v>7</v>
      </c>
      <c r="B70" s="3">
        <v>451.44729613999999</v>
      </c>
      <c r="C70" s="3">
        <v>5.3188257200000004</v>
      </c>
      <c r="D70" s="3">
        <v>164.88359070000001</v>
      </c>
      <c r="E70" s="3">
        <v>472.55844115999997</v>
      </c>
      <c r="F70" s="3">
        <v>55.98</v>
      </c>
      <c r="I70" s="3">
        <v>7</v>
      </c>
      <c r="J70" s="3">
        <v>508.53622437000001</v>
      </c>
      <c r="K70" s="3">
        <v>5.8223075900000003</v>
      </c>
      <c r="L70" s="3">
        <v>180.49153136999999</v>
      </c>
      <c r="M70" s="3">
        <v>531.76855468999997</v>
      </c>
      <c r="N70" s="3">
        <v>61.33</v>
      </c>
    </row>
    <row r="71" spans="1:14" outlineLevel="1">
      <c r="A71" s="3">
        <v>8</v>
      </c>
      <c r="B71" s="3">
        <v>463.57553101000002</v>
      </c>
      <c r="C71" s="3">
        <v>5.5239634500000001</v>
      </c>
      <c r="D71" s="3">
        <v>171.24287415000001</v>
      </c>
      <c r="E71" s="3">
        <v>484.87249756</v>
      </c>
      <c r="F71" s="3">
        <v>57.48</v>
      </c>
      <c r="I71" s="3">
        <v>8</v>
      </c>
      <c r="J71" s="3">
        <v>516.29162598000005</v>
      </c>
      <c r="K71" s="3">
        <v>6.0019488299999999</v>
      </c>
      <c r="L71" s="3">
        <v>186.06040955</v>
      </c>
      <c r="M71" s="3">
        <v>539.21197510000002</v>
      </c>
      <c r="N71" s="3">
        <v>62.26</v>
      </c>
    </row>
    <row r="72" spans="1:14" outlineLevel="1">
      <c r="A72" s="3">
        <v>9</v>
      </c>
      <c r="B72" s="3">
        <v>462.50857544000002</v>
      </c>
      <c r="C72" s="3">
        <v>5.65963554</v>
      </c>
      <c r="D72" s="3">
        <v>169.7890625</v>
      </c>
      <c r="E72" s="3">
        <v>483.12472534</v>
      </c>
      <c r="F72" s="3">
        <v>57.35</v>
      </c>
      <c r="I72" s="3">
        <v>9</v>
      </c>
      <c r="J72" s="3">
        <v>499.10452271000003</v>
      </c>
      <c r="K72" s="3">
        <v>5.9380559899999996</v>
      </c>
      <c r="L72" s="3">
        <v>178.14167785999999</v>
      </c>
      <c r="M72" s="3">
        <v>520.80676270000004</v>
      </c>
      <c r="N72" s="3">
        <v>60.19</v>
      </c>
    </row>
    <row r="73" spans="1:14" outlineLevel="1">
      <c r="A73" s="3">
        <v>10</v>
      </c>
      <c r="B73" s="3">
        <v>514.48193359000004</v>
      </c>
      <c r="C73" s="3">
        <v>5.9512939500000002</v>
      </c>
      <c r="D73" s="3">
        <v>184.49011229999999</v>
      </c>
      <c r="E73" s="3">
        <v>536.47119140999996</v>
      </c>
      <c r="F73" s="3">
        <v>63.8</v>
      </c>
      <c r="I73" s="3">
        <v>10</v>
      </c>
      <c r="J73" s="3">
        <v>540.73193359000004</v>
      </c>
      <c r="K73" s="3">
        <v>6.0373806999999999</v>
      </c>
      <c r="L73" s="3">
        <v>187.15879821999999</v>
      </c>
      <c r="M73" s="3">
        <v>563.94006348000005</v>
      </c>
      <c r="N73" s="3">
        <v>65.209999999999994</v>
      </c>
    </row>
    <row r="74" spans="1:14" outlineLevel="1">
      <c r="A74" s="3">
        <v>11</v>
      </c>
      <c r="B74" s="3">
        <v>460.23696898999998</v>
      </c>
      <c r="C74" s="3">
        <v>5.3680462799999997</v>
      </c>
      <c r="D74" s="3">
        <v>161.04138184000001</v>
      </c>
      <c r="E74" s="3">
        <v>480.17294312000001</v>
      </c>
      <c r="F74" s="3">
        <v>57.07</v>
      </c>
      <c r="I74" s="3">
        <v>11</v>
      </c>
      <c r="J74" s="3">
        <v>449.50180053999998</v>
      </c>
      <c r="K74" s="3">
        <v>5.0065936999999998</v>
      </c>
      <c r="L74" s="3">
        <v>150.19781494</v>
      </c>
      <c r="M74" s="3">
        <v>469.38269043000003</v>
      </c>
      <c r="N74" s="3">
        <v>54.21</v>
      </c>
    </row>
    <row r="75" spans="1:14" outlineLevel="1">
      <c r="A75" s="3">
        <v>12</v>
      </c>
      <c r="B75" s="3">
        <v>402.66387938999998</v>
      </c>
      <c r="C75" s="3">
        <v>4.41979027</v>
      </c>
      <c r="D75" s="3">
        <v>137.01350403000001</v>
      </c>
      <c r="E75" s="3">
        <v>420.36651611000002</v>
      </c>
      <c r="F75" s="3">
        <v>49.93</v>
      </c>
      <c r="I75" s="3">
        <v>12</v>
      </c>
      <c r="J75" s="3">
        <v>410.84506226000002</v>
      </c>
      <c r="K75" s="3">
        <v>4.34871578</v>
      </c>
      <c r="L75" s="3">
        <v>134.81019592000001</v>
      </c>
      <c r="M75" s="3">
        <v>429.13052368000001</v>
      </c>
      <c r="N75" s="3">
        <v>49.55</v>
      </c>
    </row>
    <row r="76" spans="1:14" outlineLevel="1">
      <c r="A76" s="3" t="s">
        <v>21</v>
      </c>
      <c r="B76" s="3">
        <v>5580.5903320099997</v>
      </c>
      <c r="C76" s="3">
        <v>65.458812230000007</v>
      </c>
      <c r="D76" s="3">
        <v>1991.43885804</v>
      </c>
      <c r="E76" s="3">
        <v>5829.5477905300004</v>
      </c>
      <c r="F76" s="3">
        <v>691.98</v>
      </c>
      <c r="I76" s="3" t="s">
        <v>21</v>
      </c>
      <c r="J76" s="3">
        <v>5921.4438476799996</v>
      </c>
      <c r="K76" s="3">
        <v>66.859045499999993</v>
      </c>
      <c r="L76" s="3">
        <v>2035.5200500399999</v>
      </c>
      <c r="M76" s="3">
        <v>6183.56271363</v>
      </c>
      <c r="N76" s="3">
        <v>714.12</v>
      </c>
    </row>
  </sheetData>
  <hyperlinks>
    <hyperlink ref="G9" r:id="rId1"/>
  </hyperlinks>
  <pageMargins left="0.7" right="0.7" top="0.75" bottom="0.75" header="0.3" footer="0.3"/>
  <pageSetup orientation="portrait" verticalDpi="0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77BC1F"/>
  </sheetPr>
  <dimension ref="A1:H40"/>
  <sheetViews>
    <sheetView workbookViewId="0">
      <selection activeCell="E21" sqref="E21"/>
    </sheetView>
  </sheetViews>
  <sheetFormatPr defaultColWidth="9" defaultRowHeight="14.4"/>
  <cols>
    <col min="1" max="1" width="30.69921875" style="3" customWidth="1"/>
    <col min="2" max="2" width="10.09765625" style="3" bestFit="1" customWidth="1"/>
    <col min="3" max="3" width="10.19921875" style="3" bestFit="1" customWidth="1"/>
    <col min="4" max="4" width="16.09765625" style="3" bestFit="1" customWidth="1"/>
    <col min="5" max="5" width="36.19921875" style="3" bestFit="1" customWidth="1"/>
    <col min="6" max="16384" width="9" style="3"/>
  </cols>
  <sheetData>
    <row r="1" spans="1:8">
      <c r="A1" s="2" t="s">
        <v>149</v>
      </c>
      <c r="B1" s="2"/>
      <c r="C1" s="2"/>
      <c r="D1" s="2"/>
    </row>
    <row r="2" spans="1:8">
      <c r="A2" s="39" t="s">
        <v>66</v>
      </c>
      <c r="B2" s="39" t="s">
        <v>5</v>
      </c>
      <c r="C2" s="39" t="s">
        <v>115</v>
      </c>
      <c r="D2" s="39" t="s">
        <v>7</v>
      </c>
      <c r="G2" s="74" t="s">
        <v>196</v>
      </c>
    </row>
    <row r="3" spans="1:8">
      <c r="A3" s="3" t="s">
        <v>16</v>
      </c>
      <c r="B3" s="3" t="s">
        <v>1</v>
      </c>
      <c r="C3" s="13">
        <v>0.92</v>
      </c>
      <c r="D3" s="44" t="s">
        <v>150</v>
      </c>
      <c r="E3" s="3" t="s">
        <v>221</v>
      </c>
      <c r="F3" s="72">
        <f>C3*C5</f>
        <v>0.1472</v>
      </c>
      <c r="G3" s="75">
        <f>SUM(F3:F4)</f>
        <v>0.18720000000000001</v>
      </c>
      <c r="H3" s="13"/>
    </row>
    <row r="4" spans="1:8">
      <c r="A4" s="3" t="s">
        <v>17</v>
      </c>
      <c r="B4" s="3" t="s">
        <v>1</v>
      </c>
      <c r="C4" s="13">
        <v>0.08</v>
      </c>
      <c r="D4" s="44" t="s">
        <v>150</v>
      </c>
      <c r="E4" s="3" t="s">
        <v>221</v>
      </c>
      <c r="F4" s="72">
        <f>C4*C6</f>
        <v>0.04</v>
      </c>
    </row>
    <row r="5" spans="1:8">
      <c r="A5" s="67" t="s">
        <v>186</v>
      </c>
      <c r="B5" s="3" t="s">
        <v>1</v>
      </c>
      <c r="C5" s="13">
        <v>0.16</v>
      </c>
      <c r="D5" s="44" t="s">
        <v>150</v>
      </c>
      <c r="E5" s="3" t="s">
        <v>221</v>
      </c>
    </row>
    <row r="6" spans="1:8">
      <c r="A6" s="67" t="s">
        <v>187</v>
      </c>
      <c r="B6" s="3" t="s">
        <v>1</v>
      </c>
      <c r="C6" s="13">
        <v>0.5</v>
      </c>
      <c r="D6" s="44" t="s">
        <v>150</v>
      </c>
      <c r="E6" s="3" t="s">
        <v>221</v>
      </c>
    </row>
    <row r="7" spans="1:8">
      <c r="A7" s="3" t="s">
        <v>16</v>
      </c>
      <c r="B7" s="3" t="s">
        <v>2</v>
      </c>
      <c r="C7" s="13">
        <f>1-C8</f>
        <v>0.37</v>
      </c>
      <c r="D7" s="44" t="s">
        <v>150</v>
      </c>
      <c r="E7" s="3" t="s">
        <v>221</v>
      </c>
      <c r="F7" s="73">
        <f>C7*C9</f>
        <v>5.9200000000000003E-2</v>
      </c>
      <c r="G7" s="75">
        <f>SUM(F7:F8)</f>
        <v>0.37419999999999998</v>
      </c>
      <c r="H7" s="13"/>
    </row>
    <row r="8" spans="1:8">
      <c r="A8" s="3" t="s">
        <v>17</v>
      </c>
      <c r="B8" s="3" t="s">
        <v>2</v>
      </c>
      <c r="C8" s="13">
        <v>0.63</v>
      </c>
      <c r="D8" s="44" t="s">
        <v>150</v>
      </c>
      <c r="E8" s="3" t="s">
        <v>221</v>
      </c>
      <c r="F8" s="73">
        <f>C8*C10</f>
        <v>0.315</v>
      </c>
      <c r="H8" s="13"/>
    </row>
    <row r="9" spans="1:8">
      <c r="A9" s="67" t="s">
        <v>186</v>
      </c>
      <c r="B9" s="3" t="s">
        <v>2</v>
      </c>
      <c r="C9" s="13">
        <v>0.16</v>
      </c>
      <c r="D9" s="44" t="s">
        <v>150</v>
      </c>
      <c r="E9" s="121" t="s">
        <v>231</v>
      </c>
    </row>
    <row r="10" spans="1:8">
      <c r="A10" s="67" t="s">
        <v>187</v>
      </c>
      <c r="B10" s="3" t="s">
        <v>2</v>
      </c>
      <c r="C10" s="13">
        <v>0.5</v>
      </c>
      <c r="D10" s="44" t="s">
        <v>150</v>
      </c>
      <c r="E10" s="121" t="s">
        <v>231</v>
      </c>
    </row>
    <row r="11" spans="1:8">
      <c r="A11" s="26" t="s">
        <v>20</v>
      </c>
      <c r="B11" s="3" t="s">
        <v>146</v>
      </c>
      <c r="C11" s="28">
        <v>0.19</v>
      </c>
      <c r="D11" s="26" t="s">
        <v>145</v>
      </c>
    </row>
    <row r="12" spans="1:8">
      <c r="A12" s="3" t="s">
        <v>22</v>
      </c>
      <c r="B12" s="3" t="s">
        <v>146</v>
      </c>
      <c r="C12" s="13">
        <f>'PV Watts'!$B$24</f>
        <v>0.96</v>
      </c>
      <c r="D12" s="3" t="s">
        <v>147</v>
      </c>
    </row>
    <row r="13" spans="1:8">
      <c r="A13" s="2" t="s">
        <v>148</v>
      </c>
      <c r="B13" s="2" t="s">
        <v>146</v>
      </c>
      <c r="C13" s="43" t="s">
        <v>159</v>
      </c>
      <c r="D13" s="2" t="s">
        <v>147</v>
      </c>
    </row>
    <row r="17" spans="1:8">
      <c r="A17" s="69" t="s">
        <v>192</v>
      </c>
    </row>
    <row r="18" spans="1:8">
      <c r="A18" s="69" t="s">
        <v>193</v>
      </c>
    </row>
    <row r="20" spans="1:8">
      <c r="A20" s="106" t="s">
        <v>202</v>
      </c>
      <c r="D20" s="122"/>
      <c r="E20" s="26"/>
      <c r="F20" s="26"/>
      <c r="G20" s="26"/>
      <c r="H20" s="26"/>
    </row>
    <row r="21" spans="1:8">
      <c r="A21" s="101" t="s">
        <v>203</v>
      </c>
    </row>
    <row r="23" spans="1:8">
      <c r="A23" s="106" t="s">
        <v>204</v>
      </c>
    </row>
    <row r="24" spans="1:8">
      <c r="A24" s="101" t="s">
        <v>205</v>
      </c>
    </row>
    <row r="25" spans="1:8">
      <c r="A25" s="101" t="s">
        <v>206</v>
      </c>
    </row>
    <row r="26" spans="1:8">
      <c r="A26" s="101" t="s">
        <v>207</v>
      </c>
    </row>
    <row r="27" spans="1:8">
      <c r="A27" s="101" t="s">
        <v>208</v>
      </c>
    </row>
    <row r="28" spans="1:8">
      <c r="A28" s="101" t="s">
        <v>209</v>
      </c>
    </row>
    <row r="29" spans="1:8">
      <c r="A29" s="101" t="s">
        <v>210</v>
      </c>
    </row>
    <row r="30" spans="1:8">
      <c r="A30" s="101" t="s">
        <v>211</v>
      </c>
    </row>
    <row r="31" spans="1:8">
      <c r="A31" s="101" t="s">
        <v>212</v>
      </c>
    </row>
    <row r="32" spans="1:8">
      <c r="A32" s="101" t="s">
        <v>213</v>
      </c>
    </row>
    <row r="33" spans="1:1">
      <c r="A33" s="101" t="s">
        <v>214</v>
      </c>
    </row>
    <row r="34" spans="1:1">
      <c r="A34" s="101" t="s">
        <v>215</v>
      </c>
    </row>
    <row r="35" spans="1:1">
      <c r="A35" s="101" t="s">
        <v>216</v>
      </c>
    </row>
    <row r="36" spans="1:1">
      <c r="A36" s="101" t="s">
        <v>217</v>
      </c>
    </row>
    <row r="38" spans="1:1">
      <c r="A38" s="106" t="s">
        <v>218</v>
      </c>
    </row>
    <row r="39" spans="1:1">
      <c r="A39" s="101" t="s">
        <v>219</v>
      </c>
    </row>
    <row r="40" spans="1:1">
      <c r="A40" s="101" t="s">
        <v>220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0.79998168889431442"/>
  </sheetPr>
  <dimension ref="A1:Z32"/>
  <sheetViews>
    <sheetView zoomScale="90" zoomScaleNormal="90" workbookViewId="0">
      <selection activeCell="A28" sqref="A28"/>
    </sheetView>
  </sheetViews>
  <sheetFormatPr defaultColWidth="11.19921875" defaultRowHeight="14.4"/>
  <cols>
    <col min="1" max="1" width="50.398437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26" style="3" customWidth="1"/>
    <col min="6" max="6" width="14" style="3" customWidth="1"/>
    <col min="7" max="7" width="15.19921875" style="3" bestFit="1" customWidth="1"/>
    <col min="8" max="8" width="14.09765625" style="3" customWidth="1"/>
    <col min="9" max="9" width="15.3984375" style="3" customWidth="1"/>
    <col min="10" max="10" width="13.69921875" style="3" bestFit="1" customWidth="1"/>
    <col min="11" max="11" width="15.09765625" style="3" bestFit="1" customWidth="1"/>
    <col min="12" max="12" width="15.69921875" style="3" customWidth="1"/>
    <col min="13" max="13" width="18.5" style="3" customWidth="1"/>
    <col min="14" max="14" width="15.3984375" style="3" customWidth="1"/>
    <col min="15" max="15" width="16.19921875" style="3" customWidth="1"/>
    <col min="16" max="16" width="14.5" style="3" bestFit="1" customWidth="1"/>
    <col min="17" max="17" width="13.19921875" style="3" bestFit="1" customWidth="1"/>
    <col min="18" max="18" width="11.19921875" style="3"/>
    <col min="19" max="19" width="3" style="3" customWidth="1"/>
    <col min="20" max="22" width="11.19921875" style="3"/>
    <col min="23" max="23" width="3" style="3" customWidth="1"/>
    <col min="24" max="16384" width="11.19921875" style="3"/>
  </cols>
  <sheetData>
    <row r="1" spans="1:26">
      <c r="A1" s="15"/>
      <c r="B1" s="78" t="s">
        <v>106</v>
      </c>
      <c r="C1" s="139" t="s">
        <v>110</v>
      </c>
      <c r="D1" s="139" t="s">
        <v>111</v>
      </c>
      <c r="G1" s="110" t="s">
        <v>222</v>
      </c>
      <c r="H1" s="110"/>
      <c r="I1" s="110"/>
      <c r="J1" s="111"/>
      <c r="P1" s="110" t="s">
        <v>256</v>
      </c>
      <c r="Q1" s="110"/>
      <c r="R1" s="110"/>
      <c r="T1" s="110" t="s">
        <v>257</v>
      </c>
      <c r="U1" s="110"/>
      <c r="V1" s="110"/>
      <c r="X1" s="110" t="s">
        <v>255</v>
      </c>
      <c r="Y1" s="110"/>
      <c r="Z1" s="110"/>
    </row>
    <row r="2" spans="1:26">
      <c r="A2" s="2"/>
      <c r="B2" s="16"/>
      <c r="C2" s="2"/>
      <c r="D2" s="2"/>
      <c r="E2" s="2"/>
      <c r="G2" s="110" t="s">
        <v>223</v>
      </c>
      <c r="H2" s="110" t="s">
        <v>224</v>
      </c>
      <c r="I2" s="110" t="s">
        <v>225</v>
      </c>
      <c r="J2" s="111"/>
      <c r="P2" s="110" t="s">
        <v>223</v>
      </c>
      <c r="Q2" s="110" t="s">
        <v>224</v>
      </c>
      <c r="R2" s="110" t="s">
        <v>225</v>
      </c>
      <c r="T2" s="110" t="s">
        <v>223</v>
      </c>
      <c r="U2" s="110" t="s">
        <v>224</v>
      </c>
      <c r="V2" s="110" t="s">
        <v>225</v>
      </c>
      <c r="X2" s="110" t="s">
        <v>223</v>
      </c>
      <c r="Y2" s="110" t="s">
        <v>224</v>
      </c>
      <c r="Z2" s="110" t="s">
        <v>225</v>
      </c>
    </row>
    <row r="3" spans="1:26">
      <c r="A3" s="78" t="s">
        <v>116</v>
      </c>
      <c r="B3" s="78">
        <v>2020</v>
      </c>
      <c r="E3" s="98"/>
      <c r="G3" s="3">
        <v>0</v>
      </c>
      <c r="H3" s="8">
        <f t="shared" ref="H3:H26" si="0">(0.45*Q3)+(0.45*U3)+(0.1*Y3)</f>
        <v>0</v>
      </c>
      <c r="I3" s="8">
        <f t="shared" ref="I3:I26" si="1">(0.45*R3)+(0.45*V3)+(0.1*Z3)</f>
        <v>0</v>
      </c>
      <c r="J3" s="8"/>
      <c r="P3" s="3">
        <v>0</v>
      </c>
      <c r="Q3" s="8">
        <f>TECO!H3</f>
        <v>0</v>
      </c>
      <c r="R3" s="8">
        <f>TECO!I3</f>
        <v>0</v>
      </c>
      <c r="T3" s="3">
        <v>0</v>
      </c>
      <c r="U3" s="8">
        <f>OUC!H3</f>
        <v>0</v>
      </c>
      <c r="V3" s="8">
        <f>OUC!I3</f>
        <v>0</v>
      </c>
      <c r="X3" s="3">
        <v>0</v>
      </c>
      <c r="Y3" s="8">
        <v>0</v>
      </c>
      <c r="Z3" s="8">
        <v>0</v>
      </c>
    </row>
    <row r="4" spans="1:26">
      <c r="A4" s="93" t="s">
        <v>1</v>
      </c>
      <c r="B4" s="94"/>
      <c r="E4" s="101"/>
      <c r="G4" s="3">
        <v>1</v>
      </c>
      <c r="H4" s="8">
        <f t="shared" si="0"/>
        <v>0</v>
      </c>
      <c r="I4" s="8">
        <f t="shared" si="1"/>
        <v>0</v>
      </c>
      <c r="J4" s="8"/>
      <c r="P4" s="3">
        <v>1</v>
      </c>
      <c r="Q4" s="8">
        <f>TECO!H4</f>
        <v>0</v>
      </c>
      <c r="R4" s="8">
        <f>TECO!I4</f>
        <v>0</v>
      </c>
      <c r="T4" s="3">
        <v>1</v>
      </c>
      <c r="U4" s="8">
        <f>OUC!H4</f>
        <v>0</v>
      </c>
      <c r="V4" s="8">
        <f>OUC!I4</f>
        <v>0</v>
      </c>
      <c r="X4" s="3">
        <v>1</v>
      </c>
      <c r="Y4" s="8">
        <v>0</v>
      </c>
      <c r="Z4" s="8">
        <v>0</v>
      </c>
    </row>
    <row r="5" spans="1:26">
      <c r="A5" s="102" t="s">
        <v>201</v>
      </c>
      <c r="B5" s="8">
        <v>5142.7692475606755</v>
      </c>
      <c r="E5" s="101"/>
      <c r="G5" s="3">
        <v>2</v>
      </c>
      <c r="H5" s="8">
        <f t="shared" si="0"/>
        <v>0</v>
      </c>
      <c r="I5" s="8">
        <f t="shared" si="1"/>
        <v>0</v>
      </c>
      <c r="J5" s="8"/>
      <c r="P5" s="3">
        <v>2</v>
      </c>
      <c r="Q5" s="8">
        <f>TECO!H5</f>
        <v>0</v>
      </c>
      <c r="R5" s="8">
        <f>TECO!I5</f>
        <v>0</v>
      </c>
      <c r="T5" s="3">
        <v>2</v>
      </c>
      <c r="U5" s="8">
        <f>OUC!H5</f>
        <v>0</v>
      </c>
      <c r="V5" s="8">
        <f>OUC!I5</f>
        <v>0</v>
      </c>
      <c r="X5" s="3">
        <v>2</v>
      </c>
      <c r="Y5" s="8">
        <v>0</v>
      </c>
      <c r="Z5" s="8">
        <v>0</v>
      </c>
    </row>
    <row r="6" spans="1:26">
      <c r="A6" s="102" t="s">
        <v>199</v>
      </c>
      <c r="B6" s="8">
        <v>1107.867277142562</v>
      </c>
      <c r="C6" s="8"/>
      <c r="E6" s="101"/>
      <c r="G6" s="3">
        <v>3</v>
      </c>
      <c r="H6" s="8">
        <f t="shared" si="0"/>
        <v>0</v>
      </c>
      <c r="I6" s="8">
        <f t="shared" si="1"/>
        <v>0</v>
      </c>
      <c r="J6" s="8"/>
      <c r="P6" s="3">
        <v>3</v>
      </c>
      <c r="Q6" s="8">
        <f>TECO!H6</f>
        <v>0</v>
      </c>
      <c r="R6" s="8">
        <f>TECO!I6</f>
        <v>0</v>
      </c>
      <c r="T6" s="3">
        <v>3</v>
      </c>
      <c r="U6" s="8">
        <f>OUC!H6</f>
        <v>0</v>
      </c>
      <c r="V6" s="8">
        <f>OUC!I6</f>
        <v>0</v>
      </c>
      <c r="X6" s="3">
        <v>3</v>
      </c>
      <c r="Y6" s="8">
        <v>0</v>
      </c>
      <c r="Z6" s="8">
        <v>0</v>
      </c>
    </row>
    <row r="7" spans="1:26">
      <c r="A7" s="102" t="s">
        <v>200</v>
      </c>
      <c r="B7" s="8">
        <v>87.49548848170771</v>
      </c>
      <c r="C7" s="8"/>
      <c r="D7" s="21"/>
      <c r="E7" s="101"/>
      <c r="G7" s="3">
        <v>4</v>
      </c>
      <c r="H7" s="8">
        <f t="shared" si="0"/>
        <v>0</v>
      </c>
      <c r="I7" s="8">
        <f t="shared" si="1"/>
        <v>0</v>
      </c>
      <c r="J7" s="8"/>
      <c r="P7" s="3">
        <v>4</v>
      </c>
      <c r="Q7" s="8">
        <f>TECO!H7</f>
        <v>0</v>
      </c>
      <c r="R7" s="8">
        <f>TECO!I7</f>
        <v>0</v>
      </c>
      <c r="T7" s="3">
        <v>4</v>
      </c>
      <c r="U7" s="8">
        <f>OUC!H7</f>
        <v>0</v>
      </c>
      <c r="V7" s="8">
        <f>OUC!I7</f>
        <v>0</v>
      </c>
      <c r="X7" s="3">
        <v>4</v>
      </c>
      <c r="Y7" s="8">
        <v>0</v>
      </c>
      <c r="Z7" s="8">
        <v>0</v>
      </c>
    </row>
    <row r="8" spans="1:26">
      <c r="A8" s="102" t="s">
        <v>227</v>
      </c>
      <c r="B8" s="8">
        <v>7906.9647628223665</v>
      </c>
      <c r="E8" s="98"/>
      <c r="G8" s="3">
        <v>5</v>
      </c>
      <c r="H8" s="8">
        <f t="shared" si="0"/>
        <v>0</v>
      </c>
      <c r="I8" s="8">
        <f t="shared" si="1"/>
        <v>0</v>
      </c>
      <c r="J8" s="8"/>
      <c r="P8" s="3">
        <v>5</v>
      </c>
      <c r="Q8" s="8">
        <f>TECO!H8</f>
        <v>0</v>
      </c>
      <c r="R8" s="8">
        <f>TECO!I8</f>
        <v>0</v>
      </c>
      <c r="T8" s="3">
        <v>5</v>
      </c>
      <c r="U8" s="8">
        <f>OUC!H8</f>
        <v>0</v>
      </c>
      <c r="V8" s="8">
        <f>OUC!I8</f>
        <v>0</v>
      </c>
      <c r="X8" s="3">
        <v>5</v>
      </c>
      <c r="Y8" s="8">
        <v>0</v>
      </c>
      <c r="Z8" s="8">
        <v>0</v>
      </c>
    </row>
    <row r="9" spans="1:26">
      <c r="A9" s="17" t="s">
        <v>118</v>
      </c>
      <c r="B9" s="125">
        <v>0.54415512832922308</v>
      </c>
      <c r="G9" s="3">
        <v>6</v>
      </c>
      <c r="H9" s="8">
        <f t="shared" si="0"/>
        <v>0</v>
      </c>
      <c r="I9" s="8">
        <f t="shared" si="1"/>
        <v>2294.2568000000001</v>
      </c>
      <c r="J9" s="8"/>
      <c r="P9" s="3">
        <v>6</v>
      </c>
      <c r="Q9" s="8">
        <f>TECO!H9</f>
        <v>0</v>
      </c>
      <c r="R9" s="8">
        <f>TECO!I9</f>
        <v>2035.9970000000001</v>
      </c>
      <c r="T9" s="3">
        <v>6</v>
      </c>
      <c r="U9" s="8">
        <f>OUC!H9</f>
        <v>0</v>
      </c>
      <c r="V9" s="8">
        <f>OUC!I9</f>
        <v>2728.3209999999999</v>
      </c>
      <c r="X9" s="3">
        <v>6</v>
      </c>
      <c r="Y9" s="8">
        <v>0</v>
      </c>
      <c r="Z9" s="8">
        <v>1503.1370000000004</v>
      </c>
    </row>
    <row r="10" spans="1:26">
      <c r="A10" s="95" t="s">
        <v>2</v>
      </c>
      <c r="B10" s="96"/>
      <c r="E10" s="100"/>
      <c r="G10" s="3">
        <v>7</v>
      </c>
      <c r="H10" s="8">
        <f t="shared" si="0"/>
        <v>2109.6495</v>
      </c>
      <c r="I10" s="8">
        <f t="shared" si="1"/>
        <v>15768.7215</v>
      </c>
      <c r="J10" s="8"/>
      <c r="P10" s="3">
        <v>7</v>
      </c>
      <c r="Q10" s="8">
        <f>TECO!H10</f>
        <v>1055.567</v>
      </c>
      <c r="R10" s="8">
        <f>TECO!I10</f>
        <v>14651.598</v>
      </c>
      <c r="T10" s="3">
        <v>7</v>
      </c>
      <c r="U10" s="8">
        <f>OUC!H10</f>
        <v>3632.5429999999997</v>
      </c>
      <c r="V10" s="8">
        <f>OUC!I10</f>
        <v>17715.89</v>
      </c>
      <c r="X10" s="3">
        <v>7</v>
      </c>
      <c r="Y10" s="8">
        <v>0</v>
      </c>
      <c r="Z10" s="8">
        <v>12033.518999999998</v>
      </c>
    </row>
    <row r="11" spans="1:26">
      <c r="A11" s="112" t="s">
        <v>201</v>
      </c>
      <c r="B11" s="5">
        <v>9066.4549377205731</v>
      </c>
      <c r="G11" s="3">
        <v>8</v>
      </c>
      <c r="H11" s="8">
        <f t="shared" si="0"/>
        <v>24180.525299999998</v>
      </c>
      <c r="I11" s="8">
        <f t="shared" si="1"/>
        <v>35610.673000000003</v>
      </c>
      <c r="J11" s="8"/>
      <c r="P11" s="3">
        <v>8</v>
      </c>
      <c r="Q11" s="8">
        <f>TECO!H11</f>
        <v>23127.85</v>
      </c>
      <c r="R11" s="8">
        <f>TECO!I11</f>
        <v>34223.955000000002</v>
      </c>
      <c r="T11" s="3">
        <v>8</v>
      </c>
      <c r="U11" s="8">
        <f>OUC!H11</f>
        <v>26422.35</v>
      </c>
      <c r="V11" s="8">
        <f>OUC!I11</f>
        <v>38497.021000000008</v>
      </c>
      <c r="X11" s="3">
        <v>8</v>
      </c>
      <c r="Y11" s="8">
        <v>18829.353000000003</v>
      </c>
      <c r="Z11" s="8">
        <v>28862.337999999992</v>
      </c>
    </row>
    <row r="12" spans="1:26">
      <c r="A12" s="107" t="s">
        <v>199</v>
      </c>
      <c r="B12" s="8">
        <v>1953.1167473540668</v>
      </c>
      <c r="C12" s="21"/>
      <c r="G12" s="3">
        <v>9</v>
      </c>
      <c r="H12" s="8">
        <f t="shared" si="0"/>
        <v>44795.505349999992</v>
      </c>
      <c r="I12" s="8">
        <f t="shared" si="1"/>
        <v>52434.73339999999</v>
      </c>
      <c r="J12" s="8"/>
      <c r="P12" s="3">
        <v>9</v>
      </c>
      <c r="Q12" s="8">
        <f>TECO!H12</f>
        <v>43010.017</v>
      </c>
      <c r="R12" s="8">
        <f>TECO!I12</f>
        <v>49540.123999999996</v>
      </c>
      <c r="T12" s="3">
        <v>9</v>
      </c>
      <c r="U12" s="8">
        <f>OUC!H12</f>
        <v>47833.297999999988</v>
      </c>
      <c r="V12" s="8">
        <f>OUC!I12</f>
        <v>56513.555999999982</v>
      </c>
      <c r="X12" s="3">
        <v>9</v>
      </c>
      <c r="Y12" s="8">
        <v>39160.135999999999</v>
      </c>
      <c r="Z12" s="8">
        <v>47105.774000000012</v>
      </c>
    </row>
    <row r="13" spans="1:26">
      <c r="A13" s="107" t="s">
        <v>200</v>
      </c>
      <c r="B13" s="8">
        <v>154.25033972689306</v>
      </c>
      <c r="C13" s="21"/>
      <c r="G13" s="3">
        <v>10</v>
      </c>
      <c r="H13" s="8">
        <f t="shared" si="0"/>
        <v>62195.498350000009</v>
      </c>
      <c r="I13" s="8">
        <f t="shared" si="1"/>
        <v>62413.83905000001</v>
      </c>
      <c r="J13" s="8"/>
      <c r="P13" s="3">
        <v>10</v>
      </c>
      <c r="Q13" s="8">
        <f>TECO!H13</f>
        <v>60592.506000000016</v>
      </c>
      <c r="R13" s="8">
        <f>TECO!I13</f>
        <v>60303.343000000008</v>
      </c>
      <c r="T13" s="3">
        <v>10</v>
      </c>
      <c r="U13" s="8">
        <f>OUC!H13</f>
        <v>65933.256999999998</v>
      </c>
      <c r="V13" s="8">
        <f>OUC!I13</f>
        <v>65562.785999999993</v>
      </c>
      <c r="X13" s="3">
        <v>10</v>
      </c>
      <c r="Y13" s="8">
        <v>52589.049999999996</v>
      </c>
      <c r="Z13" s="8">
        <v>57740.810000000012</v>
      </c>
    </row>
    <row r="14" spans="1:26" ht="15.6">
      <c r="A14" s="17" t="s">
        <v>226</v>
      </c>
      <c r="B14" s="92">
        <v>13782.925167703308</v>
      </c>
      <c r="C14" s="76"/>
      <c r="G14">
        <v>11</v>
      </c>
      <c r="H14" s="8">
        <f t="shared" si="0"/>
        <v>69628.903600000005</v>
      </c>
      <c r="I14" s="8">
        <f t="shared" si="1"/>
        <v>65915.580449999994</v>
      </c>
      <c r="J14" s="8"/>
      <c r="P14">
        <v>11</v>
      </c>
      <c r="Q14" s="8">
        <f>TECO!H14</f>
        <v>73113.369000000006</v>
      </c>
      <c r="R14" s="8">
        <f>TECO!I14</f>
        <v>65663.979000000021</v>
      </c>
      <c r="T14">
        <v>11</v>
      </c>
      <c r="U14" s="8">
        <f>OUC!H14</f>
        <v>67713.985000000001</v>
      </c>
      <c r="V14" s="8">
        <f>OUC!I14</f>
        <v>67220.431999999986</v>
      </c>
      <c r="X14">
        <v>11</v>
      </c>
      <c r="Y14" s="109">
        <v>62565.943000000007</v>
      </c>
      <c r="Z14" s="8">
        <v>61175.955000000016</v>
      </c>
    </row>
    <row r="15" spans="1:26">
      <c r="A15" s="17" t="s">
        <v>117</v>
      </c>
      <c r="B15" s="18">
        <v>1.4503964981253175</v>
      </c>
      <c r="G15" s="3">
        <v>12</v>
      </c>
      <c r="H15" s="8">
        <f t="shared" si="0"/>
        <v>73121.134999999995</v>
      </c>
      <c r="I15" s="8">
        <f t="shared" si="1"/>
        <v>67205.479200000002</v>
      </c>
      <c r="J15" s="8"/>
      <c r="P15" s="3">
        <v>12</v>
      </c>
      <c r="Q15" s="8">
        <f>TECO!H15</f>
        <v>76740.512999999977</v>
      </c>
      <c r="R15" s="8">
        <f>TECO!I15</f>
        <v>67268.464999999997</v>
      </c>
      <c r="T15" s="3">
        <v>12</v>
      </c>
      <c r="U15" s="8">
        <f>OUC!H15</f>
        <v>71587.249000000011</v>
      </c>
      <c r="V15" s="8">
        <f>OUC!I15</f>
        <v>69321.463000000003</v>
      </c>
      <c r="X15" s="3">
        <v>12</v>
      </c>
      <c r="Y15" s="109">
        <v>63736.420999999995</v>
      </c>
      <c r="Z15" s="8">
        <v>57400.116000000002</v>
      </c>
    </row>
    <row r="16" spans="1:26">
      <c r="A16" s="95" t="s">
        <v>21</v>
      </c>
      <c r="B16" s="96"/>
      <c r="G16" s="3">
        <v>13</v>
      </c>
      <c r="H16" s="8">
        <f t="shared" si="0"/>
        <v>68274.703300000023</v>
      </c>
      <c r="I16" s="8">
        <f t="shared" si="1"/>
        <v>60253.32680000001</v>
      </c>
      <c r="J16" s="8"/>
      <c r="P16" s="3">
        <v>13</v>
      </c>
      <c r="Q16" s="8">
        <f>TECO!H16</f>
        <v>71387.287000000026</v>
      </c>
      <c r="R16" s="8">
        <f>TECO!I16</f>
        <v>64365.58400000001</v>
      </c>
      <c r="T16" s="3">
        <v>13</v>
      </c>
      <c r="U16" s="8">
        <f>OUC!H16</f>
        <v>66727.165000000023</v>
      </c>
      <c r="V16" s="8">
        <f>OUC!I16</f>
        <v>57278.402000000002</v>
      </c>
      <c r="X16" s="3">
        <v>13</v>
      </c>
      <c r="Y16" s="109">
        <v>61231.999000000003</v>
      </c>
      <c r="Z16" s="8">
        <v>55135.330999999991</v>
      </c>
    </row>
    <row r="17" spans="1:26">
      <c r="A17" s="20" t="s">
        <v>228</v>
      </c>
      <c r="B17" s="5">
        <v>21689.889930525675</v>
      </c>
      <c r="G17" s="3">
        <v>14</v>
      </c>
      <c r="H17" s="8">
        <f t="shared" si="0"/>
        <v>60146.228499999997</v>
      </c>
      <c r="I17" s="8">
        <f t="shared" si="1"/>
        <v>52789.666300000004</v>
      </c>
      <c r="J17" s="8"/>
      <c r="P17" s="3">
        <v>14</v>
      </c>
      <c r="Q17" s="8">
        <f>TECO!H17</f>
        <v>62255.100999999988</v>
      </c>
      <c r="R17" s="8">
        <f>TECO!I17</f>
        <v>57461.952000000012</v>
      </c>
      <c r="T17" s="3">
        <v>14</v>
      </c>
      <c r="U17" s="8">
        <f>OUC!H17</f>
        <v>59058.269000000015</v>
      </c>
      <c r="V17" s="8">
        <f>OUC!I17</f>
        <v>48606.05</v>
      </c>
      <c r="X17" s="3">
        <v>14</v>
      </c>
      <c r="Y17" s="8">
        <v>55552.12000000001</v>
      </c>
      <c r="Z17" s="8">
        <v>50590.654000000002</v>
      </c>
    </row>
    <row r="18" spans="1:26">
      <c r="A18" s="19" t="s">
        <v>119</v>
      </c>
      <c r="B18" s="16">
        <v>0.90248249537630831</v>
      </c>
      <c r="G18" s="3">
        <v>15</v>
      </c>
      <c r="H18" s="8">
        <f t="shared" si="0"/>
        <v>46187.509399999995</v>
      </c>
      <c r="I18" s="8">
        <f t="shared" si="1"/>
        <v>40046.740100000003</v>
      </c>
      <c r="J18" s="8"/>
      <c r="P18" s="3">
        <v>15</v>
      </c>
      <c r="Q18" s="8">
        <f>TECO!H18</f>
        <v>48385.93499999999</v>
      </c>
      <c r="R18" s="8">
        <f>TECO!I18</f>
        <v>41890.240000000005</v>
      </c>
      <c r="T18" s="3">
        <v>15</v>
      </c>
      <c r="U18" s="8">
        <f>OUC!H18</f>
        <v>44390.894999999997</v>
      </c>
      <c r="V18" s="8">
        <f>OUC!I18</f>
        <v>37712.954000000005</v>
      </c>
      <c r="X18" s="3">
        <v>15</v>
      </c>
      <c r="Y18" s="8">
        <v>44379.359000000004</v>
      </c>
      <c r="Z18" s="8">
        <v>42253.028000000006</v>
      </c>
    </row>
    <row r="19" spans="1:26">
      <c r="B19" s="21"/>
      <c r="C19" s="21"/>
      <c r="E19" s="22"/>
      <c r="G19" s="3">
        <v>16</v>
      </c>
      <c r="H19" s="8">
        <f t="shared" si="0"/>
        <v>27786.50935</v>
      </c>
      <c r="I19" s="8">
        <f t="shared" si="1"/>
        <v>26712.367549999995</v>
      </c>
      <c r="J19" s="8"/>
      <c r="P19" s="3">
        <v>16</v>
      </c>
      <c r="Q19" s="8">
        <f>TECO!H19</f>
        <v>27011.610000000004</v>
      </c>
      <c r="R19" s="8">
        <f>TECO!I19</f>
        <v>28320.778999999995</v>
      </c>
      <c r="T19" s="3">
        <v>16</v>
      </c>
      <c r="U19" s="8">
        <f>OUC!H19</f>
        <v>28409.252999999993</v>
      </c>
      <c r="V19" s="8">
        <f>OUC!I19</f>
        <v>24289.55</v>
      </c>
      <c r="X19" s="3">
        <v>16</v>
      </c>
      <c r="Y19" s="8">
        <v>28471.21</v>
      </c>
      <c r="Z19" s="8">
        <v>30377.195000000003</v>
      </c>
    </row>
    <row r="20" spans="1:26">
      <c r="G20" s="3">
        <v>17</v>
      </c>
      <c r="H20" s="8">
        <f t="shared" si="0"/>
        <v>7875.4512000000013</v>
      </c>
      <c r="I20" s="8">
        <f t="shared" si="1"/>
        <v>13224.24245</v>
      </c>
      <c r="J20" s="8"/>
      <c r="P20" s="3">
        <v>17</v>
      </c>
      <c r="Q20" s="8">
        <f>TECO!H20</f>
        <v>8591.7950000000019</v>
      </c>
      <c r="R20" s="8">
        <f>TECO!I20</f>
        <v>14696.853999999999</v>
      </c>
      <c r="T20" s="3">
        <v>17</v>
      </c>
      <c r="U20" s="8">
        <f>OUC!H20</f>
        <v>6461.5250000000015</v>
      </c>
      <c r="V20" s="8">
        <f>OUC!I20</f>
        <v>11151.625000000002</v>
      </c>
      <c r="X20" s="3">
        <v>17</v>
      </c>
      <c r="Y20" s="8">
        <v>11014.572</v>
      </c>
      <c r="Z20" s="8">
        <v>15924.269000000002</v>
      </c>
    </row>
    <row r="21" spans="1:26">
      <c r="G21" s="3">
        <v>18</v>
      </c>
      <c r="H21" s="8">
        <f t="shared" si="0"/>
        <v>0</v>
      </c>
      <c r="I21" s="8">
        <f t="shared" si="1"/>
        <v>2173.3650000000002</v>
      </c>
      <c r="J21" s="8"/>
      <c r="P21" s="3">
        <v>18</v>
      </c>
      <c r="Q21" s="8">
        <f>TECO!H21</f>
        <v>0</v>
      </c>
      <c r="R21" s="8">
        <f>TECO!I21</f>
        <v>2166.0239999999999</v>
      </c>
      <c r="T21" s="3">
        <v>18</v>
      </c>
      <c r="U21" s="8">
        <f>OUC!H21</f>
        <v>0</v>
      </c>
      <c r="V21" s="8">
        <f>OUC!I21</f>
        <v>1891.8400000000001</v>
      </c>
      <c r="X21" s="3">
        <v>18</v>
      </c>
      <c r="Y21" s="8">
        <v>0</v>
      </c>
      <c r="Z21" s="8">
        <v>3473.2620000000006</v>
      </c>
    </row>
    <row r="22" spans="1:26">
      <c r="G22" s="3">
        <v>19</v>
      </c>
      <c r="H22" s="8">
        <f t="shared" si="0"/>
        <v>0</v>
      </c>
      <c r="I22" s="8">
        <f t="shared" si="1"/>
        <v>0</v>
      </c>
      <c r="J22" s="8"/>
      <c r="P22" s="3">
        <v>19</v>
      </c>
      <c r="Q22" s="8">
        <f>TECO!H22</f>
        <v>0</v>
      </c>
      <c r="R22" s="8">
        <f>TECO!I22</f>
        <v>0</v>
      </c>
      <c r="T22" s="3">
        <v>19</v>
      </c>
      <c r="U22" s="8">
        <f>OUC!H22</f>
        <v>0</v>
      </c>
      <c r="V22" s="8">
        <f>OUC!I22</f>
        <v>0</v>
      </c>
      <c r="X22" s="3">
        <v>19</v>
      </c>
      <c r="Y22" s="8">
        <v>0</v>
      </c>
      <c r="Z22" s="8">
        <v>0</v>
      </c>
    </row>
    <row r="23" spans="1:26">
      <c r="G23" s="3">
        <v>20</v>
      </c>
      <c r="H23" s="8">
        <f t="shared" si="0"/>
        <v>0</v>
      </c>
      <c r="I23" s="8">
        <f t="shared" si="1"/>
        <v>0</v>
      </c>
      <c r="J23" s="8"/>
      <c r="P23" s="3">
        <v>20</v>
      </c>
      <c r="Q23" s="8">
        <f>TECO!H23</f>
        <v>0</v>
      </c>
      <c r="R23" s="8">
        <f>TECO!I23</f>
        <v>0</v>
      </c>
      <c r="T23" s="3">
        <v>20</v>
      </c>
      <c r="U23" s="8">
        <f>OUC!H23</f>
        <v>0</v>
      </c>
      <c r="V23" s="8">
        <f>OUC!I23</f>
        <v>0</v>
      </c>
      <c r="X23" s="3">
        <v>20</v>
      </c>
      <c r="Y23" s="8">
        <v>0</v>
      </c>
      <c r="Z23" s="8">
        <v>0</v>
      </c>
    </row>
    <row r="24" spans="1:26">
      <c r="G24" s="3">
        <v>21</v>
      </c>
      <c r="H24" s="8">
        <f t="shared" si="0"/>
        <v>0</v>
      </c>
      <c r="I24" s="8">
        <f t="shared" si="1"/>
        <v>0</v>
      </c>
      <c r="P24" s="3">
        <v>21</v>
      </c>
      <c r="Q24" s="8">
        <f>TECO!H24</f>
        <v>0</v>
      </c>
      <c r="R24" s="8">
        <f>TECO!I24</f>
        <v>0</v>
      </c>
      <c r="T24" s="3">
        <v>21</v>
      </c>
      <c r="U24" s="8">
        <f>OUC!H24</f>
        <v>0</v>
      </c>
      <c r="V24" s="8">
        <f>OUC!I24</f>
        <v>0</v>
      </c>
      <c r="X24" s="3">
        <v>21</v>
      </c>
      <c r="Y24" s="8">
        <v>0</v>
      </c>
      <c r="Z24" s="8">
        <v>0</v>
      </c>
    </row>
    <row r="25" spans="1:26">
      <c r="G25" s="3">
        <v>22</v>
      </c>
      <c r="H25" s="8">
        <f t="shared" si="0"/>
        <v>0</v>
      </c>
      <c r="I25" s="8">
        <f t="shared" si="1"/>
        <v>0</v>
      </c>
      <c r="P25" s="3">
        <v>22</v>
      </c>
      <c r="Q25" s="8">
        <f>TECO!H25</f>
        <v>0</v>
      </c>
      <c r="R25" s="8">
        <f>TECO!I25</f>
        <v>0</v>
      </c>
      <c r="T25" s="3">
        <v>22</v>
      </c>
      <c r="U25" s="8">
        <f>OUC!H25</f>
        <v>0</v>
      </c>
      <c r="V25" s="8">
        <f>OUC!I25</f>
        <v>0</v>
      </c>
      <c r="X25" s="3">
        <v>22</v>
      </c>
      <c r="Y25" s="8">
        <v>0</v>
      </c>
      <c r="Z25" s="8">
        <v>0</v>
      </c>
    </row>
    <row r="26" spans="1:26">
      <c r="G26" s="3">
        <v>23</v>
      </c>
      <c r="H26" s="8">
        <f t="shared" si="0"/>
        <v>0</v>
      </c>
      <c r="I26" s="8">
        <f t="shared" si="1"/>
        <v>0</v>
      </c>
      <c r="P26" s="3">
        <v>23</v>
      </c>
      <c r="Q26" s="8">
        <f>TECO!H26</f>
        <v>0</v>
      </c>
      <c r="R26" s="8">
        <f>TECO!I26</f>
        <v>0</v>
      </c>
      <c r="T26" s="3">
        <v>23</v>
      </c>
      <c r="U26" s="8">
        <f>OUC!H26</f>
        <v>0</v>
      </c>
      <c r="V26" s="8">
        <f>OUC!I26</f>
        <v>0</v>
      </c>
      <c r="X26" s="3">
        <v>23</v>
      </c>
      <c r="Y26" s="8">
        <v>0</v>
      </c>
      <c r="Z26" s="8">
        <v>0</v>
      </c>
    </row>
    <row r="27" spans="1:26">
      <c r="H27" s="144"/>
      <c r="I27" s="8"/>
    </row>
    <row r="30" spans="1:26">
      <c r="G30" s="42"/>
    </row>
    <row r="31" spans="1:26">
      <c r="G31" s="24"/>
      <c r="H31" s="24"/>
    </row>
    <row r="32" spans="1:26">
      <c r="G32" s="42"/>
    </row>
  </sheetData>
  <pageMargins left="0.75" right="0.75" top="1" bottom="1" header="0.5" footer="0.5"/>
  <pageSetup orientation="portrait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7BC1F"/>
  </sheetPr>
  <dimension ref="A1:P18"/>
  <sheetViews>
    <sheetView workbookViewId="0">
      <selection activeCell="J20" sqref="J20"/>
    </sheetView>
  </sheetViews>
  <sheetFormatPr defaultColWidth="9" defaultRowHeight="14.4"/>
  <cols>
    <col min="1" max="14" width="9" style="3"/>
    <col min="15" max="15" width="21.59765625" style="3" bestFit="1" customWidth="1"/>
    <col min="16" max="16" width="52.59765625" style="3" bestFit="1" customWidth="1"/>
    <col min="17" max="16384" width="9" style="3"/>
  </cols>
  <sheetData>
    <row r="1" spans="1:16">
      <c r="A1" s="3" t="s">
        <v>52</v>
      </c>
    </row>
    <row r="2" spans="1:16">
      <c r="A2" s="3" t="s">
        <v>53</v>
      </c>
    </row>
    <row r="3" spans="1:16">
      <c r="A3" s="3" t="s">
        <v>61</v>
      </c>
    </row>
    <row r="5" spans="1:16">
      <c r="A5" s="3" t="s">
        <v>55</v>
      </c>
    </row>
    <row r="6" spans="1:16">
      <c r="A6" s="3" t="s">
        <v>54</v>
      </c>
    </row>
    <row r="7" spans="1:16">
      <c r="A7" s="3" t="s">
        <v>59</v>
      </c>
    </row>
    <row r="8" spans="1:16">
      <c r="A8" s="3" t="s">
        <v>60</v>
      </c>
      <c r="O8" s="3" t="s">
        <v>63</v>
      </c>
      <c r="P8" s="3" t="s">
        <v>7</v>
      </c>
    </row>
    <row r="9" spans="1:16">
      <c r="A9" s="3" t="s">
        <v>62</v>
      </c>
      <c r="O9" s="3" t="s">
        <v>13</v>
      </c>
      <c r="P9" s="3" t="s">
        <v>56</v>
      </c>
    </row>
    <row r="10" spans="1:16">
      <c r="O10" s="3" t="s">
        <v>14</v>
      </c>
      <c r="P10" s="3" t="s">
        <v>56</v>
      </c>
    </row>
    <row r="11" spans="1:16">
      <c r="O11" s="3" t="s">
        <v>15</v>
      </c>
      <c r="P11" s="3" t="s">
        <v>57</v>
      </c>
    </row>
    <row r="12" spans="1:16">
      <c r="O12" s="3" t="s">
        <v>16</v>
      </c>
      <c r="P12" s="3" t="s">
        <v>58</v>
      </c>
    </row>
    <row r="13" spans="1:16">
      <c r="A13" s="3" t="s">
        <v>27</v>
      </c>
      <c r="O13" s="3" t="s">
        <v>17</v>
      </c>
      <c r="P13" s="3" t="s">
        <v>58</v>
      </c>
    </row>
    <row r="14" spans="1:16">
      <c r="A14" s="3" t="s">
        <v>24</v>
      </c>
      <c r="O14" s="3" t="s">
        <v>18</v>
      </c>
      <c r="P14" s="3" t="s">
        <v>58</v>
      </c>
    </row>
    <row r="15" spans="1:16">
      <c r="A15" s="3" t="s">
        <v>25</v>
      </c>
      <c r="O15" s="3" t="s">
        <v>19</v>
      </c>
      <c r="P15" s="3" t="s">
        <v>58</v>
      </c>
    </row>
    <row r="16" spans="1:16">
      <c r="A16" s="3" t="s">
        <v>65</v>
      </c>
    </row>
    <row r="17" spans="1:1">
      <c r="A17" s="3" t="s">
        <v>26</v>
      </c>
    </row>
    <row r="18" spans="1:1">
      <c r="A18" s="29" t="s">
        <v>64</v>
      </c>
    </row>
  </sheetData>
  <hyperlinks>
    <hyperlink ref="A1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8" tint="0.79998168889431442"/>
  </sheetPr>
  <dimension ref="A1:L31"/>
  <sheetViews>
    <sheetView workbookViewId="0">
      <selection activeCell="A37" sqref="A37:XFD50"/>
    </sheetView>
  </sheetViews>
  <sheetFormatPr defaultColWidth="11.19921875" defaultRowHeight="14.4"/>
  <cols>
    <col min="1" max="1" width="51.898437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5.59765625" style="3" customWidth="1"/>
    <col min="7" max="7" width="16.09765625" style="3" customWidth="1"/>
    <col min="8" max="8" width="18" style="3" bestFit="1" customWidth="1"/>
    <col min="9" max="9" width="17" style="3" customWidth="1"/>
    <col min="10" max="10" width="15.19921875" style="3" customWidth="1"/>
    <col min="11" max="11" width="15.09765625" style="3" bestFit="1" customWidth="1"/>
    <col min="12" max="12" width="14.59765625" style="3" customWidth="1"/>
    <col min="13" max="13" width="18.5" style="3" customWidth="1"/>
    <col min="14" max="14" width="13.8984375" style="3" customWidth="1"/>
    <col min="15" max="15" width="18.69921875" style="3" customWidth="1"/>
    <col min="16" max="16384" width="11.19921875" style="3"/>
  </cols>
  <sheetData>
    <row r="1" spans="1:12">
      <c r="A1" s="15" t="s">
        <v>0</v>
      </c>
      <c r="B1" s="78" t="s">
        <v>105</v>
      </c>
      <c r="G1" s="110" t="s">
        <v>222</v>
      </c>
      <c r="H1" s="110"/>
      <c r="I1" s="110"/>
    </row>
    <row r="2" spans="1:12">
      <c r="A2" s="2"/>
      <c r="B2" s="16"/>
      <c r="C2" s="2"/>
      <c r="D2" s="2"/>
      <c r="E2" s="2"/>
      <c r="F2" s="2"/>
      <c r="G2" s="113" t="s">
        <v>223</v>
      </c>
      <c r="H2" s="110" t="s">
        <v>224</v>
      </c>
      <c r="I2" s="110" t="s">
        <v>225</v>
      </c>
    </row>
    <row r="3" spans="1:12">
      <c r="A3" s="78" t="s">
        <v>116</v>
      </c>
      <c r="B3" s="78">
        <v>2020</v>
      </c>
      <c r="G3" s="3">
        <v>0</v>
      </c>
      <c r="H3" s="8">
        <v>0</v>
      </c>
      <c r="I3" s="8">
        <v>0</v>
      </c>
    </row>
    <row r="4" spans="1:12" ht="15.6">
      <c r="A4" s="93" t="s">
        <v>1</v>
      </c>
      <c r="B4" s="94"/>
      <c r="G4" s="3">
        <v>1</v>
      </c>
      <c r="H4" s="8">
        <v>0</v>
      </c>
      <c r="I4" s="109">
        <v>0</v>
      </c>
      <c r="K4" s="105"/>
      <c r="L4" s="101"/>
    </row>
    <row r="5" spans="1:12">
      <c r="A5" s="112" t="s">
        <v>201</v>
      </c>
      <c r="B5" s="92">
        <v>12894.732218034187</v>
      </c>
      <c r="G5" s="3">
        <v>2</v>
      </c>
      <c r="H5" s="8">
        <v>0</v>
      </c>
      <c r="I5" s="109">
        <v>0</v>
      </c>
      <c r="L5" s="101"/>
    </row>
    <row r="6" spans="1:12">
      <c r="A6" s="102" t="s">
        <v>199</v>
      </c>
      <c r="B6" s="115">
        <v>3277.8719187775232</v>
      </c>
      <c r="C6" s="8"/>
      <c r="G6" s="3">
        <v>3</v>
      </c>
      <c r="H6" s="8">
        <v>0</v>
      </c>
      <c r="I6" s="109">
        <v>0</v>
      </c>
      <c r="L6" s="101"/>
    </row>
    <row r="7" spans="1:12">
      <c r="A7" s="102" t="s">
        <v>200</v>
      </c>
      <c r="B7" s="92">
        <v>714.2111403174066</v>
      </c>
      <c r="C7" s="8"/>
      <c r="G7" s="3">
        <v>4</v>
      </c>
      <c r="H7" s="8">
        <v>0</v>
      </c>
      <c r="I7" s="109">
        <v>0</v>
      </c>
      <c r="L7" s="101"/>
    </row>
    <row r="8" spans="1:12">
      <c r="A8" s="112" t="s">
        <v>227</v>
      </c>
      <c r="B8" s="92">
        <v>14390.521155326152</v>
      </c>
      <c r="G8" s="3">
        <v>5</v>
      </c>
      <c r="H8" s="8">
        <v>0</v>
      </c>
      <c r="I8" s="8">
        <v>0</v>
      </c>
    </row>
    <row r="9" spans="1:12">
      <c r="A9" s="17" t="s">
        <v>118</v>
      </c>
      <c r="B9" s="97">
        <v>0.34922396407860629</v>
      </c>
      <c r="G9" s="3">
        <v>6</v>
      </c>
      <c r="H9" s="8">
        <v>0</v>
      </c>
      <c r="I9" s="109">
        <v>2507.3690000000006</v>
      </c>
    </row>
    <row r="10" spans="1:12">
      <c r="A10" s="95" t="s">
        <v>2</v>
      </c>
      <c r="B10" s="96"/>
      <c r="G10" s="3">
        <v>7</v>
      </c>
      <c r="H10" s="8">
        <v>6868.0899999999992</v>
      </c>
      <c r="I10" s="109">
        <v>16199.007999999998</v>
      </c>
    </row>
    <row r="11" spans="1:12" ht="15.6">
      <c r="A11" s="112" t="s">
        <v>201</v>
      </c>
      <c r="B11" s="92">
        <v>30361.933822001316</v>
      </c>
      <c r="G11" s="3">
        <v>8</v>
      </c>
      <c r="H11" s="114">
        <v>30448.546000000009</v>
      </c>
      <c r="I11" s="109">
        <v>34571.353999999992</v>
      </c>
    </row>
    <row r="12" spans="1:12">
      <c r="A12" s="107" t="s">
        <v>199</v>
      </c>
      <c r="B12" s="5">
        <v>7718.076544135628</v>
      </c>
      <c r="G12" s="3">
        <v>9</v>
      </c>
      <c r="H12" s="8">
        <v>47943.267999999996</v>
      </c>
      <c r="I12" s="109">
        <v>53132.075000000004</v>
      </c>
    </row>
    <row r="13" spans="1:12">
      <c r="A13" s="107" t="s">
        <v>200</v>
      </c>
      <c r="B13" s="5">
        <v>1681.6814037382985</v>
      </c>
      <c r="G13" s="3">
        <v>10</v>
      </c>
      <c r="H13" s="8">
        <v>63337.208999999995</v>
      </c>
      <c r="I13" s="109">
        <v>64158.109999999993</v>
      </c>
    </row>
    <row r="14" spans="1:12">
      <c r="A14" s="112" t="s">
        <v>226</v>
      </c>
      <c r="B14" s="92">
        <v>33883.918145353462</v>
      </c>
      <c r="G14" s="3">
        <v>11</v>
      </c>
      <c r="H14" s="8">
        <v>67654.665000000008</v>
      </c>
      <c r="I14" s="109">
        <v>70632.344000000012</v>
      </c>
    </row>
    <row r="15" spans="1:12">
      <c r="A15" s="17" t="s">
        <v>117</v>
      </c>
      <c r="B15" s="18">
        <v>0.87785707824178727</v>
      </c>
      <c r="G15" s="3">
        <v>12</v>
      </c>
      <c r="H15" s="8">
        <v>70304.917000000001</v>
      </c>
      <c r="I15" s="8">
        <v>72034.693999999989</v>
      </c>
    </row>
    <row r="16" spans="1:12">
      <c r="A16" s="95" t="s">
        <v>21</v>
      </c>
      <c r="B16" s="96"/>
      <c r="G16" s="3">
        <v>13</v>
      </c>
      <c r="H16" s="8">
        <v>65901.756999999998</v>
      </c>
      <c r="I16" s="8">
        <v>69268.972000000009</v>
      </c>
    </row>
    <row r="17" spans="1:9">
      <c r="A17" s="116" t="s">
        <v>228</v>
      </c>
      <c r="B17" s="5">
        <v>48274.439300679616</v>
      </c>
      <c r="G17" s="3">
        <v>14</v>
      </c>
      <c r="H17" s="8">
        <v>57821.638999999996</v>
      </c>
      <c r="I17" s="8">
        <v>64905.729000000021</v>
      </c>
    </row>
    <row r="18" spans="1:9">
      <c r="A18" s="19" t="s">
        <v>119</v>
      </c>
      <c r="B18" s="16">
        <v>0.60490050481955626</v>
      </c>
      <c r="G18" s="3">
        <v>15</v>
      </c>
      <c r="H18" s="8">
        <v>47736.131000000001</v>
      </c>
      <c r="I18" s="8">
        <v>50313.463000000011</v>
      </c>
    </row>
    <row r="19" spans="1:9">
      <c r="B19" s="21"/>
      <c r="C19" s="21"/>
      <c r="E19" s="22"/>
      <c r="G19" s="3">
        <v>16</v>
      </c>
      <c r="H19" s="8">
        <v>26108.608000000004</v>
      </c>
      <c r="I19" s="8">
        <v>31521.097999999994</v>
      </c>
    </row>
    <row r="20" spans="1:9">
      <c r="G20" s="3">
        <v>17</v>
      </c>
      <c r="H20" s="8">
        <v>6583.978000000001</v>
      </c>
      <c r="I20" s="8">
        <v>13308.456999999997</v>
      </c>
    </row>
    <row r="21" spans="1:9">
      <c r="G21" s="3">
        <v>18</v>
      </c>
      <c r="H21" s="8">
        <v>0</v>
      </c>
      <c r="I21" s="8">
        <v>1572.0509999999999</v>
      </c>
    </row>
    <row r="22" spans="1:9">
      <c r="G22" s="3">
        <v>19</v>
      </c>
      <c r="H22" s="8">
        <v>0</v>
      </c>
      <c r="I22" s="8">
        <v>0</v>
      </c>
    </row>
    <row r="23" spans="1:9">
      <c r="G23" s="3">
        <v>20</v>
      </c>
      <c r="H23" s="8">
        <v>0</v>
      </c>
      <c r="I23" s="8">
        <v>0</v>
      </c>
    </row>
    <row r="24" spans="1:9">
      <c r="G24" s="3">
        <v>21</v>
      </c>
      <c r="H24" s="8">
        <v>0</v>
      </c>
      <c r="I24" s="8">
        <v>0</v>
      </c>
    </row>
    <row r="25" spans="1:9">
      <c r="G25" s="3">
        <v>22</v>
      </c>
      <c r="H25" s="8">
        <v>0</v>
      </c>
      <c r="I25" s="8">
        <v>0</v>
      </c>
    </row>
    <row r="26" spans="1:9">
      <c r="G26" s="3">
        <v>23</v>
      </c>
      <c r="H26" s="8">
        <v>0</v>
      </c>
      <c r="I26" s="8">
        <v>0</v>
      </c>
    </row>
    <row r="29" spans="1:9"/>
    <row r="31" spans="1:9">
      <c r="G31" s="24"/>
      <c r="H31" s="24"/>
    </row>
  </sheetData>
  <pageMargins left="0.75" right="0.75" top="1" bottom="1" header="0.5" footer="0.5"/>
  <pageSetup orientation="portrait" horizontalDpi="4294967292" verticalDpi="429496729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L32"/>
  <sheetViews>
    <sheetView topLeftCell="A10" workbookViewId="0">
      <selection activeCell="A36" sqref="A36:XFD50"/>
    </sheetView>
  </sheetViews>
  <sheetFormatPr defaultColWidth="11.19921875" defaultRowHeight="14.4"/>
  <cols>
    <col min="1" max="1" width="49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4" style="3" customWidth="1"/>
    <col min="7" max="7" width="15.19921875" style="3" bestFit="1" customWidth="1"/>
    <col min="8" max="8" width="18" style="3" bestFit="1" customWidth="1"/>
    <col min="9" max="9" width="17" style="3" customWidth="1"/>
    <col min="10" max="10" width="13.69921875" style="3" bestFit="1" customWidth="1"/>
    <col min="11" max="11" width="15.09765625" style="3" bestFit="1" customWidth="1"/>
    <col min="12" max="12" width="15" style="3" customWidth="1"/>
    <col min="13" max="13" width="18.5" style="3" customWidth="1"/>
    <col min="14" max="14" width="13.8984375" style="3" customWidth="1"/>
    <col min="15" max="15" width="14.69921875" style="3" bestFit="1" customWidth="1"/>
    <col min="16" max="16384" width="11.19921875" style="3"/>
  </cols>
  <sheetData>
    <row r="1" spans="1:12">
      <c r="A1" s="15" t="s">
        <v>0</v>
      </c>
      <c r="B1" s="78" t="s">
        <v>107</v>
      </c>
      <c r="G1" s="110" t="s">
        <v>222</v>
      </c>
      <c r="H1" s="110"/>
      <c r="I1" s="110"/>
    </row>
    <row r="2" spans="1:12">
      <c r="A2" s="2"/>
      <c r="B2" s="16"/>
      <c r="C2" s="2"/>
      <c r="D2" s="2"/>
      <c r="E2" s="2"/>
      <c r="F2" s="2"/>
      <c r="G2" s="110" t="s">
        <v>223</v>
      </c>
      <c r="H2" s="110" t="s">
        <v>224</v>
      </c>
      <c r="I2" s="110" t="s">
        <v>225</v>
      </c>
    </row>
    <row r="3" spans="1:12">
      <c r="A3" s="78" t="s">
        <v>116</v>
      </c>
      <c r="B3" s="78">
        <v>2020</v>
      </c>
      <c r="G3" s="3">
        <v>0</v>
      </c>
      <c r="H3" s="8">
        <v>0</v>
      </c>
      <c r="I3" s="8">
        <v>0</v>
      </c>
    </row>
    <row r="4" spans="1:12" ht="15.6">
      <c r="A4" s="93" t="s">
        <v>1</v>
      </c>
      <c r="B4" s="94"/>
      <c r="G4" s="3">
        <v>1</v>
      </c>
      <c r="H4" s="8">
        <v>0</v>
      </c>
      <c r="I4" s="8">
        <v>0</v>
      </c>
      <c r="K4" s="105"/>
      <c r="L4" s="101"/>
    </row>
    <row r="5" spans="1:12">
      <c r="A5" s="17" t="s">
        <v>201</v>
      </c>
      <c r="B5" s="92">
        <v>81.517346961482488</v>
      </c>
      <c r="G5" s="3">
        <v>2</v>
      </c>
      <c r="H5" s="8">
        <v>0</v>
      </c>
      <c r="I5" s="8">
        <v>0</v>
      </c>
      <c r="L5" s="101"/>
    </row>
    <row r="6" spans="1:12">
      <c r="A6" s="102" t="s">
        <v>199</v>
      </c>
      <c r="B6" s="92">
        <v>19.026656949432603</v>
      </c>
      <c r="C6" s="8"/>
      <c r="G6" s="3">
        <v>3</v>
      </c>
      <c r="H6" s="8">
        <v>0</v>
      </c>
      <c r="I6" s="8">
        <v>0</v>
      </c>
      <c r="L6" s="101"/>
    </row>
    <row r="7" spans="1:12">
      <c r="A7" s="102" t="s">
        <v>200</v>
      </c>
      <c r="B7" s="92">
        <v>1.0079882910971056E-2</v>
      </c>
      <c r="C7" s="8"/>
      <c r="G7" s="3">
        <v>4</v>
      </c>
      <c r="H7" s="8">
        <v>0</v>
      </c>
      <c r="I7" s="8">
        <v>0</v>
      </c>
      <c r="L7" s="101"/>
    </row>
    <row r="8" spans="1:12">
      <c r="A8" s="17" t="s">
        <v>227</v>
      </c>
      <c r="B8" s="92">
        <v>117.03215738200966</v>
      </c>
      <c r="G8" s="3">
        <v>5</v>
      </c>
      <c r="H8" s="8">
        <v>0</v>
      </c>
      <c r="I8" s="8">
        <v>0</v>
      </c>
      <c r="L8" s="101"/>
    </row>
    <row r="9" spans="1:12">
      <c r="A9" s="17" t="s">
        <v>118</v>
      </c>
      <c r="B9" s="97">
        <v>0.55431829896403007</v>
      </c>
      <c r="G9" s="3">
        <v>6</v>
      </c>
      <c r="H9" s="8">
        <v>0</v>
      </c>
      <c r="I9" s="8">
        <v>2798.3760000000002</v>
      </c>
    </row>
    <row r="10" spans="1:12">
      <c r="A10" s="95" t="s">
        <v>2</v>
      </c>
      <c r="B10" s="96"/>
      <c r="G10" s="3">
        <v>7</v>
      </c>
      <c r="H10" s="8">
        <v>15.333</v>
      </c>
      <c r="I10" s="8">
        <v>16598.977999999999</v>
      </c>
    </row>
    <row r="11" spans="1:12">
      <c r="A11" s="17" t="s">
        <v>201</v>
      </c>
      <c r="B11" s="92">
        <v>250.53825362122436</v>
      </c>
      <c r="G11" s="3">
        <v>8</v>
      </c>
      <c r="H11" s="8">
        <v>23219.640999999996</v>
      </c>
      <c r="I11" s="8">
        <v>37254.889999999992</v>
      </c>
    </row>
    <row r="12" spans="1:12">
      <c r="A12" s="107" t="s">
        <v>199</v>
      </c>
      <c r="B12" s="5">
        <v>58.477190218339324</v>
      </c>
      <c r="G12" s="3">
        <v>9</v>
      </c>
      <c r="H12" s="8">
        <v>43264.590999999993</v>
      </c>
      <c r="I12" s="8">
        <v>52901.348999999987</v>
      </c>
    </row>
    <row r="13" spans="1:12">
      <c r="A13" s="107" t="s">
        <v>200</v>
      </c>
      <c r="B13" s="70">
        <v>3.0979863248179296E-2</v>
      </c>
      <c r="G13" s="3">
        <v>10</v>
      </c>
      <c r="H13" s="8">
        <v>53617.267</v>
      </c>
      <c r="I13" s="8">
        <v>61751.858999999989</v>
      </c>
    </row>
    <row r="14" spans="1:12" ht="15.6">
      <c r="A14" s="17" t="s">
        <v>226</v>
      </c>
      <c r="B14" s="92">
        <v>359.69070904463268</v>
      </c>
      <c r="G14">
        <v>11</v>
      </c>
      <c r="H14" s="109">
        <v>60844.538999999997</v>
      </c>
      <c r="I14" s="8">
        <v>65778.010999999999</v>
      </c>
    </row>
    <row r="15" spans="1:12">
      <c r="A15" s="17" t="s">
        <v>117</v>
      </c>
      <c r="B15" s="18">
        <v>2.1358528170268043</v>
      </c>
      <c r="G15" s="3">
        <v>12</v>
      </c>
      <c r="H15" s="109">
        <v>65529.266000000011</v>
      </c>
      <c r="I15" s="8">
        <v>61739.352000000014</v>
      </c>
    </row>
    <row r="16" spans="1:12">
      <c r="A16" s="95" t="s">
        <v>21</v>
      </c>
      <c r="B16" s="96"/>
      <c r="G16" s="3">
        <v>13</v>
      </c>
      <c r="H16" s="109">
        <v>62544.887999999992</v>
      </c>
      <c r="I16" s="8">
        <v>57559.322000000007</v>
      </c>
    </row>
    <row r="17" spans="1:9">
      <c r="A17" s="20" t="s">
        <v>228</v>
      </c>
      <c r="B17" s="5">
        <v>476.72286642664233</v>
      </c>
      <c r="G17" s="3">
        <v>14</v>
      </c>
      <c r="H17" s="8">
        <v>60396.074000000008</v>
      </c>
      <c r="I17" s="8">
        <v>54141.723999999995</v>
      </c>
    </row>
    <row r="18" spans="1:9">
      <c r="A18" s="19" t="s">
        <v>119</v>
      </c>
      <c r="B18" s="16">
        <v>1.256073509433898</v>
      </c>
      <c r="G18" s="3">
        <v>15</v>
      </c>
      <c r="H18" s="8">
        <v>45020.623999999989</v>
      </c>
      <c r="I18" s="8">
        <v>41969.575000000004</v>
      </c>
    </row>
    <row r="19" spans="1:9">
      <c r="B19" s="21"/>
      <c r="C19" s="21"/>
      <c r="E19" s="22"/>
      <c r="G19" s="3">
        <v>16</v>
      </c>
      <c r="H19" s="8">
        <v>28656.582000000006</v>
      </c>
      <c r="I19" s="8">
        <v>28942.373</v>
      </c>
    </row>
    <row r="20" spans="1:9">
      <c r="G20" s="3">
        <v>17</v>
      </c>
      <c r="H20" s="8">
        <v>5897.1219999999994</v>
      </c>
      <c r="I20" s="8">
        <v>13199.883</v>
      </c>
    </row>
    <row r="21" spans="1:9">
      <c r="G21" s="3">
        <v>18</v>
      </c>
      <c r="H21" s="8">
        <v>0</v>
      </c>
      <c r="I21" s="8">
        <v>2442.1669999999999</v>
      </c>
    </row>
    <row r="22" spans="1:9">
      <c r="G22" s="3">
        <v>19</v>
      </c>
      <c r="H22" s="8">
        <v>0</v>
      </c>
      <c r="I22" s="8">
        <v>0</v>
      </c>
    </row>
    <row r="23" spans="1:9">
      <c r="G23" s="3">
        <v>20</v>
      </c>
      <c r="H23" s="8">
        <v>0</v>
      </c>
      <c r="I23" s="8">
        <v>0</v>
      </c>
    </row>
    <row r="24" spans="1:9">
      <c r="G24" s="3">
        <v>21</v>
      </c>
      <c r="H24" s="8">
        <v>0</v>
      </c>
      <c r="I24" s="8">
        <v>0</v>
      </c>
    </row>
    <row r="25" spans="1:9">
      <c r="G25" s="3">
        <v>22</v>
      </c>
      <c r="H25" s="8">
        <v>0</v>
      </c>
      <c r="I25" s="8">
        <v>0</v>
      </c>
    </row>
    <row r="26" spans="1:9">
      <c r="G26" s="3">
        <v>23</v>
      </c>
      <c r="H26" s="8">
        <v>0</v>
      </c>
      <c r="I26" s="8">
        <v>0</v>
      </c>
    </row>
    <row r="27" spans="1:9">
      <c r="H27" s="8"/>
      <c r="I27" s="8"/>
    </row>
    <row r="31" spans="1:9">
      <c r="G31" s="24"/>
      <c r="H31" s="24"/>
    </row>
    <row r="32" spans="1:9">
      <c r="G32" s="24"/>
    </row>
  </sheetData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79998168889431442"/>
  </sheetPr>
  <dimension ref="A1:O41"/>
  <sheetViews>
    <sheetView topLeftCell="A26" workbookViewId="0">
      <selection activeCell="A37" sqref="A37:XFD51"/>
    </sheetView>
  </sheetViews>
  <sheetFormatPr defaultColWidth="11.19921875" defaultRowHeight="14.4"/>
  <cols>
    <col min="1" max="1" width="44.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4" style="3" customWidth="1"/>
    <col min="7" max="7" width="15.19921875" style="3" bestFit="1" customWidth="1"/>
    <col min="8" max="8" width="18" style="3" bestFit="1" customWidth="1"/>
    <col min="9" max="9" width="17" style="3" customWidth="1"/>
    <col min="10" max="10" width="13.69921875" style="3" bestFit="1" customWidth="1"/>
    <col min="11" max="11" width="15.09765625" style="3" bestFit="1" customWidth="1"/>
    <col min="12" max="12" width="15.19921875" style="3" customWidth="1"/>
    <col min="13" max="13" width="18.5" style="3" customWidth="1"/>
    <col min="14" max="14" width="13.8984375" style="3" customWidth="1"/>
    <col min="15" max="15" width="14.69921875" style="3" bestFit="1" customWidth="1"/>
    <col min="16" max="16384" width="11.19921875" style="3"/>
  </cols>
  <sheetData>
    <row r="1" spans="1:12">
      <c r="A1" s="15" t="s">
        <v>0</v>
      </c>
      <c r="B1" s="78" t="s">
        <v>109</v>
      </c>
      <c r="G1" s="110" t="s">
        <v>222</v>
      </c>
      <c r="H1" s="110"/>
      <c r="I1" s="110"/>
    </row>
    <row r="2" spans="1:12">
      <c r="A2" s="2"/>
      <c r="B2" s="16"/>
      <c r="C2" s="2"/>
      <c r="D2" s="2"/>
      <c r="E2" s="2"/>
      <c r="F2" s="2"/>
      <c r="G2" s="110" t="s">
        <v>223</v>
      </c>
      <c r="H2" s="110" t="s">
        <v>224</v>
      </c>
      <c r="I2" s="110" t="s">
        <v>225</v>
      </c>
    </row>
    <row r="3" spans="1:12" ht="15.6">
      <c r="A3" s="78" t="s">
        <v>116</v>
      </c>
      <c r="B3" s="78">
        <v>2020</v>
      </c>
      <c r="G3" s="3">
        <v>0</v>
      </c>
      <c r="H3" s="114">
        <v>0</v>
      </c>
      <c r="I3" s="114">
        <v>0</v>
      </c>
    </row>
    <row r="4" spans="1:12" ht="15.6">
      <c r="A4" s="93" t="s">
        <v>1</v>
      </c>
      <c r="B4" s="94"/>
      <c r="D4" s="98"/>
      <c r="G4" s="3">
        <v>1</v>
      </c>
      <c r="H4" s="114">
        <v>0</v>
      </c>
      <c r="I4" s="114">
        <v>0</v>
      </c>
      <c r="K4" s="105"/>
      <c r="L4" s="101"/>
    </row>
    <row r="5" spans="1:12" ht="15.6">
      <c r="A5" s="17" t="s">
        <v>201</v>
      </c>
      <c r="B5" s="92">
        <v>81.517346961482488</v>
      </c>
      <c r="G5" s="3">
        <v>2</v>
      </c>
      <c r="H5" s="114">
        <v>0</v>
      </c>
      <c r="I5" s="114">
        <v>0</v>
      </c>
      <c r="L5" s="101"/>
    </row>
    <row r="6" spans="1:12" ht="15.6">
      <c r="A6" s="102" t="s">
        <v>199</v>
      </c>
      <c r="B6" s="92">
        <v>19.026656949432603</v>
      </c>
      <c r="C6" s="8"/>
      <c r="G6" s="3">
        <v>3</v>
      </c>
      <c r="H6" s="114">
        <v>0</v>
      </c>
      <c r="I6" s="114">
        <v>0</v>
      </c>
      <c r="L6" s="101"/>
    </row>
    <row r="7" spans="1:12" ht="15.6">
      <c r="A7" s="102" t="s">
        <v>200</v>
      </c>
      <c r="B7" s="92">
        <v>1.0079882910971056E-2</v>
      </c>
      <c r="C7" s="8"/>
      <c r="G7" s="3">
        <v>4</v>
      </c>
      <c r="H7" s="114">
        <v>0</v>
      </c>
      <c r="I7" s="114">
        <v>0</v>
      </c>
      <c r="L7" s="101"/>
    </row>
    <row r="8" spans="1:12" ht="15.6">
      <c r="A8" s="17" t="s">
        <v>227</v>
      </c>
      <c r="B8" s="92">
        <v>117.03215738200966</v>
      </c>
      <c r="G8" s="3">
        <v>5</v>
      </c>
      <c r="H8" s="114">
        <v>0</v>
      </c>
      <c r="I8" s="114">
        <v>390.08600000000007</v>
      </c>
    </row>
    <row r="9" spans="1:12" ht="15.6">
      <c r="A9" s="17" t="s">
        <v>118</v>
      </c>
      <c r="B9" s="97">
        <v>0.55431829896403007</v>
      </c>
      <c r="G9" s="3">
        <v>6</v>
      </c>
      <c r="H9" s="114">
        <v>0</v>
      </c>
      <c r="I9" s="114">
        <v>9338.3669999999984</v>
      </c>
    </row>
    <row r="10" spans="1:12" ht="15.6">
      <c r="A10" s="95" t="s">
        <v>2</v>
      </c>
      <c r="B10" s="96"/>
      <c r="G10" s="3">
        <v>7</v>
      </c>
      <c r="H10" s="114">
        <v>9176.5319999999992</v>
      </c>
      <c r="I10" s="114">
        <v>25369.758000000005</v>
      </c>
    </row>
    <row r="11" spans="1:12" ht="15.6">
      <c r="A11" s="17" t="s">
        <v>201</v>
      </c>
      <c r="B11" s="92">
        <v>250.53825362122436</v>
      </c>
      <c r="G11" s="3">
        <v>8</v>
      </c>
      <c r="H11" s="114">
        <v>33109.969999999994</v>
      </c>
      <c r="I11" s="114">
        <v>43516.042999999991</v>
      </c>
    </row>
    <row r="12" spans="1:12" ht="15.6">
      <c r="A12" s="107" t="s">
        <v>199</v>
      </c>
      <c r="B12" s="5">
        <v>58.477190218339324</v>
      </c>
      <c r="G12" s="3">
        <v>9</v>
      </c>
      <c r="H12" s="114">
        <v>49306.516999999993</v>
      </c>
      <c r="I12" s="114">
        <v>58495.970999999998</v>
      </c>
    </row>
    <row r="13" spans="1:12" ht="15.6">
      <c r="A13" s="107" t="s">
        <v>200</v>
      </c>
      <c r="B13" s="5">
        <v>3.0979863248179296E-2</v>
      </c>
      <c r="G13" s="3">
        <v>10</v>
      </c>
      <c r="H13" s="114">
        <v>60895.471000000005</v>
      </c>
      <c r="I13" s="114">
        <v>63259.679999999993</v>
      </c>
    </row>
    <row r="14" spans="1:12" ht="15.6">
      <c r="A14" s="17" t="s">
        <v>226</v>
      </c>
      <c r="B14" s="92">
        <v>359.69070904463268</v>
      </c>
      <c r="G14">
        <v>11</v>
      </c>
      <c r="H14" s="114">
        <v>65793.071999999986</v>
      </c>
      <c r="I14" s="114">
        <v>64488.383000000009</v>
      </c>
    </row>
    <row r="15" spans="1:12" ht="15.6">
      <c r="A15" s="17" t="s">
        <v>117</v>
      </c>
      <c r="B15" s="18">
        <v>2.1358528170268043</v>
      </c>
      <c r="G15" s="3">
        <v>12</v>
      </c>
      <c r="H15" s="114">
        <v>61894.154999999999</v>
      </c>
      <c r="I15" s="114">
        <v>69427.379000000015</v>
      </c>
    </row>
    <row r="16" spans="1:12" ht="15.6">
      <c r="A16" s="95" t="s">
        <v>21</v>
      </c>
      <c r="B16" s="96"/>
      <c r="G16" s="3">
        <v>13</v>
      </c>
      <c r="H16" s="114">
        <v>56785.784</v>
      </c>
      <c r="I16" s="114">
        <v>64291.603999999985</v>
      </c>
    </row>
    <row r="17" spans="1:9" ht="15.6">
      <c r="A17" s="20" t="s">
        <v>228</v>
      </c>
      <c r="B17" s="5">
        <v>476.72286642664233</v>
      </c>
      <c r="G17" s="3">
        <v>14</v>
      </c>
      <c r="H17" s="114">
        <v>49047.561999999998</v>
      </c>
      <c r="I17" s="114">
        <v>51025.578000000001</v>
      </c>
    </row>
    <row r="18" spans="1:9" ht="15.6">
      <c r="A18" s="19" t="s">
        <v>119</v>
      </c>
      <c r="B18" s="16">
        <v>1.256073509433898</v>
      </c>
      <c r="G18" s="3">
        <v>15</v>
      </c>
      <c r="H18" s="114">
        <v>33946.387999999999</v>
      </c>
      <c r="I18" s="114">
        <v>38942.450999999994</v>
      </c>
    </row>
    <row r="19" spans="1:9" ht="15.6">
      <c r="B19" s="21"/>
      <c r="C19" s="21"/>
      <c r="E19" s="22"/>
      <c r="G19" s="3">
        <v>16</v>
      </c>
      <c r="H19" s="114">
        <v>13439.724</v>
      </c>
      <c r="I19" s="114">
        <v>21464.464999999997</v>
      </c>
    </row>
    <row r="20" spans="1:9" ht="15.6">
      <c r="G20" s="3">
        <v>17</v>
      </c>
      <c r="H20" s="114">
        <v>0</v>
      </c>
      <c r="I20" s="114">
        <v>6270.0450000000001</v>
      </c>
    </row>
    <row r="21" spans="1:9" ht="15.6">
      <c r="G21" s="3">
        <v>18</v>
      </c>
      <c r="H21" s="114">
        <v>0</v>
      </c>
      <c r="I21" s="114">
        <v>12.02</v>
      </c>
    </row>
    <row r="22" spans="1:9" ht="15.6">
      <c r="B22" s="70"/>
      <c r="C22" s="70"/>
      <c r="D22" s="70"/>
      <c r="E22" s="70"/>
      <c r="G22" s="3">
        <v>19</v>
      </c>
      <c r="H22" s="114">
        <v>0</v>
      </c>
      <c r="I22" s="114">
        <v>0</v>
      </c>
    </row>
    <row r="23" spans="1:9" ht="15.6">
      <c r="G23" s="3">
        <v>20</v>
      </c>
      <c r="H23" s="114">
        <v>0</v>
      </c>
      <c r="I23" s="114">
        <v>0</v>
      </c>
    </row>
    <row r="24" spans="1:9" ht="15.6">
      <c r="G24" s="3">
        <v>21</v>
      </c>
      <c r="H24" s="114">
        <v>0</v>
      </c>
      <c r="I24" s="114">
        <v>0</v>
      </c>
    </row>
    <row r="25" spans="1:9" ht="15.6">
      <c r="G25" s="3">
        <v>22</v>
      </c>
      <c r="H25" s="114">
        <v>0</v>
      </c>
      <c r="I25" s="114">
        <v>0</v>
      </c>
    </row>
    <row r="26" spans="1:9" ht="15.6">
      <c r="G26" s="3">
        <v>23</v>
      </c>
      <c r="H26" s="114">
        <v>0</v>
      </c>
      <c r="I26" s="114">
        <v>0</v>
      </c>
    </row>
    <row r="31" spans="1:9">
      <c r="G31" s="24"/>
      <c r="H31" s="24"/>
    </row>
    <row r="41" spans="6:15">
      <c r="F41" s="70"/>
      <c r="G41" s="70"/>
      <c r="H41" s="70"/>
      <c r="I41" s="70"/>
      <c r="J41" s="70"/>
      <c r="K41" s="70"/>
      <c r="L41" s="70"/>
      <c r="M41" s="70"/>
      <c r="N41" s="70"/>
      <c r="O41" s="21"/>
    </row>
  </sheetData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79998168889431442"/>
  </sheetPr>
  <dimension ref="A1:O37"/>
  <sheetViews>
    <sheetView topLeftCell="A23" workbookViewId="0">
      <selection activeCell="A37" sqref="A37:XFD50"/>
    </sheetView>
  </sheetViews>
  <sheetFormatPr defaultColWidth="11.19921875" defaultRowHeight="14.4"/>
  <cols>
    <col min="1" max="1" width="44.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4" style="3" customWidth="1"/>
    <col min="7" max="7" width="15.19921875" style="3" bestFit="1" customWidth="1"/>
    <col min="8" max="8" width="18" style="3" bestFit="1" customWidth="1"/>
    <col min="9" max="9" width="17" style="3" customWidth="1"/>
    <col min="10" max="10" width="13.69921875" style="3" bestFit="1" customWidth="1"/>
    <col min="11" max="11" width="15.09765625" style="3" bestFit="1" customWidth="1"/>
    <col min="12" max="12" width="13.69921875" style="3" customWidth="1"/>
    <col min="13" max="13" width="18.5" style="3" customWidth="1"/>
    <col min="14" max="14" width="13.8984375" style="3" customWidth="1"/>
    <col min="15" max="15" width="14.69921875" style="3" bestFit="1" customWidth="1"/>
    <col min="16" max="16384" width="11.19921875" style="3"/>
  </cols>
  <sheetData>
    <row r="1" spans="1:12">
      <c r="A1" s="15" t="s">
        <v>0</v>
      </c>
      <c r="B1" s="78" t="s">
        <v>108</v>
      </c>
      <c r="G1" s="110" t="s">
        <v>222</v>
      </c>
      <c r="H1" s="110"/>
      <c r="I1" s="110"/>
    </row>
    <row r="2" spans="1:12">
      <c r="A2" s="2"/>
      <c r="B2" s="16"/>
      <c r="C2" s="2"/>
      <c r="D2" s="2"/>
      <c r="E2" s="2"/>
      <c r="F2" s="2"/>
      <c r="G2" s="110" t="s">
        <v>223</v>
      </c>
      <c r="H2" s="110" t="s">
        <v>224</v>
      </c>
      <c r="I2" s="110" t="s">
        <v>225</v>
      </c>
    </row>
    <row r="3" spans="1:12">
      <c r="A3" s="78" t="s">
        <v>116</v>
      </c>
      <c r="B3" s="78">
        <v>2020</v>
      </c>
      <c r="G3" s="3">
        <v>0</v>
      </c>
      <c r="H3" s="8">
        <v>0</v>
      </c>
      <c r="I3" s="8">
        <v>0</v>
      </c>
    </row>
    <row r="4" spans="1:12" ht="15.6">
      <c r="A4" s="93" t="s">
        <v>1</v>
      </c>
      <c r="B4" s="94"/>
      <c r="G4" s="3">
        <v>1</v>
      </c>
      <c r="H4" s="8">
        <v>0</v>
      </c>
      <c r="I4" s="8">
        <v>0</v>
      </c>
      <c r="K4" s="105"/>
      <c r="L4" s="101"/>
    </row>
    <row r="5" spans="1:12">
      <c r="A5" s="17" t="s">
        <v>201</v>
      </c>
      <c r="B5" s="92">
        <v>1393.7991042389151</v>
      </c>
      <c r="G5" s="3">
        <v>2</v>
      </c>
      <c r="H5" s="8">
        <v>0</v>
      </c>
      <c r="I5" s="8">
        <v>0</v>
      </c>
      <c r="L5" s="101"/>
    </row>
    <row r="6" spans="1:12">
      <c r="A6" s="102" t="s">
        <v>199</v>
      </c>
      <c r="B6" s="92">
        <v>325.32139969313357</v>
      </c>
      <c r="C6" s="8"/>
      <c r="G6" s="3">
        <v>3</v>
      </c>
      <c r="H6" s="8">
        <v>0</v>
      </c>
      <c r="I6" s="8">
        <v>0</v>
      </c>
      <c r="L6" s="101"/>
    </row>
    <row r="7" spans="1:12">
      <c r="A7" s="102" t="s">
        <v>200</v>
      </c>
      <c r="B7" s="92">
        <v>0.17234775536528454</v>
      </c>
      <c r="C7" s="8"/>
      <c r="G7" s="3">
        <v>4</v>
      </c>
      <c r="H7" s="8">
        <v>0</v>
      </c>
      <c r="I7" s="8">
        <v>0</v>
      </c>
      <c r="L7" s="101"/>
    </row>
    <row r="8" spans="1:12">
      <c r="A8" s="17" t="s">
        <v>227</v>
      </c>
      <c r="B8" s="92">
        <v>2001.0380882889599</v>
      </c>
      <c r="C8" s="8"/>
      <c r="G8" s="3">
        <v>5</v>
      </c>
      <c r="H8" s="8">
        <v>0</v>
      </c>
      <c r="I8" s="8">
        <v>0</v>
      </c>
    </row>
    <row r="9" spans="1:12">
      <c r="A9" s="17" t="s">
        <v>118</v>
      </c>
      <c r="B9" s="97">
        <v>0.53322267738039586</v>
      </c>
      <c r="G9" s="3">
        <v>6</v>
      </c>
      <c r="H9" s="8">
        <v>0</v>
      </c>
      <c r="I9" s="8">
        <v>2798.3760000000002</v>
      </c>
    </row>
    <row r="10" spans="1:12">
      <c r="A10" s="95" t="s">
        <v>2</v>
      </c>
      <c r="B10" s="96"/>
      <c r="G10" s="3">
        <v>7</v>
      </c>
      <c r="H10" s="8">
        <v>15.333</v>
      </c>
      <c r="I10" s="8">
        <v>16598.977999999999</v>
      </c>
    </row>
    <row r="11" spans="1:12">
      <c r="A11" s="17" t="s">
        <v>201</v>
      </c>
      <c r="B11" s="92">
        <v>671.39946360399802</v>
      </c>
      <c r="G11" s="3">
        <v>8</v>
      </c>
      <c r="H11" s="8">
        <v>23219.640999999996</v>
      </c>
      <c r="I11" s="8">
        <v>37254.889999999992</v>
      </c>
    </row>
    <row r="12" spans="1:12">
      <c r="A12" s="107" t="s">
        <v>199</v>
      </c>
      <c r="B12" s="92">
        <v>156.70882022279704</v>
      </c>
      <c r="G12" s="3">
        <v>9</v>
      </c>
      <c r="H12" s="8">
        <v>43264.590999999993</v>
      </c>
      <c r="I12" s="8">
        <v>52901.348999999987</v>
      </c>
    </row>
    <row r="13" spans="1:12">
      <c r="A13" s="107" t="s">
        <v>200</v>
      </c>
      <c r="B13" s="5">
        <v>8.302070947935565E-2</v>
      </c>
      <c r="G13" s="3">
        <v>10</v>
      </c>
      <c r="H13" s="8">
        <v>53617.267</v>
      </c>
      <c r="I13" s="8">
        <v>61751.858999999989</v>
      </c>
    </row>
    <row r="14" spans="1:12" ht="15.6">
      <c r="A14" s="17" t="s">
        <v>226</v>
      </c>
      <c r="B14" s="92">
        <v>963.90928580915829</v>
      </c>
      <c r="G14">
        <v>11</v>
      </c>
      <c r="H14" s="109">
        <v>60844.538999999997</v>
      </c>
      <c r="I14" s="8">
        <v>65778.010999999999</v>
      </c>
    </row>
    <row r="15" spans="1:12">
      <c r="A15" s="17" t="s">
        <v>117</v>
      </c>
      <c r="B15" s="18">
        <v>0.30702692829722383</v>
      </c>
      <c r="G15" s="3">
        <v>12</v>
      </c>
      <c r="H15" s="109">
        <v>65529.266000000011</v>
      </c>
      <c r="I15" s="8">
        <v>61739.352000000014</v>
      </c>
    </row>
    <row r="16" spans="1:12">
      <c r="A16" s="95" t="s">
        <v>21</v>
      </c>
      <c r="B16" s="96"/>
      <c r="G16" s="3">
        <v>13</v>
      </c>
      <c r="H16" s="109">
        <v>62544.887999999992</v>
      </c>
      <c r="I16" s="8">
        <v>57559.322000000007</v>
      </c>
    </row>
    <row r="17" spans="1:9">
      <c r="A17" s="20" t="s">
        <v>228</v>
      </c>
      <c r="B17" s="5">
        <v>2964.9473740981184</v>
      </c>
      <c r="G17" s="3">
        <v>14</v>
      </c>
      <c r="H17" s="8">
        <v>60396.074000000008</v>
      </c>
      <c r="I17" s="8">
        <v>54141.723999999995</v>
      </c>
    </row>
    <row r="18" spans="1:9">
      <c r="A18" s="19" t="s">
        <v>119</v>
      </c>
      <c r="B18" s="16">
        <v>0.43018761296201857</v>
      </c>
      <c r="G18" s="3">
        <v>15</v>
      </c>
      <c r="H18" s="8">
        <v>45020.623999999989</v>
      </c>
      <c r="I18" s="8">
        <v>41969.575000000004</v>
      </c>
    </row>
    <row r="19" spans="1:9">
      <c r="B19" s="21"/>
      <c r="C19" s="21"/>
      <c r="E19" s="22"/>
      <c r="G19" s="3">
        <v>16</v>
      </c>
      <c r="H19" s="8">
        <v>28656.582000000006</v>
      </c>
      <c r="I19" s="8">
        <v>28942.373</v>
      </c>
    </row>
    <row r="20" spans="1:9">
      <c r="G20" s="3">
        <v>17</v>
      </c>
      <c r="H20" s="8">
        <v>5897.1219999999994</v>
      </c>
      <c r="I20" s="8">
        <v>13199.883</v>
      </c>
    </row>
    <row r="21" spans="1:9">
      <c r="G21" s="3">
        <v>18</v>
      </c>
      <c r="H21" s="8">
        <v>0</v>
      </c>
      <c r="I21" s="8">
        <v>2442.1669999999999</v>
      </c>
    </row>
    <row r="22" spans="1:9">
      <c r="G22" s="3">
        <v>19</v>
      </c>
      <c r="H22" s="8">
        <v>0</v>
      </c>
      <c r="I22" s="8">
        <v>0</v>
      </c>
    </row>
    <row r="23" spans="1:9">
      <c r="G23" s="3">
        <v>20</v>
      </c>
      <c r="H23" s="8">
        <v>0</v>
      </c>
      <c r="I23" s="8">
        <v>0</v>
      </c>
    </row>
    <row r="24" spans="1:9">
      <c r="G24" s="3">
        <v>21</v>
      </c>
      <c r="H24" s="8">
        <v>0</v>
      </c>
      <c r="I24" s="8">
        <v>0</v>
      </c>
    </row>
    <row r="25" spans="1:9">
      <c r="G25" s="3">
        <v>22</v>
      </c>
      <c r="H25" s="8">
        <v>0</v>
      </c>
      <c r="I25" s="8">
        <v>0</v>
      </c>
    </row>
    <row r="26" spans="1:9">
      <c r="G26" s="3">
        <v>23</v>
      </c>
      <c r="H26" s="8">
        <v>0</v>
      </c>
      <c r="I26" s="8">
        <v>0</v>
      </c>
    </row>
    <row r="31" spans="1:9">
      <c r="G31" s="24"/>
      <c r="H31" s="24"/>
    </row>
    <row r="37" spans="15:15">
      <c r="O37" s="3" t="e">
        <f>#REF!/#REF!</f>
        <v>#REF!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79998168889431442"/>
  </sheetPr>
  <dimension ref="A1:L31"/>
  <sheetViews>
    <sheetView topLeftCell="A24" workbookViewId="0">
      <selection activeCell="A45" sqref="A45"/>
    </sheetView>
  </sheetViews>
  <sheetFormatPr defaultColWidth="11.19921875" defaultRowHeight="14.4"/>
  <cols>
    <col min="1" max="1" width="44.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4" style="3" customWidth="1"/>
    <col min="7" max="7" width="15.19921875" style="3" bestFit="1" customWidth="1"/>
    <col min="8" max="8" width="18" style="3" bestFit="1" customWidth="1"/>
    <col min="9" max="9" width="17" style="3" customWidth="1"/>
    <col min="10" max="10" width="13.69921875" style="3" bestFit="1" customWidth="1"/>
    <col min="11" max="11" width="15.09765625" style="3" bestFit="1" customWidth="1"/>
    <col min="12" max="12" width="13.8984375" style="3" customWidth="1"/>
    <col min="13" max="13" width="18.5" style="3" customWidth="1"/>
    <col min="14" max="14" width="13.8984375" style="3" customWidth="1"/>
    <col min="15" max="15" width="14.69921875" style="3" bestFit="1" customWidth="1"/>
    <col min="16" max="16384" width="11.19921875" style="3"/>
  </cols>
  <sheetData>
    <row r="1" spans="1:12">
      <c r="A1" s="15" t="s">
        <v>229</v>
      </c>
      <c r="B1" s="78" t="s">
        <v>110</v>
      </c>
      <c r="G1" s="110" t="s">
        <v>222</v>
      </c>
      <c r="H1" s="110"/>
      <c r="I1" s="110"/>
    </row>
    <row r="2" spans="1:12">
      <c r="A2" s="2"/>
      <c r="B2" s="16"/>
      <c r="C2" s="2"/>
      <c r="D2" s="2"/>
      <c r="E2" s="2"/>
      <c r="F2" s="2"/>
      <c r="G2" s="110" t="s">
        <v>223</v>
      </c>
      <c r="H2" s="110" t="s">
        <v>224</v>
      </c>
      <c r="I2" s="110" t="s">
        <v>225</v>
      </c>
    </row>
    <row r="3" spans="1:12">
      <c r="A3" s="78" t="s">
        <v>116</v>
      </c>
      <c r="B3" s="78">
        <v>2020</v>
      </c>
      <c r="G3" s="3">
        <v>0</v>
      </c>
      <c r="H3" s="8">
        <v>0</v>
      </c>
      <c r="I3" s="8">
        <v>0</v>
      </c>
    </row>
    <row r="4" spans="1:12" ht="15.6">
      <c r="A4" s="93" t="s">
        <v>1</v>
      </c>
      <c r="B4" s="94"/>
      <c r="G4" s="3">
        <v>1</v>
      </c>
      <c r="H4" s="8">
        <v>0</v>
      </c>
      <c r="I4" s="8">
        <v>0</v>
      </c>
      <c r="K4" s="105"/>
      <c r="L4" s="101"/>
    </row>
    <row r="5" spans="1:12">
      <c r="A5" s="17" t="s">
        <v>201</v>
      </c>
      <c r="B5" s="92">
        <v>522.35574804162297</v>
      </c>
      <c r="G5" s="3">
        <v>2</v>
      </c>
      <c r="H5" s="8">
        <v>0</v>
      </c>
      <c r="I5" s="8">
        <v>0</v>
      </c>
      <c r="L5" s="101"/>
    </row>
    <row r="6" spans="1:12">
      <c r="A6" s="102" t="s">
        <v>199</v>
      </c>
      <c r="B6" s="115">
        <v>102.32085532132582</v>
      </c>
      <c r="C6" s="8"/>
      <c r="G6" s="3">
        <v>3</v>
      </c>
      <c r="H6" s="8">
        <v>0</v>
      </c>
      <c r="I6" s="8">
        <v>0</v>
      </c>
      <c r="L6" s="101"/>
    </row>
    <row r="7" spans="1:12">
      <c r="A7" s="102" t="s">
        <v>200</v>
      </c>
      <c r="B7" s="115">
        <v>15.302255774664202</v>
      </c>
      <c r="C7" s="8"/>
      <c r="G7" s="3">
        <v>4</v>
      </c>
      <c r="H7" s="8">
        <v>0</v>
      </c>
      <c r="I7" s="8">
        <v>0</v>
      </c>
      <c r="L7" s="101"/>
    </row>
    <row r="8" spans="1:12">
      <c r="A8" s="17" t="s">
        <v>227</v>
      </c>
      <c r="B8" s="92">
        <v>791.2915565994839</v>
      </c>
      <c r="G8" s="3">
        <v>5</v>
      </c>
      <c r="H8" s="8">
        <v>0</v>
      </c>
      <c r="I8" s="8">
        <v>0</v>
      </c>
    </row>
    <row r="9" spans="1:12">
      <c r="A9" s="17" t="s">
        <v>118</v>
      </c>
      <c r="B9" s="97">
        <v>0.42907446968538054</v>
      </c>
      <c r="G9" s="3">
        <v>6</v>
      </c>
      <c r="H9" s="8">
        <v>0</v>
      </c>
      <c r="I9" s="8">
        <v>2728.3209999999999</v>
      </c>
    </row>
    <row r="10" spans="1:12">
      <c r="A10" s="95" t="s">
        <v>2</v>
      </c>
      <c r="B10" s="96"/>
      <c r="G10" s="3">
        <v>7</v>
      </c>
      <c r="H10" s="8">
        <v>3632.5429999999997</v>
      </c>
      <c r="I10" s="8">
        <v>17715.89</v>
      </c>
    </row>
    <row r="11" spans="1:12">
      <c r="A11" s="17" t="s">
        <v>201</v>
      </c>
      <c r="B11" s="92">
        <v>1357.8860521610604</v>
      </c>
      <c r="G11" s="3">
        <v>8</v>
      </c>
      <c r="H11" s="8">
        <v>26422.35</v>
      </c>
      <c r="I11" s="8">
        <v>38497.021000000008</v>
      </c>
    </row>
    <row r="12" spans="1:12">
      <c r="A12" s="107" t="s">
        <v>199</v>
      </c>
      <c r="B12" s="115">
        <v>265.98742869571515</v>
      </c>
      <c r="G12" s="3">
        <v>9</v>
      </c>
      <c r="H12" s="8">
        <v>47833.297999999988</v>
      </c>
      <c r="I12" s="8">
        <v>56513.555999999982</v>
      </c>
    </row>
    <row r="13" spans="1:12">
      <c r="A13" s="107" t="s">
        <v>200</v>
      </c>
      <c r="B13" s="115">
        <v>39.778866722381409</v>
      </c>
      <c r="G13" s="3">
        <v>10</v>
      </c>
      <c r="H13" s="8">
        <v>65933.256999999998</v>
      </c>
      <c r="I13" s="8">
        <v>65562.785999999993</v>
      </c>
    </row>
    <row r="14" spans="1:12" ht="15.6">
      <c r="A14" s="17" t="s">
        <v>226</v>
      </c>
      <c r="B14" s="92">
        <v>2056.9961600453862</v>
      </c>
      <c r="G14">
        <v>11</v>
      </c>
      <c r="H14" s="109">
        <v>67713.985000000001</v>
      </c>
      <c r="I14" s="8">
        <v>67220.431999999986</v>
      </c>
    </row>
    <row r="15" spans="1:12">
      <c r="A15" s="17" t="s">
        <v>117</v>
      </c>
      <c r="B15" s="97">
        <v>0.64851621610271171</v>
      </c>
      <c r="G15" s="3">
        <v>12</v>
      </c>
      <c r="H15" s="109">
        <v>71587.249000000011</v>
      </c>
      <c r="I15" s="8">
        <v>69321.463000000003</v>
      </c>
    </row>
    <row r="16" spans="1:12">
      <c r="A16" s="95" t="s">
        <v>21</v>
      </c>
      <c r="B16" s="96"/>
      <c r="G16" s="3">
        <v>13</v>
      </c>
      <c r="H16" s="109">
        <v>66727.165000000023</v>
      </c>
      <c r="I16" s="8">
        <v>57278.402000000002</v>
      </c>
    </row>
    <row r="17" spans="1:9">
      <c r="A17" s="20" t="s">
        <v>228</v>
      </c>
      <c r="B17" s="5">
        <v>2848.2877166448702</v>
      </c>
      <c r="G17" s="3">
        <v>14</v>
      </c>
      <c r="H17" s="8">
        <v>59058.269000000015</v>
      </c>
      <c r="I17" s="8">
        <v>48606.05</v>
      </c>
    </row>
    <row r="18" spans="1:9">
      <c r="A18" s="19" t="s">
        <v>119</v>
      </c>
      <c r="B18" s="16">
        <v>0.56783679359901262</v>
      </c>
      <c r="G18" s="3">
        <v>15</v>
      </c>
      <c r="H18" s="8">
        <v>44390.894999999997</v>
      </c>
      <c r="I18" s="8">
        <v>37712.954000000005</v>
      </c>
    </row>
    <row r="19" spans="1:9">
      <c r="B19" s="21"/>
      <c r="C19" s="21"/>
      <c r="E19" s="22"/>
      <c r="G19" s="3">
        <v>16</v>
      </c>
      <c r="H19" s="8">
        <v>28409.252999999993</v>
      </c>
      <c r="I19" s="8">
        <v>24289.55</v>
      </c>
    </row>
    <row r="20" spans="1:9">
      <c r="G20" s="3">
        <v>17</v>
      </c>
      <c r="H20" s="8">
        <v>6461.5250000000015</v>
      </c>
      <c r="I20" s="8">
        <v>11151.625000000002</v>
      </c>
    </row>
    <row r="21" spans="1:9">
      <c r="G21" s="3">
        <v>18</v>
      </c>
      <c r="H21" s="8">
        <v>0</v>
      </c>
      <c r="I21" s="8">
        <v>1891.8400000000001</v>
      </c>
    </row>
    <row r="22" spans="1:9">
      <c r="G22" s="3">
        <v>19</v>
      </c>
      <c r="H22" s="8">
        <v>0</v>
      </c>
      <c r="I22" s="8">
        <v>0</v>
      </c>
    </row>
    <row r="23" spans="1:9">
      <c r="G23" s="3">
        <v>20</v>
      </c>
      <c r="H23" s="8">
        <v>0</v>
      </c>
      <c r="I23" s="8">
        <v>0</v>
      </c>
    </row>
    <row r="24" spans="1:9">
      <c r="G24" s="3">
        <v>21</v>
      </c>
      <c r="H24" s="8">
        <v>0</v>
      </c>
      <c r="I24" s="8">
        <v>0</v>
      </c>
    </row>
    <row r="25" spans="1:9">
      <c r="G25" s="3">
        <v>22</v>
      </c>
      <c r="H25" s="8">
        <v>0</v>
      </c>
      <c r="I25" s="8">
        <v>0</v>
      </c>
    </row>
    <row r="26" spans="1:9">
      <c r="G26" s="3">
        <v>23</v>
      </c>
      <c r="H26" s="8">
        <v>0</v>
      </c>
      <c r="I26" s="8">
        <v>0</v>
      </c>
    </row>
    <row r="31" spans="1:9">
      <c r="G31" s="24"/>
      <c r="H31" s="24"/>
    </row>
  </sheetData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79998168889431442"/>
  </sheetPr>
  <dimension ref="A1:O37"/>
  <sheetViews>
    <sheetView workbookViewId="0">
      <selection activeCell="B48" sqref="B48"/>
    </sheetView>
  </sheetViews>
  <sheetFormatPr defaultColWidth="11.19921875" defaultRowHeight="14.4"/>
  <cols>
    <col min="1" max="1" width="44.5" style="3" customWidth="1"/>
    <col min="2" max="2" width="18.59765625" style="3" customWidth="1"/>
    <col min="3" max="3" width="19.8984375" style="3" customWidth="1"/>
    <col min="4" max="4" width="15.3984375" style="3" customWidth="1"/>
    <col min="5" max="5" width="19.09765625" style="3" customWidth="1"/>
    <col min="6" max="6" width="14" style="3" customWidth="1"/>
    <col min="7" max="7" width="15.19921875" style="3" bestFit="1" customWidth="1"/>
    <col min="8" max="8" width="18" style="3" bestFit="1" customWidth="1"/>
    <col min="9" max="9" width="17" style="3" customWidth="1"/>
    <col min="10" max="10" width="15.5" style="3" customWidth="1"/>
    <col min="11" max="11" width="15.09765625" style="3" bestFit="1" customWidth="1"/>
    <col min="12" max="12" width="13.8984375" style="3" customWidth="1"/>
    <col min="13" max="13" width="18.5" style="3" customWidth="1"/>
    <col min="14" max="14" width="13.8984375" style="3" customWidth="1"/>
    <col min="15" max="15" width="17.09765625" style="3" customWidth="1"/>
    <col min="16" max="16384" width="11.19921875" style="3"/>
  </cols>
  <sheetData>
    <row r="1" spans="1:9">
      <c r="A1" s="15" t="s">
        <v>0</v>
      </c>
      <c r="B1" s="78" t="s">
        <v>111</v>
      </c>
      <c r="G1" s="110" t="s">
        <v>222</v>
      </c>
      <c r="H1" s="110"/>
      <c r="I1" s="110"/>
    </row>
    <row r="2" spans="1:9">
      <c r="A2" s="2"/>
      <c r="B2" s="16"/>
      <c r="C2" s="2"/>
      <c r="D2" s="2"/>
      <c r="E2" s="2"/>
      <c r="F2" s="2"/>
      <c r="G2" s="110" t="s">
        <v>223</v>
      </c>
      <c r="H2" s="110" t="s">
        <v>224</v>
      </c>
      <c r="I2" s="110" t="s">
        <v>225</v>
      </c>
    </row>
    <row r="3" spans="1:9">
      <c r="A3" s="78" t="s">
        <v>116</v>
      </c>
      <c r="B3" s="78">
        <v>2020</v>
      </c>
      <c r="G3" s="3">
        <v>0</v>
      </c>
      <c r="H3" s="8">
        <v>0</v>
      </c>
      <c r="I3" s="8">
        <v>0</v>
      </c>
    </row>
    <row r="4" spans="1:9">
      <c r="A4" s="93" t="s">
        <v>1</v>
      </c>
      <c r="B4" s="94"/>
      <c r="G4" s="3">
        <v>1</v>
      </c>
      <c r="H4" s="8">
        <v>0</v>
      </c>
      <c r="I4" s="8">
        <v>0</v>
      </c>
    </row>
    <row r="5" spans="1:9">
      <c r="A5" s="17" t="s">
        <v>201</v>
      </c>
      <c r="B5" s="92">
        <v>2228.1839476197742</v>
      </c>
      <c r="G5" s="3">
        <v>2</v>
      </c>
      <c r="H5" s="8">
        <v>0</v>
      </c>
      <c r="I5" s="8">
        <v>0</v>
      </c>
    </row>
    <row r="6" spans="1:9">
      <c r="A6" s="102" t="s">
        <v>199</v>
      </c>
      <c r="B6" s="92">
        <v>508.90246090231602</v>
      </c>
      <c r="C6" s="8"/>
      <c r="G6" s="3">
        <v>3</v>
      </c>
      <c r="H6" s="8">
        <v>0</v>
      </c>
      <c r="I6" s="8">
        <v>0</v>
      </c>
    </row>
    <row r="7" spans="1:9">
      <c r="A7" s="102" t="s">
        <v>200</v>
      </c>
      <c r="B7" s="92">
        <v>18.967721330944855</v>
      </c>
      <c r="C7" s="8"/>
      <c r="G7" s="3">
        <v>4</v>
      </c>
      <c r="H7" s="8">
        <v>0</v>
      </c>
      <c r="I7" s="8">
        <v>0</v>
      </c>
    </row>
    <row r="8" spans="1:9">
      <c r="A8" s="17" t="s">
        <v>227</v>
      </c>
      <c r="B8" s="92">
        <v>3461.1767311454901</v>
      </c>
      <c r="G8" s="3">
        <v>5</v>
      </c>
      <c r="H8" s="8">
        <v>0</v>
      </c>
      <c r="I8" s="8">
        <v>0</v>
      </c>
    </row>
    <row r="9" spans="1:9">
      <c r="A9" s="17" t="s">
        <v>118</v>
      </c>
      <c r="B9" s="97">
        <v>0.52731181992553655</v>
      </c>
      <c r="G9" s="3">
        <v>6</v>
      </c>
      <c r="H9" s="8">
        <v>0</v>
      </c>
      <c r="I9" s="8">
        <v>2035.9970000000001</v>
      </c>
    </row>
    <row r="10" spans="1:9">
      <c r="A10" s="95" t="s">
        <v>2</v>
      </c>
      <c r="B10" s="96"/>
      <c r="G10" s="3">
        <v>7</v>
      </c>
      <c r="H10" s="8">
        <v>1055.567</v>
      </c>
      <c r="I10" s="8">
        <v>14651.598</v>
      </c>
    </row>
    <row r="11" spans="1:9">
      <c r="A11" s="17" t="s">
        <v>201</v>
      </c>
      <c r="B11" s="92">
        <v>3655.9769134099174</v>
      </c>
      <c r="G11" s="3">
        <v>8</v>
      </c>
      <c r="H11" s="8">
        <v>23127.85</v>
      </c>
      <c r="I11" s="8">
        <v>34223.955000000002</v>
      </c>
    </row>
    <row r="12" spans="1:9">
      <c r="A12" s="107" t="s">
        <v>199</v>
      </c>
      <c r="B12" s="92">
        <v>835.00092091761599</v>
      </c>
      <c r="G12" s="3">
        <v>9</v>
      </c>
      <c r="H12" s="8">
        <v>43010.017</v>
      </c>
      <c r="I12" s="8">
        <v>49540.123999999996</v>
      </c>
    </row>
    <row r="13" spans="1:9">
      <c r="A13" s="107" t="s">
        <v>200</v>
      </c>
      <c r="B13" s="92">
        <v>31.122004698043273</v>
      </c>
      <c r="G13" s="3">
        <v>10</v>
      </c>
      <c r="H13" s="8">
        <v>60592.506000000016</v>
      </c>
      <c r="I13" s="8">
        <v>60303.343000000008</v>
      </c>
    </row>
    <row r="14" spans="1:9" ht="15.6">
      <c r="A14" s="17" t="s">
        <v>226</v>
      </c>
      <c r="B14" s="92">
        <v>5679.0563614897928</v>
      </c>
      <c r="G14">
        <v>11</v>
      </c>
      <c r="H14" s="109">
        <v>73113.369000000006</v>
      </c>
      <c r="I14" s="8">
        <v>65663.979000000021</v>
      </c>
    </row>
    <row r="15" spans="1:9">
      <c r="A15" s="17" t="s">
        <v>117</v>
      </c>
      <c r="B15" s="18">
        <v>1.1190755317406729</v>
      </c>
      <c r="G15" s="3">
        <v>12</v>
      </c>
      <c r="H15" s="109">
        <v>76740.512999999977</v>
      </c>
      <c r="I15" s="8">
        <v>67268.464999999997</v>
      </c>
    </row>
    <row r="16" spans="1:9">
      <c r="A16" s="95" t="s">
        <v>21</v>
      </c>
      <c r="B16" s="96"/>
      <c r="G16" s="3">
        <v>13</v>
      </c>
      <c r="H16" s="109">
        <v>71387.287000000026</v>
      </c>
      <c r="I16" s="8">
        <v>64365.58400000001</v>
      </c>
    </row>
    <row r="17" spans="1:9">
      <c r="A17" s="20" t="s">
        <v>228</v>
      </c>
      <c r="B17" s="5">
        <v>9140.2330926352824</v>
      </c>
      <c r="G17" s="3">
        <v>14</v>
      </c>
      <c r="H17" s="8">
        <v>62255.100999999988</v>
      </c>
      <c r="I17" s="8">
        <v>57461.952000000012</v>
      </c>
    </row>
    <row r="18" spans="1:9">
      <c r="A18" s="19" t="s">
        <v>119</v>
      </c>
      <c r="B18" s="16">
        <v>0.78533859856603716</v>
      </c>
      <c r="G18" s="3">
        <v>15</v>
      </c>
      <c r="H18" s="8">
        <v>48385.93499999999</v>
      </c>
      <c r="I18" s="8">
        <v>41890.240000000005</v>
      </c>
    </row>
    <row r="19" spans="1:9">
      <c r="B19" s="21"/>
      <c r="C19" s="21"/>
      <c r="E19" s="22"/>
      <c r="G19" s="3">
        <v>16</v>
      </c>
      <c r="H19" s="8">
        <v>27011.610000000004</v>
      </c>
      <c r="I19" s="8">
        <v>28320.778999999995</v>
      </c>
    </row>
    <row r="20" spans="1:9">
      <c r="G20" s="3">
        <v>17</v>
      </c>
      <c r="H20" s="8">
        <v>8591.7950000000019</v>
      </c>
      <c r="I20" s="8">
        <v>14696.853999999999</v>
      </c>
    </row>
    <row r="21" spans="1:9">
      <c r="G21" s="3">
        <v>18</v>
      </c>
      <c r="H21" s="8">
        <v>0</v>
      </c>
      <c r="I21" s="8">
        <v>2166.0239999999999</v>
      </c>
    </row>
    <row r="22" spans="1:9">
      <c r="G22" s="3">
        <v>19</v>
      </c>
      <c r="H22" s="8">
        <v>0</v>
      </c>
      <c r="I22" s="8">
        <v>0</v>
      </c>
    </row>
    <row r="23" spans="1:9">
      <c r="G23" s="3">
        <v>20</v>
      </c>
      <c r="H23" s="8">
        <v>0</v>
      </c>
      <c r="I23" s="8">
        <v>0</v>
      </c>
    </row>
    <row r="24" spans="1:9">
      <c r="G24" s="3">
        <v>21</v>
      </c>
      <c r="H24" s="8">
        <v>0</v>
      </c>
      <c r="I24" s="8">
        <v>0</v>
      </c>
    </row>
    <row r="25" spans="1:9">
      <c r="G25" s="3">
        <v>22</v>
      </c>
      <c r="H25" s="8">
        <v>0</v>
      </c>
      <c r="I25" s="8">
        <v>0</v>
      </c>
    </row>
    <row r="26" spans="1:9">
      <c r="G26" s="3">
        <v>23</v>
      </c>
      <c r="H26" s="8">
        <v>0</v>
      </c>
      <c r="I26" s="8">
        <v>0</v>
      </c>
    </row>
    <row r="31" spans="1:9">
      <c r="G31" s="24"/>
      <c r="H31" s="24"/>
    </row>
    <row r="37" spans="15:15">
      <c r="O37" s="3" t="e">
        <f>#REF!/#REF!</f>
        <v>#REF!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Forecast!$B$4:$H$4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D"/>
  </sheetPr>
  <dimension ref="A1:AQ554"/>
  <sheetViews>
    <sheetView workbookViewId="0">
      <selection activeCell="G18" sqref="G18"/>
    </sheetView>
  </sheetViews>
  <sheetFormatPr defaultRowHeight="15.6"/>
  <cols>
    <col min="7" max="7" width="11.3984375" bestFit="1" customWidth="1"/>
    <col min="10" max="10" width="9.3984375" bestFit="1" customWidth="1"/>
  </cols>
  <sheetData>
    <row r="1" spans="1:43">
      <c r="C1" s="152" t="s">
        <v>239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240</v>
      </c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66">
      <c r="A2" t="s">
        <v>4</v>
      </c>
      <c r="B2" t="s">
        <v>241</v>
      </c>
      <c r="C2" s="128" t="s">
        <v>242</v>
      </c>
      <c r="D2" s="129" t="s">
        <v>243</v>
      </c>
      <c r="E2" s="129" t="s">
        <v>244</v>
      </c>
      <c r="F2" s="129" t="s">
        <v>245</v>
      </c>
      <c r="G2" s="129" t="s">
        <v>246</v>
      </c>
      <c r="H2" s="129" t="s">
        <v>247</v>
      </c>
      <c r="I2" s="129" t="s">
        <v>248</v>
      </c>
      <c r="J2" s="130" t="s">
        <v>249</v>
      </c>
      <c r="K2" s="131" t="s">
        <v>250</v>
      </c>
      <c r="L2" s="129" t="s">
        <v>248</v>
      </c>
      <c r="M2" s="129" t="s">
        <v>248</v>
      </c>
      <c r="N2" s="132">
        <v>2020</v>
      </c>
      <c r="O2" s="132">
        <f>+N2+1</f>
        <v>2021</v>
      </c>
      <c r="P2" s="132">
        <f t="shared" ref="P2:AQ2" si="0">+O2+1</f>
        <v>2022</v>
      </c>
      <c r="Q2" s="132">
        <f t="shared" si="0"/>
        <v>2023</v>
      </c>
      <c r="R2" s="132">
        <f t="shared" si="0"/>
        <v>2024</v>
      </c>
      <c r="S2" s="132">
        <f t="shared" si="0"/>
        <v>2025</v>
      </c>
      <c r="T2" s="132">
        <f t="shared" si="0"/>
        <v>2026</v>
      </c>
      <c r="U2" s="132">
        <f t="shared" si="0"/>
        <v>2027</v>
      </c>
      <c r="V2" s="132">
        <f t="shared" si="0"/>
        <v>2028</v>
      </c>
      <c r="W2" s="132">
        <f t="shared" si="0"/>
        <v>2029</v>
      </c>
      <c r="X2" s="132">
        <f t="shared" si="0"/>
        <v>2030</v>
      </c>
      <c r="Y2" s="132">
        <f t="shared" si="0"/>
        <v>2031</v>
      </c>
      <c r="Z2" s="132">
        <f t="shared" si="0"/>
        <v>2032</v>
      </c>
      <c r="AA2" s="132">
        <f t="shared" si="0"/>
        <v>2033</v>
      </c>
      <c r="AB2" s="132">
        <f t="shared" si="0"/>
        <v>2034</v>
      </c>
      <c r="AC2" s="132">
        <f t="shared" si="0"/>
        <v>2035</v>
      </c>
      <c r="AD2" s="132">
        <f t="shared" si="0"/>
        <v>2036</v>
      </c>
      <c r="AE2" s="132">
        <f t="shared" si="0"/>
        <v>2037</v>
      </c>
      <c r="AF2" s="132">
        <f t="shared" si="0"/>
        <v>2038</v>
      </c>
      <c r="AG2" s="132">
        <f t="shared" si="0"/>
        <v>2039</v>
      </c>
      <c r="AH2" s="132">
        <f t="shared" si="0"/>
        <v>2040</v>
      </c>
      <c r="AI2" s="132">
        <f t="shared" si="0"/>
        <v>2041</v>
      </c>
      <c r="AJ2" s="132">
        <f t="shared" si="0"/>
        <v>2042</v>
      </c>
      <c r="AK2" s="132">
        <f t="shared" si="0"/>
        <v>2043</v>
      </c>
      <c r="AL2" s="132">
        <f t="shared" si="0"/>
        <v>2044</v>
      </c>
      <c r="AM2" s="132">
        <f t="shared" si="0"/>
        <v>2045</v>
      </c>
      <c r="AN2" s="132">
        <f t="shared" si="0"/>
        <v>2046</v>
      </c>
      <c r="AO2" s="132">
        <f t="shared" si="0"/>
        <v>2047</v>
      </c>
      <c r="AP2" s="132">
        <f t="shared" si="0"/>
        <v>2048</v>
      </c>
      <c r="AQ2" s="132">
        <f t="shared" si="0"/>
        <v>2049</v>
      </c>
    </row>
    <row r="3" spans="1:43">
      <c r="A3" t="s">
        <v>6</v>
      </c>
      <c r="B3" t="s">
        <v>251</v>
      </c>
      <c r="C3" t="s">
        <v>252</v>
      </c>
      <c r="D3" s="146">
        <f>DEF!$I$19/31/1000/(4000/17.1)</f>
        <v>3.6837216540725804E-3</v>
      </c>
      <c r="E3" s="147">
        <f>DEF!$H$10/31/1000/(4000/17.1)</f>
        <v>2.9092747137096783E-4</v>
      </c>
      <c r="G3" s="134">
        <v>25.960114259903243</v>
      </c>
      <c r="H3" s="135">
        <v>20</v>
      </c>
      <c r="J3" s="136">
        <f>15960/5700*17.1</f>
        <v>47.88</v>
      </c>
      <c r="K3" t="s">
        <v>253</v>
      </c>
    </row>
    <row r="4" spans="1:43">
      <c r="A4" t="s">
        <v>254</v>
      </c>
      <c r="B4" t="s">
        <v>251</v>
      </c>
      <c r="C4" t="s">
        <v>252</v>
      </c>
      <c r="D4" s="146">
        <f>DEF!$I$19/31/1000/(4000/17.1)</f>
        <v>3.6837216540725804E-3</v>
      </c>
      <c r="E4" s="147">
        <f>DEF!$H$10/31/1000/(4000/17.1)</f>
        <v>2.9092747137096783E-4</v>
      </c>
      <c r="G4" s="134">
        <v>25.960114259903243</v>
      </c>
      <c r="H4" s="135">
        <v>20</v>
      </c>
      <c r="J4" s="136">
        <f>15960/5700*17.1</f>
        <v>47.88</v>
      </c>
      <c r="K4" t="s">
        <v>253</v>
      </c>
    </row>
    <row r="5" spans="1:43">
      <c r="A5" t="s">
        <v>73</v>
      </c>
      <c r="B5" t="s">
        <v>251</v>
      </c>
      <c r="C5" t="s">
        <v>252</v>
      </c>
      <c r="D5" s="146">
        <f>DEF!$I$19/31/1000/(4000/17.1)</f>
        <v>3.6837216540725804E-3</v>
      </c>
      <c r="E5" s="147">
        <f>DEF!$H$10/31/1000/(4000/17.1)</f>
        <v>2.9092747137096783E-4</v>
      </c>
      <c r="G5" s="134">
        <v>25.960114259903239</v>
      </c>
      <c r="H5" s="135">
        <v>20</v>
      </c>
      <c r="J5" s="136">
        <f>185000/100000*17.1</f>
        <v>31.635000000000005</v>
      </c>
      <c r="K5" t="s">
        <v>253</v>
      </c>
    </row>
    <row r="6" spans="1:43">
      <c r="A6" t="s">
        <v>74</v>
      </c>
      <c r="B6" t="s">
        <v>251</v>
      </c>
      <c r="C6" t="s">
        <v>252</v>
      </c>
      <c r="D6" s="146">
        <f>DEF!$I$19/31/1000/(4000/17.1)</f>
        <v>3.6837216540725804E-3</v>
      </c>
      <c r="E6" s="147">
        <f>DEF!$H$10/31/1000/(4000/17.1)</f>
        <v>2.9092747137096783E-4</v>
      </c>
      <c r="G6" s="134">
        <v>25.960114259903239</v>
      </c>
      <c r="H6" s="135">
        <v>20</v>
      </c>
      <c r="J6" s="136">
        <f t="shared" ref="J6:J17" si="1">185000/100000*17.1</f>
        <v>31.635000000000005</v>
      </c>
      <c r="K6" t="s">
        <v>253</v>
      </c>
    </row>
    <row r="7" spans="1:43">
      <c r="A7" t="s">
        <v>75</v>
      </c>
      <c r="B7" t="s">
        <v>251</v>
      </c>
      <c r="C7" t="s">
        <v>252</v>
      </c>
      <c r="D7" s="146">
        <f>DEF!$I$19/31/1000/(4000/17.1)</f>
        <v>3.6837216540725804E-3</v>
      </c>
      <c r="E7" s="147">
        <f>DEF!$H$10/31/1000/(4000/17.1)</f>
        <v>2.9092747137096783E-4</v>
      </c>
      <c r="G7" s="134">
        <v>25.960114259903239</v>
      </c>
      <c r="H7" s="135">
        <v>20</v>
      </c>
      <c r="J7" s="136">
        <f t="shared" si="1"/>
        <v>31.635000000000005</v>
      </c>
      <c r="K7" t="s">
        <v>253</v>
      </c>
    </row>
    <row r="8" spans="1:43">
      <c r="A8" t="s">
        <v>76</v>
      </c>
      <c r="B8" t="s">
        <v>251</v>
      </c>
      <c r="C8" t="s">
        <v>252</v>
      </c>
      <c r="D8" s="146">
        <f>DEF!$I$19/31/1000/(4000/17.1)</f>
        <v>3.6837216540725804E-3</v>
      </c>
      <c r="E8" s="147">
        <f>DEF!$H$10/31/1000/(4000/17.1)</f>
        <v>2.9092747137096783E-4</v>
      </c>
      <c r="G8" s="134">
        <v>25.960114259903243</v>
      </c>
      <c r="H8" s="135">
        <v>20</v>
      </c>
      <c r="J8" s="136">
        <f t="shared" si="1"/>
        <v>31.635000000000005</v>
      </c>
      <c r="K8" t="s">
        <v>253</v>
      </c>
    </row>
    <row r="9" spans="1:43">
      <c r="A9" t="s">
        <v>77</v>
      </c>
      <c r="B9" t="s">
        <v>251</v>
      </c>
      <c r="C9" t="s">
        <v>252</v>
      </c>
      <c r="D9" s="146">
        <f>DEF!$I$19/31/1000/(4000/17.1)</f>
        <v>3.6837216540725804E-3</v>
      </c>
      <c r="E9" s="147">
        <f>DEF!$H$10/31/1000/(4000/17.1)</f>
        <v>2.9092747137096783E-4</v>
      </c>
      <c r="G9" s="134">
        <v>25.960114259903239</v>
      </c>
      <c r="H9" s="135">
        <v>20</v>
      </c>
      <c r="J9" s="136">
        <f t="shared" si="1"/>
        <v>31.635000000000005</v>
      </c>
      <c r="K9" t="s">
        <v>253</v>
      </c>
    </row>
    <row r="10" spans="1:43">
      <c r="A10" t="s">
        <v>78</v>
      </c>
      <c r="B10" t="s">
        <v>251</v>
      </c>
      <c r="C10" t="s">
        <v>252</v>
      </c>
      <c r="D10" s="146">
        <f>DEF!$I$19/31/1000/(4000/17.1)</f>
        <v>3.6837216540725804E-3</v>
      </c>
      <c r="E10" s="147">
        <f>DEF!$H$10/31/1000/(4000/17.1)</f>
        <v>2.9092747137096783E-4</v>
      </c>
      <c r="G10" s="134">
        <v>25.960114259903236</v>
      </c>
      <c r="H10" s="135">
        <v>20</v>
      </c>
      <c r="J10" s="136">
        <f t="shared" si="1"/>
        <v>31.635000000000005</v>
      </c>
      <c r="K10" t="s">
        <v>253</v>
      </c>
    </row>
    <row r="11" spans="1:43">
      <c r="A11" t="s">
        <v>79</v>
      </c>
      <c r="B11" t="s">
        <v>251</v>
      </c>
      <c r="C11" t="s">
        <v>252</v>
      </c>
      <c r="D11" s="146">
        <f>DEF!$I$19/31/1000/(4000/17.1)</f>
        <v>3.6837216540725804E-3</v>
      </c>
      <c r="E11" s="147">
        <f>DEF!$H$10/31/1000/(4000/17.1)</f>
        <v>2.9092747137096783E-4</v>
      </c>
      <c r="G11" s="134">
        <v>25.960114259903239</v>
      </c>
      <c r="H11" s="135">
        <v>20</v>
      </c>
      <c r="J11" s="136">
        <f t="shared" si="1"/>
        <v>31.635000000000005</v>
      </c>
      <c r="K11" t="s">
        <v>253</v>
      </c>
    </row>
    <row r="12" spans="1:43">
      <c r="A12" t="s">
        <v>80</v>
      </c>
      <c r="B12" t="s">
        <v>251</v>
      </c>
      <c r="C12" t="s">
        <v>252</v>
      </c>
      <c r="D12" s="146">
        <f>DEF!$I$19/31/1000/(4000/17.1)</f>
        <v>3.6837216540725804E-3</v>
      </c>
      <c r="E12" s="147">
        <f>DEF!$H$10/31/1000/(4000/17.1)</f>
        <v>2.9092747137096783E-4</v>
      </c>
      <c r="G12" s="134">
        <v>25.960114259903239</v>
      </c>
      <c r="H12" s="135">
        <v>20</v>
      </c>
      <c r="J12" s="136">
        <f t="shared" si="1"/>
        <v>31.635000000000005</v>
      </c>
      <c r="K12" t="s">
        <v>253</v>
      </c>
    </row>
    <row r="13" spans="1:43">
      <c r="A13" t="s">
        <v>81</v>
      </c>
      <c r="B13" t="s">
        <v>251</v>
      </c>
      <c r="C13" t="s">
        <v>252</v>
      </c>
      <c r="D13" s="146">
        <f>DEF!$I$19/31/1000/(4000/17.1)</f>
        <v>3.6837216540725804E-3</v>
      </c>
      <c r="E13" s="147">
        <f>DEF!$H$10/31/1000/(4000/17.1)</f>
        <v>2.9092747137096783E-4</v>
      </c>
      <c r="G13" s="134">
        <v>25.960114259903236</v>
      </c>
      <c r="H13" s="135">
        <v>20</v>
      </c>
      <c r="J13" s="136">
        <f t="shared" si="1"/>
        <v>31.635000000000005</v>
      </c>
      <c r="K13" t="s">
        <v>253</v>
      </c>
    </row>
    <row r="14" spans="1:43">
      <c r="A14" t="s">
        <v>82</v>
      </c>
      <c r="B14" t="s">
        <v>251</v>
      </c>
      <c r="C14" t="s">
        <v>252</v>
      </c>
      <c r="D14" s="146">
        <f>DEF!$I$19/31/1000/(4000/17.1)</f>
        <v>3.6837216540725804E-3</v>
      </c>
      <c r="E14" s="147">
        <f>DEF!$H$10/31/1000/(4000/17.1)</f>
        <v>2.9092747137096783E-4</v>
      </c>
      <c r="G14" s="134">
        <v>25.960114259903236</v>
      </c>
      <c r="H14" s="135">
        <v>20</v>
      </c>
      <c r="J14" s="136">
        <f t="shared" si="1"/>
        <v>31.635000000000005</v>
      </c>
      <c r="K14" t="s">
        <v>253</v>
      </c>
    </row>
    <row r="15" spans="1:43">
      <c r="A15" t="s">
        <v>83</v>
      </c>
      <c r="B15" t="s">
        <v>251</v>
      </c>
      <c r="C15" t="s">
        <v>252</v>
      </c>
      <c r="D15" s="146">
        <f>DEF!$I$19/31/1000/(4000/17.1)</f>
        <v>3.6837216540725804E-3</v>
      </c>
      <c r="E15" s="147">
        <f>DEF!$H$10/31/1000/(4000/17.1)</f>
        <v>2.9092747137096783E-4</v>
      </c>
      <c r="G15" s="134">
        <v>25.960114259903236</v>
      </c>
      <c r="H15" s="135">
        <v>20</v>
      </c>
      <c r="J15" s="136">
        <f t="shared" si="1"/>
        <v>31.635000000000005</v>
      </c>
      <c r="K15" t="s">
        <v>253</v>
      </c>
    </row>
    <row r="16" spans="1:43">
      <c r="A16" t="s">
        <v>84</v>
      </c>
      <c r="B16" t="s">
        <v>251</v>
      </c>
      <c r="C16" t="s">
        <v>252</v>
      </c>
      <c r="D16" s="146">
        <f>DEF!$I$19/31/1000/(4000/17.1)</f>
        <v>3.6837216540725804E-3</v>
      </c>
      <c r="E16" s="147">
        <f>DEF!$H$10/31/1000/(4000/17.1)</f>
        <v>2.9092747137096783E-4</v>
      </c>
      <c r="G16" s="134">
        <v>25.960114259903239</v>
      </c>
      <c r="H16" s="135">
        <v>20</v>
      </c>
      <c r="J16" s="136">
        <f t="shared" si="1"/>
        <v>31.635000000000005</v>
      </c>
      <c r="K16" t="s">
        <v>253</v>
      </c>
    </row>
    <row r="17" spans="1:11">
      <c r="A17" t="s">
        <v>85</v>
      </c>
      <c r="B17" t="s">
        <v>251</v>
      </c>
      <c r="C17" t="s">
        <v>252</v>
      </c>
      <c r="D17" s="146">
        <f>DEF!$I$19/31/1000/(4000/17.1)</f>
        <v>3.6837216540725804E-3</v>
      </c>
      <c r="E17" s="147">
        <f>DEF!$H$10/31/1000/(4000/17.1)</f>
        <v>2.9092747137096783E-4</v>
      </c>
      <c r="G17" s="134">
        <v>25.960114259903239</v>
      </c>
      <c r="H17" s="135">
        <v>20</v>
      </c>
      <c r="J17" s="136">
        <f t="shared" si="1"/>
        <v>31.635000000000005</v>
      </c>
      <c r="K17" t="s">
        <v>253</v>
      </c>
    </row>
    <row r="18" spans="1:11">
      <c r="D18" s="133"/>
      <c r="E18" s="133"/>
      <c r="G18" s="133"/>
      <c r="H18" s="135"/>
      <c r="J18" s="136"/>
    </row>
    <row r="19" spans="1:11">
      <c r="D19" s="133"/>
      <c r="E19" s="133"/>
      <c r="G19" s="133"/>
      <c r="H19" s="135"/>
      <c r="J19" s="136"/>
    </row>
    <row r="20" spans="1:11">
      <c r="D20" s="133"/>
      <c r="E20" s="133"/>
      <c r="G20" s="133"/>
      <c r="H20" s="135"/>
      <c r="J20" s="136"/>
    </row>
    <row r="21" spans="1:11">
      <c r="D21" s="133"/>
      <c r="E21" s="133"/>
      <c r="G21" s="133"/>
      <c r="H21" s="135"/>
      <c r="J21" s="136"/>
    </row>
    <row r="22" spans="1:11">
      <c r="D22" s="133"/>
      <c r="E22" s="133"/>
      <c r="G22" s="133"/>
      <c r="H22" s="135"/>
      <c r="J22" s="136"/>
    </row>
    <row r="23" spans="1:11">
      <c r="D23" s="133"/>
      <c r="E23" s="133"/>
      <c r="G23" s="133"/>
      <c r="H23" s="135"/>
      <c r="J23" s="136"/>
    </row>
    <row r="24" spans="1:11">
      <c r="D24" s="133"/>
      <c r="E24" s="133"/>
      <c r="G24" s="133"/>
      <c r="H24" s="135"/>
      <c r="J24" s="136"/>
    </row>
    <row r="25" spans="1:11">
      <c r="D25" s="133"/>
      <c r="E25" s="133"/>
      <c r="G25" s="133"/>
      <c r="H25" s="135"/>
      <c r="J25" s="136"/>
    </row>
    <row r="26" spans="1:11">
      <c r="D26" s="133"/>
      <c r="E26" s="133"/>
      <c r="G26" s="133"/>
      <c r="H26" s="135"/>
      <c r="J26" s="136"/>
    </row>
    <row r="27" spans="1:11">
      <c r="D27" s="133"/>
      <c r="E27" s="133"/>
      <c r="G27" s="133"/>
      <c r="H27" s="135"/>
      <c r="J27" s="136"/>
    </row>
    <row r="28" spans="1:11">
      <c r="D28" s="133"/>
      <c r="E28" s="133"/>
      <c r="G28" s="133"/>
      <c r="H28" s="135"/>
      <c r="J28" s="136"/>
    </row>
    <row r="29" spans="1:11">
      <c r="D29" s="133"/>
      <c r="E29" s="133"/>
      <c r="G29" s="133"/>
      <c r="H29" s="135"/>
      <c r="J29" s="136"/>
    </row>
    <row r="30" spans="1:11">
      <c r="D30" s="133"/>
      <c r="E30" s="133"/>
      <c r="G30" s="133"/>
      <c r="H30" s="135"/>
      <c r="J30" s="136"/>
    </row>
    <row r="31" spans="1:11">
      <c r="D31" s="133"/>
      <c r="E31" s="133"/>
      <c r="G31" s="133"/>
      <c r="H31" s="135"/>
      <c r="J31" s="136"/>
    </row>
    <row r="32" spans="1:11">
      <c r="D32" s="133"/>
      <c r="E32" s="133"/>
      <c r="G32" s="133"/>
      <c r="H32" s="135"/>
      <c r="J32" s="136"/>
    </row>
    <row r="33" spans="4:10">
      <c r="D33" s="133"/>
      <c r="E33" s="133"/>
      <c r="G33" s="133"/>
      <c r="H33" s="135"/>
      <c r="J33" s="136"/>
    </row>
    <row r="34" spans="4:10">
      <c r="D34" s="133"/>
      <c r="E34" s="133"/>
      <c r="G34" s="133"/>
      <c r="H34" s="135"/>
      <c r="J34" s="136"/>
    </row>
    <row r="35" spans="4:10">
      <c r="D35" s="133"/>
      <c r="E35" s="133"/>
      <c r="G35" s="133"/>
      <c r="H35" s="135"/>
      <c r="J35" s="136"/>
    </row>
    <row r="36" spans="4:10">
      <c r="D36" s="133"/>
      <c r="E36" s="133"/>
      <c r="G36" s="133"/>
      <c r="H36" s="135"/>
      <c r="J36" s="136"/>
    </row>
    <row r="37" spans="4:10">
      <c r="D37" s="133"/>
      <c r="E37" s="133"/>
      <c r="G37" s="133"/>
      <c r="H37" s="135"/>
      <c r="J37" s="136"/>
    </row>
    <row r="38" spans="4:10">
      <c r="D38" s="133"/>
      <c r="E38" s="133"/>
      <c r="G38" s="133"/>
      <c r="H38" s="135"/>
      <c r="J38" s="136"/>
    </row>
    <row r="39" spans="4:10">
      <c r="D39" s="133"/>
      <c r="E39" s="133"/>
      <c r="G39" s="133"/>
      <c r="H39" s="135"/>
      <c r="J39" s="136"/>
    </row>
    <row r="40" spans="4:10">
      <c r="D40" s="133"/>
      <c r="E40" s="133"/>
      <c r="G40" s="133"/>
      <c r="H40" s="135"/>
      <c r="J40" s="136"/>
    </row>
    <row r="41" spans="4:10">
      <c r="D41" s="133"/>
      <c r="E41" s="133"/>
      <c r="G41" s="133"/>
      <c r="H41" s="135"/>
      <c r="J41" s="136"/>
    </row>
    <row r="42" spans="4:10">
      <c r="D42" s="133"/>
      <c r="E42" s="133"/>
      <c r="G42" s="133"/>
      <c r="H42" s="135"/>
      <c r="J42" s="136"/>
    </row>
    <row r="43" spans="4:10">
      <c r="D43" s="133"/>
      <c r="E43" s="133"/>
      <c r="G43" s="133"/>
      <c r="H43" s="135"/>
      <c r="J43" s="136"/>
    </row>
    <row r="44" spans="4:10">
      <c r="D44" s="133"/>
      <c r="E44" s="133"/>
      <c r="G44" s="133"/>
      <c r="H44" s="135"/>
      <c r="J44" s="136"/>
    </row>
    <row r="45" spans="4:10">
      <c r="D45" s="133"/>
      <c r="E45" s="133"/>
      <c r="G45" s="133"/>
      <c r="H45" s="135"/>
      <c r="J45" s="136"/>
    </row>
    <row r="46" spans="4:10">
      <c r="D46" s="133"/>
      <c r="E46" s="133"/>
      <c r="G46" s="133"/>
      <c r="H46" s="135"/>
      <c r="J46" s="136"/>
    </row>
    <row r="47" spans="4:10">
      <c r="D47" s="133"/>
      <c r="E47" s="133"/>
      <c r="G47" s="133"/>
      <c r="H47" s="135"/>
      <c r="J47" s="136"/>
    </row>
    <row r="48" spans="4:10">
      <c r="D48" s="133"/>
      <c r="E48" s="133"/>
      <c r="G48" s="133"/>
      <c r="H48" s="135"/>
      <c r="J48" s="136"/>
    </row>
    <row r="49" spans="4:10">
      <c r="D49" s="133"/>
      <c r="E49" s="133"/>
      <c r="G49" s="133"/>
      <c r="H49" s="135"/>
      <c r="J49" s="136"/>
    </row>
    <row r="50" spans="4:10">
      <c r="D50" s="133"/>
      <c r="E50" s="133"/>
      <c r="G50" s="133"/>
      <c r="H50" s="135"/>
      <c r="J50" s="136"/>
    </row>
    <row r="51" spans="4:10">
      <c r="D51" s="133"/>
      <c r="E51" s="133"/>
      <c r="G51" s="133"/>
      <c r="H51" s="135"/>
      <c r="J51" s="136"/>
    </row>
    <row r="52" spans="4:10">
      <c r="D52" s="133"/>
      <c r="E52" s="133"/>
      <c r="G52" s="133"/>
      <c r="H52" s="135"/>
      <c r="J52" s="136"/>
    </row>
    <row r="53" spans="4:10">
      <c r="D53" s="133"/>
      <c r="E53" s="133"/>
      <c r="G53" s="133"/>
      <c r="H53" s="135"/>
      <c r="J53" s="136"/>
    </row>
    <row r="54" spans="4:10">
      <c r="D54" s="133"/>
      <c r="E54" s="133"/>
      <c r="G54" s="133"/>
      <c r="H54" s="135"/>
      <c r="J54" s="136"/>
    </row>
    <row r="55" spans="4:10">
      <c r="D55" s="133"/>
      <c r="E55" s="133"/>
      <c r="G55" s="133"/>
      <c r="H55" s="135"/>
      <c r="J55" s="136"/>
    </row>
    <row r="56" spans="4:10">
      <c r="D56" s="133"/>
      <c r="E56" s="133"/>
      <c r="G56" s="133"/>
      <c r="H56" s="135"/>
      <c r="J56" s="136"/>
    </row>
    <row r="57" spans="4:10">
      <c r="D57" s="133"/>
      <c r="E57" s="133"/>
      <c r="G57" s="133"/>
      <c r="H57" s="135"/>
      <c r="J57" s="136"/>
    </row>
    <row r="58" spans="4:10">
      <c r="D58" s="133"/>
      <c r="E58" s="133"/>
      <c r="G58" s="133"/>
      <c r="H58" s="135"/>
      <c r="J58" s="136"/>
    </row>
    <row r="59" spans="4:10">
      <c r="D59" s="133"/>
      <c r="E59" s="133"/>
      <c r="G59" s="133"/>
      <c r="H59" s="135"/>
      <c r="J59" s="136"/>
    </row>
    <row r="60" spans="4:10">
      <c r="D60" s="133"/>
      <c r="E60" s="133"/>
      <c r="G60" s="133"/>
      <c r="H60" s="135"/>
      <c r="J60" s="136"/>
    </row>
    <row r="61" spans="4:10">
      <c r="D61" s="133"/>
      <c r="E61" s="133"/>
      <c r="G61" s="133"/>
      <c r="H61" s="135"/>
      <c r="J61" s="136"/>
    </row>
    <row r="62" spans="4:10">
      <c r="D62" s="133"/>
      <c r="E62" s="133"/>
      <c r="G62" s="133"/>
      <c r="H62" s="135"/>
      <c r="J62" s="136"/>
    </row>
    <row r="63" spans="4:10">
      <c r="D63" s="133"/>
      <c r="E63" s="133"/>
      <c r="G63" s="133"/>
      <c r="H63" s="135"/>
      <c r="J63" s="136"/>
    </row>
    <row r="64" spans="4:10">
      <c r="D64" s="133"/>
      <c r="E64" s="133"/>
      <c r="G64" s="133"/>
      <c r="H64" s="135"/>
      <c r="J64" s="136"/>
    </row>
    <row r="65" spans="4:10">
      <c r="D65" s="133"/>
      <c r="E65" s="133"/>
      <c r="G65" s="133"/>
      <c r="H65" s="135"/>
      <c r="J65" s="136"/>
    </row>
    <row r="66" spans="4:10">
      <c r="D66" s="133"/>
      <c r="E66" s="133"/>
      <c r="G66" s="133"/>
      <c r="H66" s="135"/>
      <c r="J66" s="136"/>
    </row>
    <row r="67" spans="4:10">
      <c r="D67" s="133"/>
      <c r="E67" s="133"/>
      <c r="G67" s="133"/>
      <c r="H67" s="135"/>
      <c r="J67" s="136"/>
    </row>
    <row r="68" spans="4:10">
      <c r="D68" s="133"/>
      <c r="E68" s="133"/>
      <c r="G68" s="133"/>
      <c r="H68" s="135"/>
      <c r="J68" s="136"/>
    </row>
    <row r="69" spans="4:10">
      <c r="D69" s="133"/>
      <c r="E69" s="133"/>
      <c r="G69" s="133"/>
      <c r="H69" s="135"/>
      <c r="J69" s="136"/>
    </row>
    <row r="70" spans="4:10">
      <c r="D70" s="133"/>
      <c r="E70" s="133"/>
      <c r="G70" s="133"/>
      <c r="H70" s="135"/>
      <c r="J70" s="136"/>
    </row>
    <row r="71" spans="4:10">
      <c r="D71" s="133"/>
      <c r="E71" s="133"/>
      <c r="G71" s="133"/>
      <c r="H71" s="135"/>
      <c r="J71" s="136"/>
    </row>
    <row r="72" spans="4:10">
      <c r="D72" s="133"/>
      <c r="E72" s="133"/>
      <c r="G72" s="133"/>
      <c r="H72" s="135"/>
      <c r="J72" s="136"/>
    </row>
    <row r="73" spans="4:10">
      <c r="D73" s="133"/>
      <c r="E73" s="133"/>
      <c r="G73" s="133"/>
      <c r="H73" s="135"/>
      <c r="J73" s="136"/>
    </row>
    <row r="74" spans="4:10">
      <c r="D74" s="133"/>
      <c r="E74" s="133"/>
      <c r="G74" s="133"/>
      <c r="H74" s="135"/>
      <c r="J74" s="136"/>
    </row>
    <row r="75" spans="4:10">
      <c r="D75" s="133"/>
      <c r="E75" s="133"/>
      <c r="G75" s="133"/>
      <c r="H75" s="135"/>
      <c r="J75" s="136"/>
    </row>
    <row r="76" spans="4:10">
      <c r="D76" s="133"/>
      <c r="E76" s="133"/>
      <c r="G76" s="133"/>
      <c r="H76" s="135"/>
      <c r="J76" s="136"/>
    </row>
    <row r="77" spans="4:10">
      <c r="D77" s="133"/>
      <c r="E77" s="133"/>
      <c r="G77" s="133"/>
      <c r="H77" s="135"/>
      <c r="J77" s="136"/>
    </row>
    <row r="78" spans="4:10">
      <c r="D78" s="133"/>
      <c r="E78" s="133"/>
      <c r="G78" s="133"/>
      <c r="H78" s="135"/>
      <c r="J78" s="136"/>
    </row>
    <row r="79" spans="4:10">
      <c r="D79" s="133"/>
      <c r="E79" s="133"/>
      <c r="G79" s="133"/>
      <c r="H79" s="135"/>
      <c r="J79" s="136"/>
    </row>
    <row r="80" spans="4:10">
      <c r="D80" s="133"/>
      <c r="E80" s="133"/>
      <c r="G80" s="133"/>
      <c r="H80" s="135"/>
      <c r="J80" s="136"/>
    </row>
    <row r="81" spans="4:10">
      <c r="D81" s="133"/>
      <c r="E81" s="133"/>
      <c r="G81" s="133"/>
      <c r="H81" s="135"/>
      <c r="J81" s="136"/>
    </row>
    <row r="82" spans="4:10">
      <c r="D82" s="133"/>
      <c r="E82" s="133"/>
      <c r="G82" s="133"/>
      <c r="H82" s="135"/>
      <c r="J82" s="136"/>
    </row>
    <row r="83" spans="4:10">
      <c r="D83" s="133"/>
      <c r="E83" s="133"/>
      <c r="G83" s="133"/>
      <c r="H83" s="135"/>
      <c r="J83" s="136"/>
    </row>
    <row r="84" spans="4:10">
      <c r="D84" s="133"/>
      <c r="E84" s="133"/>
      <c r="G84" s="133"/>
      <c r="H84" s="135"/>
      <c r="J84" s="136"/>
    </row>
    <row r="85" spans="4:10">
      <c r="D85" s="133"/>
      <c r="E85" s="133"/>
      <c r="G85" s="133"/>
      <c r="H85" s="135"/>
      <c r="J85" s="136"/>
    </row>
    <row r="86" spans="4:10">
      <c r="D86" s="133"/>
      <c r="E86" s="133"/>
      <c r="G86" s="133"/>
      <c r="H86" s="135"/>
      <c r="J86" s="136"/>
    </row>
    <row r="87" spans="4:10">
      <c r="D87" s="133"/>
      <c r="E87" s="133"/>
      <c r="G87" s="133"/>
      <c r="H87" s="135"/>
      <c r="J87" s="136"/>
    </row>
    <row r="88" spans="4:10">
      <c r="D88" s="133"/>
      <c r="E88" s="133"/>
      <c r="G88" s="133"/>
      <c r="H88" s="135"/>
      <c r="J88" s="136"/>
    </row>
    <row r="89" spans="4:10">
      <c r="D89" s="133"/>
      <c r="E89" s="133"/>
      <c r="G89" s="133"/>
      <c r="H89" s="135"/>
      <c r="J89" s="136"/>
    </row>
    <row r="90" spans="4:10">
      <c r="D90" s="133"/>
      <c r="E90" s="133"/>
      <c r="G90" s="133"/>
      <c r="H90" s="135"/>
      <c r="J90" s="136"/>
    </row>
    <row r="91" spans="4:10">
      <c r="D91" s="133"/>
      <c r="E91" s="133"/>
      <c r="G91" s="133"/>
      <c r="H91" s="135"/>
      <c r="J91" s="136"/>
    </row>
    <row r="92" spans="4:10">
      <c r="D92" s="133"/>
      <c r="E92" s="133"/>
      <c r="G92" s="133"/>
      <c r="H92" s="135"/>
      <c r="J92" s="136"/>
    </row>
    <row r="93" spans="4:10">
      <c r="D93" s="133"/>
      <c r="E93" s="133"/>
      <c r="G93" s="133"/>
      <c r="H93" s="135"/>
      <c r="J93" s="136"/>
    </row>
    <row r="94" spans="4:10">
      <c r="D94" s="133"/>
      <c r="E94" s="133"/>
      <c r="G94" s="133"/>
      <c r="H94" s="135"/>
      <c r="J94" s="136"/>
    </row>
    <row r="95" spans="4:10">
      <c r="D95" s="133"/>
      <c r="E95" s="133"/>
      <c r="G95" s="133"/>
      <c r="H95" s="135"/>
      <c r="J95" s="136"/>
    </row>
    <row r="96" spans="4:10">
      <c r="D96" s="133"/>
      <c r="E96" s="133"/>
      <c r="G96" s="133"/>
      <c r="H96" s="135"/>
      <c r="J96" s="136"/>
    </row>
    <row r="97" spans="4:10">
      <c r="D97" s="133"/>
      <c r="E97" s="133"/>
      <c r="G97" s="133"/>
      <c r="H97" s="135"/>
      <c r="J97" s="136"/>
    </row>
    <row r="98" spans="4:10">
      <c r="D98" s="133"/>
      <c r="E98" s="133"/>
      <c r="G98" s="133"/>
      <c r="H98" s="135"/>
      <c r="J98" s="136"/>
    </row>
    <row r="99" spans="4:10">
      <c r="D99" s="133"/>
      <c r="E99" s="133"/>
      <c r="G99" s="133"/>
      <c r="H99" s="135"/>
      <c r="J99" s="136"/>
    </row>
    <row r="100" spans="4:10">
      <c r="D100" s="133"/>
      <c r="E100" s="133"/>
      <c r="G100" s="133"/>
      <c r="H100" s="135"/>
      <c r="J100" s="136"/>
    </row>
    <row r="101" spans="4:10">
      <c r="D101" s="133"/>
      <c r="E101" s="133"/>
      <c r="G101" s="133"/>
      <c r="H101" s="135"/>
      <c r="J101" s="136"/>
    </row>
    <row r="102" spans="4:10">
      <c r="D102" s="133"/>
      <c r="E102" s="133"/>
      <c r="G102" s="133"/>
      <c r="H102" s="135"/>
      <c r="J102" s="136"/>
    </row>
    <row r="103" spans="4:10">
      <c r="D103" s="133"/>
      <c r="E103" s="133"/>
      <c r="G103" s="133"/>
      <c r="H103" s="135"/>
      <c r="J103" s="136"/>
    </row>
    <row r="104" spans="4:10">
      <c r="D104" s="133"/>
      <c r="E104" s="133"/>
      <c r="G104" s="133"/>
      <c r="H104" s="135"/>
      <c r="J104" s="136"/>
    </row>
    <row r="105" spans="4:10">
      <c r="D105" s="133"/>
      <c r="E105" s="133"/>
      <c r="G105" s="133"/>
      <c r="H105" s="135"/>
      <c r="J105" s="136"/>
    </row>
    <row r="106" spans="4:10">
      <c r="D106" s="133"/>
      <c r="E106" s="133"/>
      <c r="G106" s="133"/>
      <c r="H106" s="135"/>
      <c r="J106" s="136"/>
    </row>
    <row r="107" spans="4:10">
      <c r="D107" s="133"/>
      <c r="E107" s="133"/>
      <c r="G107" s="133"/>
      <c r="H107" s="135"/>
      <c r="J107" s="136"/>
    </row>
    <row r="108" spans="4:10">
      <c r="D108" s="133"/>
      <c r="E108" s="133"/>
      <c r="G108" s="133"/>
      <c r="H108" s="135"/>
      <c r="J108" s="136"/>
    </row>
    <row r="109" spans="4:10">
      <c r="D109" s="133"/>
      <c r="E109" s="133"/>
      <c r="G109" s="133"/>
      <c r="H109" s="135"/>
      <c r="J109" s="136"/>
    </row>
    <row r="110" spans="4:10">
      <c r="D110" s="133"/>
      <c r="E110" s="133"/>
      <c r="G110" s="133"/>
      <c r="H110" s="135"/>
      <c r="J110" s="136"/>
    </row>
    <row r="111" spans="4:10">
      <c r="D111" s="133"/>
      <c r="E111" s="133"/>
      <c r="G111" s="133"/>
      <c r="H111" s="135"/>
      <c r="J111" s="136"/>
    </row>
    <row r="112" spans="4:10">
      <c r="D112" s="133"/>
      <c r="E112" s="133"/>
      <c r="G112" s="133"/>
      <c r="H112" s="135"/>
      <c r="J112" s="136"/>
    </row>
    <row r="113" spans="4:10">
      <c r="D113" s="133"/>
      <c r="E113" s="133"/>
      <c r="G113" s="133"/>
      <c r="H113" s="135"/>
      <c r="J113" s="136"/>
    </row>
    <row r="114" spans="4:10">
      <c r="D114" s="133"/>
      <c r="E114" s="133"/>
      <c r="G114" s="133"/>
      <c r="H114" s="135"/>
      <c r="J114" s="136"/>
    </row>
    <row r="115" spans="4:10">
      <c r="D115" s="133"/>
      <c r="E115" s="133"/>
      <c r="G115" s="133"/>
      <c r="H115" s="135"/>
      <c r="J115" s="136"/>
    </row>
    <row r="116" spans="4:10">
      <c r="D116" s="133"/>
      <c r="E116" s="133"/>
      <c r="G116" s="133"/>
      <c r="H116" s="135"/>
      <c r="J116" s="136"/>
    </row>
    <row r="117" spans="4:10">
      <c r="D117" s="133"/>
      <c r="E117" s="133"/>
      <c r="G117" s="133"/>
      <c r="H117" s="135"/>
      <c r="J117" s="136"/>
    </row>
    <row r="118" spans="4:10">
      <c r="D118" s="133"/>
      <c r="E118" s="133"/>
      <c r="G118" s="133"/>
      <c r="H118" s="135"/>
      <c r="J118" s="136"/>
    </row>
    <row r="119" spans="4:10">
      <c r="D119" s="133"/>
      <c r="E119" s="133"/>
      <c r="G119" s="133"/>
      <c r="H119" s="135"/>
      <c r="J119" s="136"/>
    </row>
    <row r="120" spans="4:10">
      <c r="D120" s="133"/>
      <c r="E120" s="133"/>
      <c r="G120" s="133"/>
      <c r="H120" s="135"/>
      <c r="J120" s="136"/>
    </row>
    <row r="121" spans="4:10">
      <c r="D121" s="133"/>
      <c r="E121" s="133"/>
      <c r="G121" s="133"/>
      <c r="H121" s="135"/>
      <c r="J121" s="136"/>
    </row>
    <row r="122" spans="4:10">
      <c r="D122" s="133"/>
      <c r="E122" s="133"/>
      <c r="G122" s="133"/>
      <c r="H122" s="135"/>
      <c r="J122" s="136"/>
    </row>
    <row r="123" spans="4:10">
      <c r="D123" s="133"/>
      <c r="E123" s="133"/>
      <c r="G123" s="133"/>
      <c r="H123" s="135"/>
      <c r="J123" s="136"/>
    </row>
    <row r="124" spans="4:10">
      <c r="D124" s="133"/>
      <c r="E124" s="133"/>
      <c r="G124" s="133"/>
      <c r="H124" s="135"/>
      <c r="J124" s="136"/>
    </row>
    <row r="125" spans="4:10">
      <c r="D125" s="133"/>
      <c r="E125" s="133"/>
      <c r="G125" s="133"/>
      <c r="H125" s="135"/>
      <c r="J125" s="136"/>
    </row>
    <row r="126" spans="4:10">
      <c r="D126" s="133"/>
      <c r="E126" s="133"/>
      <c r="G126" s="133"/>
      <c r="H126" s="135"/>
      <c r="J126" s="136"/>
    </row>
    <row r="127" spans="4:10">
      <c r="D127" s="133"/>
      <c r="E127" s="133"/>
      <c r="G127" s="133"/>
      <c r="H127" s="135"/>
      <c r="J127" s="136"/>
    </row>
    <row r="128" spans="4:10">
      <c r="D128" s="133"/>
      <c r="E128" s="133"/>
      <c r="G128" s="133"/>
      <c r="H128" s="135"/>
      <c r="J128" s="136"/>
    </row>
    <row r="129" spans="4:10">
      <c r="D129" s="133"/>
      <c r="E129" s="133"/>
      <c r="G129" s="133"/>
      <c r="H129" s="135"/>
      <c r="J129" s="136"/>
    </row>
    <row r="130" spans="4:10">
      <c r="D130" s="133"/>
      <c r="E130" s="133"/>
      <c r="G130" s="133"/>
      <c r="H130" s="135"/>
      <c r="J130" s="136"/>
    </row>
    <row r="131" spans="4:10">
      <c r="D131" s="133"/>
      <c r="E131" s="133"/>
      <c r="G131" s="133"/>
      <c r="H131" s="135"/>
      <c r="J131" s="136"/>
    </row>
    <row r="132" spans="4:10">
      <c r="D132" s="133"/>
      <c r="E132" s="133"/>
      <c r="G132" s="133"/>
      <c r="H132" s="135"/>
      <c r="J132" s="136"/>
    </row>
    <row r="133" spans="4:10">
      <c r="D133" s="133"/>
      <c r="E133" s="133"/>
      <c r="G133" s="133"/>
      <c r="H133" s="135"/>
      <c r="J133" s="136"/>
    </row>
    <row r="134" spans="4:10">
      <c r="D134" s="133"/>
      <c r="E134" s="133"/>
      <c r="G134" s="133"/>
      <c r="H134" s="135"/>
      <c r="J134" s="136"/>
    </row>
    <row r="135" spans="4:10">
      <c r="D135" s="133"/>
      <c r="E135" s="133"/>
      <c r="G135" s="133"/>
      <c r="H135" s="135"/>
      <c r="J135" s="136"/>
    </row>
    <row r="136" spans="4:10">
      <c r="D136" s="133"/>
      <c r="E136" s="133"/>
      <c r="G136" s="133"/>
      <c r="H136" s="135"/>
      <c r="J136" s="136"/>
    </row>
    <row r="137" spans="4:10">
      <c r="D137" s="133"/>
      <c r="E137" s="133"/>
      <c r="G137" s="133"/>
      <c r="H137" s="135"/>
      <c r="J137" s="136"/>
    </row>
    <row r="138" spans="4:10">
      <c r="D138" s="133"/>
      <c r="E138" s="133"/>
      <c r="G138" s="133"/>
      <c r="H138" s="135"/>
      <c r="J138" s="136"/>
    </row>
    <row r="139" spans="4:10">
      <c r="D139" s="133"/>
      <c r="E139" s="133"/>
      <c r="G139" s="133"/>
      <c r="H139" s="135"/>
      <c r="J139" s="136"/>
    </row>
    <row r="140" spans="4:10">
      <c r="D140" s="133"/>
      <c r="E140" s="133"/>
      <c r="G140" s="133"/>
      <c r="H140" s="135"/>
      <c r="J140" s="136"/>
    </row>
    <row r="141" spans="4:10">
      <c r="D141" s="133"/>
      <c r="E141" s="133"/>
      <c r="G141" s="133"/>
      <c r="H141" s="135"/>
      <c r="J141" s="136"/>
    </row>
    <row r="142" spans="4:10">
      <c r="D142" s="133"/>
      <c r="E142" s="133"/>
      <c r="G142" s="133"/>
      <c r="H142" s="135"/>
      <c r="J142" s="136"/>
    </row>
    <row r="143" spans="4:10">
      <c r="D143" s="133"/>
      <c r="E143" s="133"/>
      <c r="G143" s="133"/>
      <c r="H143" s="135"/>
      <c r="J143" s="136"/>
    </row>
    <row r="144" spans="4:10">
      <c r="D144" s="133"/>
      <c r="E144" s="133"/>
      <c r="G144" s="133"/>
      <c r="H144" s="135"/>
      <c r="J144" s="136"/>
    </row>
    <row r="145" spans="4:10">
      <c r="D145" s="133"/>
      <c r="E145" s="133"/>
      <c r="G145" s="133"/>
      <c r="H145" s="135"/>
      <c r="J145" s="136"/>
    </row>
    <row r="146" spans="4:10">
      <c r="D146" s="133"/>
      <c r="E146" s="133"/>
      <c r="G146" s="133"/>
      <c r="H146" s="135"/>
      <c r="J146" s="136"/>
    </row>
    <row r="147" spans="4:10">
      <c r="D147" s="133"/>
      <c r="E147" s="133"/>
      <c r="G147" s="133"/>
      <c r="H147" s="135"/>
      <c r="J147" s="136"/>
    </row>
    <row r="148" spans="4:10">
      <c r="D148" s="133"/>
      <c r="E148" s="133"/>
      <c r="G148" s="133"/>
      <c r="H148" s="135"/>
      <c r="J148" s="136"/>
    </row>
    <row r="149" spans="4:10">
      <c r="D149" s="133"/>
      <c r="E149" s="133"/>
      <c r="G149" s="133"/>
      <c r="H149" s="135"/>
      <c r="J149" s="136"/>
    </row>
    <row r="150" spans="4:10">
      <c r="D150" s="133"/>
      <c r="E150" s="133"/>
      <c r="G150" s="133"/>
      <c r="H150" s="135"/>
      <c r="J150" s="136"/>
    </row>
    <row r="151" spans="4:10">
      <c r="D151" s="133"/>
      <c r="E151" s="133"/>
      <c r="G151" s="133"/>
      <c r="H151" s="135"/>
      <c r="J151" s="136"/>
    </row>
    <row r="152" spans="4:10">
      <c r="D152" s="133"/>
      <c r="E152" s="133"/>
      <c r="G152" s="133"/>
      <c r="H152" s="135"/>
      <c r="J152" s="136"/>
    </row>
    <row r="153" spans="4:10">
      <c r="D153" s="133"/>
      <c r="E153" s="133"/>
      <c r="G153" s="133"/>
      <c r="H153" s="135"/>
      <c r="J153" s="136"/>
    </row>
    <row r="154" spans="4:10">
      <c r="D154" s="133"/>
      <c r="E154" s="133"/>
      <c r="G154" s="133"/>
      <c r="H154" s="135"/>
      <c r="J154" s="136"/>
    </row>
    <row r="155" spans="4:10">
      <c r="D155" s="133"/>
      <c r="E155" s="133"/>
      <c r="G155" s="133"/>
      <c r="H155" s="135"/>
      <c r="J155" s="136"/>
    </row>
    <row r="156" spans="4:10">
      <c r="D156" s="133"/>
      <c r="E156" s="133"/>
      <c r="G156" s="133"/>
      <c r="H156" s="135"/>
      <c r="J156" s="136"/>
    </row>
    <row r="157" spans="4:10">
      <c r="D157" s="133"/>
      <c r="E157" s="133"/>
      <c r="G157" s="133"/>
      <c r="H157" s="135"/>
      <c r="J157" s="136"/>
    </row>
    <row r="158" spans="4:10">
      <c r="D158" s="133"/>
      <c r="E158" s="133"/>
      <c r="G158" s="133"/>
      <c r="H158" s="135"/>
      <c r="J158" s="136"/>
    </row>
    <row r="159" spans="4:10">
      <c r="D159" s="133"/>
      <c r="E159" s="133"/>
      <c r="G159" s="133"/>
      <c r="H159" s="135"/>
      <c r="J159" s="136"/>
    </row>
    <row r="160" spans="4:10">
      <c r="D160" s="133"/>
      <c r="E160" s="133"/>
      <c r="G160" s="133"/>
      <c r="H160" s="135"/>
      <c r="J160" s="136"/>
    </row>
    <row r="161" spans="4:10">
      <c r="D161" s="133"/>
      <c r="E161" s="133"/>
      <c r="G161" s="133"/>
      <c r="H161" s="135"/>
      <c r="J161" s="136"/>
    </row>
    <row r="162" spans="4:10">
      <c r="D162" s="133"/>
      <c r="E162" s="133"/>
      <c r="G162" s="133"/>
      <c r="H162" s="135"/>
      <c r="J162" s="136"/>
    </row>
    <row r="163" spans="4:10">
      <c r="D163" s="133"/>
      <c r="E163" s="133"/>
      <c r="G163" s="133"/>
      <c r="H163" s="135"/>
      <c r="J163" s="136"/>
    </row>
    <row r="164" spans="4:10">
      <c r="D164" s="133"/>
      <c r="E164" s="133"/>
      <c r="G164" s="133"/>
      <c r="H164" s="135"/>
      <c r="J164" s="136"/>
    </row>
    <row r="165" spans="4:10">
      <c r="D165" s="133"/>
      <c r="E165" s="133"/>
      <c r="G165" s="133"/>
      <c r="H165" s="135"/>
      <c r="J165" s="136"/>
    </row>
    <row r="166" spans="4:10">
      <c r="D166" s="133"/>
      <c r="E166" s="133"/>
      <c r="G166" s="133"/>
      <c r="H166" s="135"/>
      <c r="J166" s="136"/>
    </row>
    <row r="167" spans="4:10">
      <c r="D167" s="133"/>
      <c r="E167" s="133"/>
      <c r="G167" s="133"/>
      <c r="H167" s="135"/>
      <c r="J167" s="136"/>
    </row>
    <row r="168" spans="4:10">
      <c r="D168" s="133"/>
      <c r="E168" s="133"/>
      <c r="G168" s="133"/>
      <c r="H168" s="135"/>
      <c r="J168" s="136"/>
    </row>
    <row r="169" spans="4:10">
      <c r="D169" s="133"/>
      <c r="E169" s="133"/>
      <c r="G169" s="133"/>
      <c r="H169" s="135"/>
      <c r="J169" s="136"/>
    </row>
    <row r="170" spans="4:10">
      <c r="D170" s="133"/>
      <c r="E170" s="133"/>
      <c r="G170" s="133"/>
      <c r="H170" s="135"/>
      <c r="J170" s="136"/>
    </row>
    <row r="171" spans="4:10">
      <c r="D171" s="133"/>
      <c r="E171" s="133"/>
      <c r="G171" s="133"/>
      <c r="H171" s="135"/>
      <c r="J171" s="136"/>
    </row>
    <row r="172" spans="4:10">
      <c r="D172" s="133"/>
      <c r="E172" s="133"/>
      <c r="G172" s="133"/>
      <c r="H172" s="135"/>
      <c r="J172" s="136"/>
    </row>
    <row r="173" spans="4:10">
      <c r="D173" s="133"/>
      <c r="E173" s="133"/>
      <c r="G173" s="133"/>
      <c r="H173" s="135"/>
      <c r="J173" s="136"/>
    </row>
    <row r="174" spans="4:10">
      <c r="D174" s="133"/>
      <c r="E174" s="133"/>
      <c r="G174" s="133"/>
      <c r="H174" s="135"/>
      <c r="J174" s="136"/>
    </row>
    <row r="175" spans="4:10">
      <c r="D175" s="133"/>
      <c r="E175" s="133"/>
      <c r="G175" s="133"/>
      <c r="H175" s="135"/>
      <c r="J175" s="136"/>
    </row>
    <row r="176" spans="4:10">
      <c r="D176" s="133"/>
      <c r="E176" s="133"/>
      <c r="G176" s="133"/>
      <c r="H176" s="135"/>
      <c r="J176" s="136"/>
    </row>
    <row r="177" spans="4:10">
      <c r="D177" s="133"/>
      <c r="E177" s="133"/>
      <c r="G177" s="133"/>
      <c r="H177" s="135"/>
      <c r="J177" s="136"/>
    </row>
    <row r="178" spans="4:10">
      <c r="D178" s="133"/>
      <c r="E178" s="133"/>
      <c r="G178" s="133"/>
      <c r="H178" s="135"/>
      <c r="J178" s="136"/>
    </row>
    <row r="179" spans="4:10">
      <c r="D179" s="133"/>
      <c r="E179" s="133"/>
      <c r="G179" s="133"/>
      <c r="H179" s="135"/>
      <c r="J179" s="136"/>
    </row>
    <row r="180" spans="4:10">
      <c r="D180" s="133"/>
      <c r="E180" s="133"/>
      <c r="G180" s="133"/>
      <c r="H180" s="135"/>
      <c r="J180" s="136"/>
    </row>
    <row r="181" spans="4:10">
      <c r="D181" s="133"/>
      <c r="E181" s="133"/>
      <c r="G181" s="133"/>
      <c r="H181" s="135"/>
      <c r="J181" s="136"/>
    </row>
    <row r="182" spans="4:10">
      <c r="D182" s="133"/>
      <c r="E182" s="133"/>
      <c r="G182" s="133"/>
      <c r="H182" s="135"/>
      <c r="J182" s="136"/>
    </row>
    <row r="183" spans="4:10">
      <c r="D183" s="133"/>
      <c r="E183" s="133"/>
      <c r="G183" s="133"/>
      <c r="H183" s="135"/>
      <c r="J183" s="136"/>
    </row>
    <row r="184" spans="4:10">
      <c r="D184" s="133"/>
      <c r="E184" s="133"/>
      <c r="G184" s="133"/>
      <c r="H184" s="135"/>
      <c r="J184" s="136"/>
    </row>
    <row r="185" spans="4:10">
      <c r="D185" s="133"/>
      <c r="E185" s="133"/>
      <c r="G185" s="133"/>
      <c r="H185" s="135"/>
      <c r="J185" s="136"/>
    </row>
    <row r="186" spans="4:10">
      <c r="D186" s="133"/>
      <c r="E186" s="133"/>
      <c r="G186" s="133"/>
      <c r="H186" s="135"/>
      <c r="J186" s="136"/>
    </row>
    <row r="187" spans="4:10">
      <c r="D187" s="133"/>
      <c r="E187" s="133"/>
      <c r="G187" s="133"/>
      <c r="H187" s="135"/>
      <c r="J187" s="136"/>
    </row>
    <row r="188" spans="4:10">
      <c r="D188" s="133"/>
      <c r="E188" s="133"/>
      <c r="G188" s="133"/>
      <c r="H188" s="135"/>
      <c r="J188" s="136"/>
    </row>
    <row r="189" spans="4:10">
      <c r="D189" s="133"/>
      <c r="E189" s="133"/>
      <c r="G189" s="133"/>
      <c r="H189" s="135"/>
      <c r="J189" s="136"/>
    </row>
    <row r="190" spans="4:10">
      <c r="D190" s="133"/>
      <c r="E190" s="133"/>
      <c r="G190" s="133"/>
      <c r="H190" s="135"/>
      <c r="J190" s="136"/>
    </row>
    <row r="191" spans="4:10">
      <c r="D191" s="133"/>
      <c r="E191" s="133"/>
      <c r="G191" s="133"/>
      <c r="H191" s="135"/>
      <c r="J191" s="136"/>
    </row>
    <row r="192" spans="4:10">
      <c r="D192" s="133"/>
      <c r="E192" s="133"/>
      <c r="G192" s="133"/>
      <c r="H192" s="135"/>
      <c r="J192" s="136"/>
    </row>
    <row r="193" spans="4:10">
      <c r="D193" s="133"/>
      <c r="E193" s="133"/>
      <c r="G193" s="133"/>
      <c r="H193" s="135"/>
      <c r="J193" s="136"/>
    </row>
    <row r="194" spans="4:10">
      <c r="D194" s="133"/>
      <c r="E194" s="133"/>
      <c r="G194" s="133"/>
      <c r="H194" s="135"/>
      <c r="J194" s="136"/>
    </row>
    <row r="195" spans="4:10">
      <c r="D195" s="133"/>
      <c r="E195" s="133"/>
      <c r="G195" s="133"/>
      <c r="H195" s="135"/>
      <c r="J195" s="136"/>
    </row>
    <row r="196" spans="4:10">
      <c r="D196" s="133"/>
      <c r="E196" s="133"/>
      <c r="G196" s="133"/>
      <c r="H196" s="135"/>
      <c r="J196" s="136"/>
    </row>
    <row r="197" spans="4:10">
      <c r="D197" s="133"/>
      <c r="E197" s="133"/>
      <c r="G197" s="133"/>
      <c r="H197" s="135"/>
      <c r="J197" s="136"/>
    </row>
    <row r="198" spans="4:10">
      <c r="D198" s="133"/>
      <c r="E198" s="133"/>
      <c r="G198" s="133"/>
      <c r="H198" s="135"/>
      <c r="J198" s="136"/>
    </row>
    <row r="199" spans="4:10">
      <c r="D199" s="133"/>
      <c r="E199" s="133"/>
      <c r="G199" s="133"/>
      <c r="H199" s="135"/>
      <c r="J199" s="136"/>
    </row>
    <row r="200" spans="4:10">
      <c r="D200" s="133"/>
      <c r="E200" s="133"/>
      <c r="G200" s="133"/>
      <c r="H200" s="135"/>
      <c r="J200" s="136"/>
    </row>
    <row r="201" spans="4:10">
      <c r="D201" s="133"/>
      <c r="E201" s="133"/>
      <c r="G201" s="133"/>
      <c r="H201" s="135"/>
      <c r="J201" s="136"/>
    </row>
    <row r="202" spans="4:10">
      <c r="D202" s="133"/>
      <c r="E202" s="133"/>
      <c r="G202" s="133"/>
      <c r="H202" s="135"/>
      <c r="J202" s="136"/>
    </row>
    <row r="203" spans="4:10">
      <c r="D203" s="133"/>
      <c r="E203" s="133"/>
      <c r="G203" s="133"/>
      <c r="H203" s="135"/>
      <c r="J203" s="136"/>
    </row>
    <row r="204" spans="4:10">
      <c r="D204" s="133"/>
      <c r="E204" s="133"/>
      <c r="G204" s="133"/>
      <c r="H204" s="135"/>
      <c r="J204" s="136"/>
    </row>
    <row r="205" spans="4:10">
      <c r="D205" s="133"/>
      <c r="E205" s="133"/>
      <c r="G205" s="133"/>
      <c r="H205" s="135"/>
      <c r="J205" s="136"/>
    </row>
    <row r="206" spans="4:10">
      <c r="D206" s="133"/>
      <c r="E206" s="133"/>
      <c r="G206" s="133"/>
      <c r="H206" s="135"/>
      <c r="J206" s="136"/>
    </row>
    <row r="207" spans="4:10">
      <c r="D207" s="133"/>
      <c r="E207" s="133"/>
      <c r="G207" s="133"/>
      <c r="H207" s="135"/>
      <c r="J207" s="136"/>
    </row>
    <row r="208" spans="4:10">
      <c r="D208" s="133"/>
      <c r="E208" s="133"/>
      <c r="G208" s="133"/>
      <c r="H208" s="135"/>
      <c r="J208" s="136"/>
    </row>
    <row r="209" spans="4:10">
      <c r="D209" s="133"/>
      <c r="E209" s="133"/>
      <c r="G209" s="133"/>
      <c r="H209" s="135"/>
      <c r="J209" s="136"/>
    </row>
    <row r="210" spans="4:10">
      <c r="D210" s="133"/>
      <c r="E210" s="133"/>
      <c r="G210" s="133"/>
      <c r="H210" s="135"/>
      <c r="J210" s="136"/>
    </row>
    <row r="211" spans="4:10">
      <c r="D211" s="133"/>
      <c r="E211" s="133"/>
      <c r="G211" s="133"/>
      <c r="H211" s="135"/>
      <c r="J211" s="136"/>
    </row>
    <row r="212" spans="4:10">
      <c r="D212" s="133"/>
      <c r="E212" s="133"/>
      <c r="G212" s="133"/>
      <c r="H212" s="135"/>
      <c r="J212" s="136"/>
    </row>
    <row r="213" spans="4:10">
      <c r="D213" s="133"/>
      <c r="E213" s="133"/>
      <c r="G213" s="133"/>
      <c r="H213" s="135"/>
      <c r="J213" s="136"/>
    </row>
    <row r="214" spans="4:10">
      <c r="D214" s="133"/>
      <c r="E214" s="133"/>
      <c r="G214" s="133"/>
      <c r="H214" s="135"/>
      <c r="J214" s="136"/>
    </row>
    <row r="215" spans="4:10">
      <c r="D215" s="133"/>
      <c r="E215" s="133"/>
      <c r="G215" s="133"/>
      <c r="H215" s="135"/>
      <c r="J215" s="136"/>
    </row>
    <row r="216" spans="4:10">
      <c r="D216" s="133"/>
      <c r="E216" s="133"/>
      <c r="G216" s="133"/>
      <c r="H216" s="135"/>
      <c r="J216" s="136"/>
    </row>
    <row r="217" spans="4:10">
      <c r="D217" s="133"/>
      <c r="E217" s="133"/>
      <c r="G217" s="133"/>
      <c r="H217" s="135"/>
      <c r="J217" s="136"/>
    </row>
    <row r="218" spans="4:10">
      <c r="D218" s="133"/>
      <c r="E218" s="133"/>
      <c r="G218" s="133"/>
      <c r="H218" s="135"/>
      <c r="J218" s="136"/>
    </row>
    <row r="219" spans="4:10">
      <c r="D219" s="133"/>
      <c r="E219" s="133"/>
      <c r="G219" s="133"/>
      <c r="H219" s="135"/>
      <c r="J219" s="136"/>
    </row>
    <row r="220" spans="4:10">
      <c r="D220" s="133"/>
      <c r="E220" s="133"/>
      <c r="G220" s="133"/>
      <c r="H220" s="135"/>
      <c r="J220" s="136"/>
    </row>
    <row r="221" spans="4:10">
      <c r="D221" s="133"/>
      <c r="E221" s="133"/>
      <c r="G221" s="133"/>
      <c r="H221" s="135"/>
      <c r="J221" s="136"/>
    </row>
    <row r="222" spans="4:10">
      <c r="D222" s="133"/>
      <c r="E222" s="133"/>
      <c r="G222" s="133"/>
      <c r="H222" s="135"/>
      <c r="J222" s="136"/>
    </row>
    <row r="223" spans="4:10">
      <c r="D223" s="133"/>
      <c r="E223" s="133"/>
      <c r="G223" s="133"/>
      <c r="H223" s="135"/>
      <c r="J223" s="136"/>
    </row>
    <row r="224" spans="4:10">
      <c r="D224" s="133"/>
      <c r="E224" s="133"/>
      <c r="G224" s="133"/>
      <c r="H224" s="135"/>
      <c r="J224" s="136"/>
    </row>
    <row r="225" spans="4:10">
      <c r="D225" s="133"/>
      <c r="E225" s="133"/>
      <c r="G225" s="133"/>
      <c r="H225" s="135"/>
      <c r="J225" s="136"/>
    </row>
    <row r="226" spans="4:10">
      <c r="D226" s="133"/>
      <c r="E226" s="133"/>
      <c r="G226" s="133"/>
      <c r="H226" s="135"/>
      <c r="J226" s="136"/>
    </row>
    <row r="227" spans="4:10">
      <c r="D227" s="133"/>
      <c r="E227" s="133"/>
      <c r="G227" s="133"/>
      <c r="H227" s="135"/>
      <c r="J227" s="136"/>
    </row>
    <row r="228" spans="4:10">
      <c r="D228" s="133"/>
      <c r="E228" s="133"/>
      <c r="G228" s="133"/>
      <c r="H228" s="135"/>
      <c r="J228" s="136"/>
    </row>
    <row r="229" spans="4:10">
      <c r="D229" s="133"/>
      <c r="E229" s="133"/>
      <c r="G229" s="133"/>
      <c r="H229" s="135"/>
      <c r="J229" s="136"/>
    </row>
    <row r="230" spans="4:10">
      <c r="D230" s="133"/>
      <c r="E230" s="133"/>
      <c r="G230" s="133"/>
      <c r="H230" s="135"/>
      <c r="J230" s="136"/>
    </row>
    <row r="231" spans="4:10">
      <c r="D231" s="133"/>
      <c r="E231" s="133"/>
      <c r="G231" s="133"/>
      <c r="H231" s="135"/>
      <c r="J231" s="136"/>
    </row>
    <row r="232" spans="4:10">
      <c r="D232" s="133"/>
      <c r="E232" s="133"/>
      <c r="G232" s="133"/>
      <c r="H232" s="135"/>
      <c r="J232" s="136"/>
    </row>
    <row r="233" spans="4:10">
      <c r="D233" s="133"/>
      <c r="E233" s="133"/>
      <c r="G233" s="133"/>
      <c r="H233" s="135"/>
      <c r="J233" s="136"/>
    </row>
    <row r="234" spans="4:10">
      <c r="D234" s="133"/>
      <c r="E234" s="133"/>
      <c r="G234" s="133"/>
      <c r="H234" s="135"/>
      <c r="J234" s="136"/>
    </row>
    <row r="235" spans="4:10">
      <c r="D235" s="133"/>
      <c r="E235" s="133"/>
      <c r="G235" s="133"/>
      <c r="H235" s="135"/>
      <c r="J235" s="136"/>
    </row>
    <row r="236" spans="4:10">
      <c r="D236" s="133"/>
      <c r="E236" s="133"/>
      <c r="G236" s="133"/>
      <c r="H236" s="135"/>
      <c r="J236" s="136"/>
    </row>
    <row r="237" spans="4:10">
      <c r="D237" s="133"/>
      <c r="E237" s="133"/>
      <c r="G237" s="133"/>
      <c r="H237" s="135"/>
      <c r="J237" s="136"/>
    </row>
    <row r="238" spans="4:10">
      <c r="D238" s="133"/>
      <c r="E238" s="133"/>
      <c r="G238" s="133"/>
      <c r="H238" s="135"/>
      <c r="J238" s="136"/>
    </row>
    <row r="239" spans="4:10">
      <c r="D239" s="133"/>
      <c r="E239" s="133"/>
      <c r="G239" s="133"/>
      <c r="H239" s="135"/>
      <c r="J239" s="136"/>
    </row>
    <row r="240" spans="4:10">
      <c r="D240" s="133"/>
      <c r="E240" s="133"/>
      <c r="G240" s="133"/>
      <c r="H240" s="135"/>
      <c r="J240" s="136"/>
    </row>
    <row r="241" spans="4:10">
      <c r="D241" s="133"/>
      <c r="E241" s="133"/>
      <c r="G241" s="133"/>
      <c r="H241" s="135"/>
      <c r="J241" s="136"/>
    </row>
    <row r="242" spans="4:10">
      <c r="D242" s="133"/>
      <c r="E242" s="133"/>
      <c r="G242" s="133"/>
      <c r="H242" s="135"/>
      <c r="J242" s="136"/>
    </row>
    <row r="243" spans="4:10">
      <c r="D243" s="133"/>
      <c r="E243" s="133"/>
      <c r="G243" s="133"/>
      <c r="H243" s="135"/>
      <c r="J243" s="136"/>
    </row>
    <row r="244" spans="4:10">
      <c r="D244" s="133"/>
      <c r="E244" s="133"/>
      <c r="G244" s="133"/>
      <c r="H244" s="135"/>
      <c r="J244" s="136"/>
    </row>
    <row r="245" spans="4:10">
      <c r="D245" s="133"/>
      <c r="E245" s="133"/>
      <c r="G245" s="133"/>
      <c r="H245" s="135"/>
      <c r="J245" s="136"/>
    </row>
    <row r="246" spans="4:10">
      <c r="D246" s="133"/>
      <c r="E246" s="133"/>
      <c r="G246" s="133"/>
      <c r="H246" s="135"/>
      <c r="J246" s="136"/>
    </row>
    <row r="247" spans="4:10">
      <c r="D247" s="133"/>
      <c r="E247" s="133"/>
      <c r="G247" s="133"/>
      <c r="H247" s="135"/>
      <c r="J247" s="136"/>
    </row>
    <row r="248" spans="4:10">
      <c r="D248" s="133"/>
      <c r="E248" s="133"/>
      <c r="G248" s="133"/>
      <c r="H248" s="135"/>
      <c r="J248" s="136"/>
    </row>
    <row r="249" spans="4:10">
      <c r="D249" s="133"/>
      <c r="E249" s="133"/>
      <c r="G249" s="133"/>
      <c r="H249" s="135"/>
      <c r="J249" s="136"/>
    </row>
    <row r="250" spans="4:10">
      <c r="D250" s="133"/>
      <c r="E250" s="133"/>
      <c r="G250" s="133"/>
      <c r="H250" s="135"/>
      <c r="J250" s="136"/>
    </row>
    <row r="251" spans="4:10">
      <c r="D251" s="133"/>
      <c r="E251" s="133"/>
      <c r="G251" s="133"/>
      <c r="H251" s="135"/>
      <c r="J251" s="136"/>
    </row>
    <row r="252" spans="4:10">
      <c r="D252" s="133"/>
      <c r="E252" s="133"/>
      <c r="G252" s="133"/>
      <c r="H252" s="135"/>
      <c r="J252" s="136"/>
    </row>
    <row r="253" spans="4:10">
      <c r="D253" s="133"/>
      <c r="E253" s="133"/>
      <c r="G253" s="133"/>
      <c r="H253" s="135"/>
      <c r="J253" s="136"/>
    </row>
    <row r="254" spans="4:10">
      <c r="D254" s="133"/>
      <c r="E254" s="133"/>
      <c r="G254" s="133"/>
      <c r="H254" s="135"/>
      <c r="J254" s="136"/>
    </row>
    <row r="255" spans="4:10">
      <c r="D255" s="133"/>
      <c r="E255" s="133"/>
      <c r="G255" s="133"/>
      <c r="H255" s="135"/>
      <c r="J255" s="136"/>
    </row>
    <row r="256" spans="4:10">
      <c r="D256" s="133"/>
      <c r="E256" s="133"/>
      <c r="G256" s="133"/>
      <c r="H256" s="135"/>
      <c r="J256" s="136"/>
    </row>
    <row r="257" spans="4:10">
      <c r="D257" s="133"/>
      <c r="E257" s="133"/>
      <c r="G257" s="133"/>
      <c r="H257" s="135"/>
      <c r="J257" s="136"/>
    </row>
    <row r="258" spans="4:10">
      <c r="D258" s="133"/>
      <c r="E258" s="133"/>
      <c r="G258" s="133"/>
      <c r="H258" s="135"/>
      <c r="J258" s="136"/>
    </row>
    <row r="259" spans="4:10">
      <c r="D259" s="133"/>
      <c r="E259" s="133"/>
      <c r="G259" s="133"/>
      <c r="H259" s="135"/>
      <c r="J259" s="136"/>
    </row>
    <row r="260" spans="4:10">
      <c r="D260" s="133"/>
      <c r="E260" s="133"/>
      <c r="G260" s="133"/>
      <c r="H260" s="135"/>
      <c r="J260" s="136"/>
    </row>
    <row r="261" spans="4:10">
      <c r="D261" s="133"/>
      <c r="E261" s="133"/>
      <c r="G261" s="133"/>
      <c r="H261" s="135"/>
      <c r="J261" s="136"/>
    </row>
    <row r="262" spans="4:10">
      <c r="D262" s="133"/>
      <c r="E262" s="133"/>
      <c r="G262" s="133"/>
      <c r="H262" s="135"/>
      <c r="J262" s="136"/>
    </row>
    <row r="263" spans="4:10">
      <c r="D263" s="133"/>
      <c r="E263" s="133"/>
      <c r="G263" s="133"/>
      <c r="H263" s="135"/>
      <c r="J263" s="136"/>
    </row>
    <row r="264" spans="4:10">
      <c r="D264" s="133"/>
      <c r="E264" s="133"/>
      <c r="G264" s="133"/>
      <c r="H264" s="135"/>
      <c r="J264" s="136"/>
    </row>
    <row r="265" spans="4:10">
      <c r="D265" s="133"/>
      <c r="E265" s="133"/>
      <c r="G265" s="133"/>
      <c r="H265" s="135"/>
      <c r="J265" s="136"/>
    </row>
    <row r="266" spans="4:10">
      <c r="D266" s="133"/>
      <c r="E266" s="133"/>
      <c r="G266" s="133"/>
      <c r="H266" s="135"/>
      <c r="J266" s="136"/>
    </row>
    <row r="267" spans="4:10">
      <c r="D267" s="133"/>
      <c r="E267" s="133"/>
      <c r="G267" s="133"/>
      <c r="H267" s="135"/>
      <c r="J267" s="136"/>
    </row>
    <row r="268" spans="4:10">
      <c r="D268" s="133"/>
      <c r="E268" s="133"/>
      <c r="G268" s="133"/>
      <c r="H268" s="135"/>
      <c r="J268" s="136"/>
    </row>
    <row r="269" spans="4:10">
      <c r="D269" s="133"/>
      <c r="E269" s="133"/>
      <c r="G269" s="133"/>
      <c r="H269" s="135"/>
      <c r="J269" s="136"/>
    </row>
    <row r="270" spans="4:10">
      <c r="D270" s="133"/>
      <c r="E270" s="133"/>
      <c r="G270" s="133"/>
      <c r="H270" s="135"/>
      <c r="J270" s="136"/>
    </row>
    <row r="271" spans="4:10">
      <c r="D271" s="133"/>
      <c r="E271" s="133"/>
      <c r="G271" s="133"/>
      <c r="H271" s="135"/>
      <c r="J271" s="136"/>
    </row>
    <row r="272" spans="4:10">
      <c r="D272" s="133"/>
      <c r="E272" s="133"/>
      <c r="G272" s="133"/>
      <c r="H272" s="135"/>
      <c r="J272" s="136"/>
    </row>
    <row r="273" spans="4:10">
      <c r="D273" s="133"/>
      <c r="E273" s="133"/>
      <c r="G273" s="133"/>
      <c r="H273" s="135"/>
      <c r="J273" s="136"/>
    </row>
    <row r="274" spans="4:10">
      <c r="D274" s="133"/>
      <c r="E274" s="133"/>
      <c r="G274" s="133"/>
      <c r="H274" s="135"/>
      <c r="J274" s="136"/>
    </row>
    <row r="275" spans="4:10">
      <c r="D275" s="133"/>
      <c r="E275" s="133"/>
      <c r="G275" s="133"/>
      <c r="H275" s="135"/>
      <c r="J275" s="136"/>
    </row>
    <row r="276" spans="4:10">
      <c r="D276" s="133"/>
      <c r="E276" s="133"/>
      <c r="G276" s="133"/>
      <c r="H276" s="135"/>
      <c r="J276" s="136"/>
    </row>
    <row r="277" spans="4:10">
      <c r="D277" s="133"/>
      <c r="E277" s="133"/>
      <c r="G277" s="133"/>
      <c r="H277" s="135"/>
      <c r="J277" s="136"/>
    </row>
    <row r="278" spans="4:10">
      <c r="D278" s="133"/>
      <c r="E278" s="133"/>
      <c r="G278" s="133"/>
      <c r="H278" s="135"/>
      <c r="J278" s="136"/>
    </row>
    <row r="279" spans="4:10">
      <c r="D279" s="133"/>
      <c r="E279" s="133"/>
      <c r="G279" s="133"/>
      <c r="H279" s="135"/>
      <c r="J279" s="136"/>
    </row>
    <row r="280" spans="4:10">
      <c r="D280" s="133"/>
      <c r="E280" s="133"/>
      <c r="G280" s="133"/>
      <c r="H280" s="135"/>
      <c r="J280" s="136"/>
    </row>
    <row r="281" spans="4:10">
      <c r="D281" s="133"/>
      <c r="E281" s="133"/>
      <c r="G281" s="133"/>
      <c r="H281" s="135"/>
      <c r="J281" s="136"/>
    </row>
    <row r="282" spans="4:10">
      <c r="D282" s="133"/>
      <c r="E282" s="133"/>
      <c r="G282" s="133"/>
      <c r="H282" s="135"/>
      <c r="J282" s="136"/>
    </row>
    <row r="283" spans="4:10">
      <c r="D283" s="133"/>
      <c r="E283" s="133"/>
      <c r="G283" s="133"/>
      <c r="H283" s="135"/>
      <c r="J283" s="136"/>
    </row>
    <row r="284" spans="4:10">
      <c r="D284" s="133"/>
      <c r="E284" s="133"/>
      <c r="G284" s="133"/>
      <c r="H284" s="135"/>
      <c r="J284" s="136"/>
    </row>
    <row r="285" spans="4:10">
      <c r="D285" s="133"/>
      <c r="E285" s="133"/>
      <c r="G285" s="133"/>
      <c r="H285" s="135"/>
      <c r="J285" s="136"/>
    </row>
    <row r="286" spans="4:10">
      <c r="D286" s="133"/>
      <c r="E286" s="133"/>
      <c r="G286" s="133"/>
      <c r="H286" s="135"/>
      <c r="J286" s="136"/>
    </row>
    <row r="287" spans="4:10">
      <c r="D287" s="133"/>
      <c r="E287" s="133"/>
      <c r="G287" s="133"/>
      <c r="H287" s="135"/>
      <c r="J287" s="136"/>
    </row>
    <row r="288" spans="4:10">
      <c r="D288" s="133"/>
      <c r="E288" s="133"/>
      <c r="G288" s="133"/>
      <c r="H288" s="135"/>
      <c r="J288" s="136"/>
    </row>
    <row r="289" spans="4:10">
      <c r="D289" s="133"/>
      <c r="E289" s="133"/>
      <c r="G289" s="133"/>
      <c r="H289" s="135"/>
      <c r="J289" s="136"/>
    </row>
    <row r="290" spans="4:10">
      <c r="D290" s="133"/>
      <c r="E290" s="133"/>
      <c r="G290" s="133"/>
      <c r="H290" s="135"/>
      <c r="J290" s="136"/>
    </row>
    <row r="291" spans="4:10">
      <c r="D291" s="133"/>
      <c r="E291" s="133"/>
      <c r="G291" s="133"/>
      <c r="H291" s="135"/>
      <c r="J291" s="136"/>
    </row>
    <row r="292" spans="4:10">
      <c r="D292" s="133"/>
      <c r="E292" s="133"/>
      <c r="G292" s="133"/>
      <c r="H292" s="135"/>
      <c r="J292" s="136"/>
    </row>
    <row r="293" spans="4:10">
      <c r="D293" s="133"/>
      <c r="E293" s="133"/>
      <c r="G293" s="133"/>
      <c r="H293" s="135"/>
      <c r="J293" s="136"/>
    </row>
    <row r="294" spans="4:10">
      <c r="D294" s="133"/>
      <c r="E294" s="133"/>
      <c r="G294" s="133"/>
      <c r="H294" s="135"/>
      <c r="J294" s="136"/>
    </row>
    <row r="295" spans="4:10">
      <c r="D295" s="133"/>
      <c r="E295" s="133"/>
      <c r="G295" s="133"/>
      <c r="H295" s="135"/>
      <c r="J295" s="136"/>
    </row>
    <row r="296" spans="4:10">
      <c r="D296" s="133"/>
      <c r="E296" s="133"/>
      <c r="G296" s="133"/>
      <c r="H296" s="135"/>
      <c r="J296" s="136"/>
    </row>
    <row r="297" spans="4:10">
      <c r="D297" s="133"/>
      <c r="E297" s="133"/>
      <c r="G297" s="133"/>
      <c r="H297" s="135"/>
      <c r="J297" s="136"/>
    </row>
    <row r="298" spans="4:10">
      <c r="D298" s="133"/>
      <c r="E298" s="133"/>
      <c r="G298" s="133"/>
      <c r="H298" s="135"/>
      <c r="J298" s="136"/>
    </row>
    <row r="299" spans="4:10">
      <c r="D299" s="133"/>
      <c r="E299" s="133"/>
      <c r="G299" s="133"/>
      <c r="H299" s="135"/>
      <c r="J299" s="136"/>
    </row>
    <row r="300" spans="4:10">
      <c r="D300" s="133"/>
      <c r="E300" s="133"/>
      <c r="G300" s="133"/>
      <c r="H300" s="135"/>
      <c r="J300" s="136"/>
    </row>
    <row r="301" spans="4:10">
      <c r="D301" s="133"/>
      <c r="E301" s="133"/>
      <c r="G301" s="133"/>
      <c r="H301" s="135"/>
      <c r="J301" s="136"/>
    </row>
    <row r="302" spans="4:10">
      <c r="D302" s="133"/>
      <c r="E302" s="133"/>
      <c r="G302" s="133"/>
      <c r="H302" s="135"/>
      <c r="J302" s="136"/>
    </row>
    <row r="303" spans="4:10">
      <c r="D303" s="133"/>
      <c r="E303" s="133"/>
      <c r="G303" s="133"/>
      <c r="H303" s="135"/>
      <c r="J303" s="136"/>
    </row>
    <row r="304" spans="4:10">
      <c r="D304" s="133"/>
      <c r="E304" s="133"/>
      <c r="G304" s="133"/>
      <c r="H304" s="135"/>
      <c r="J304" s="136"/>
    </row>
    <row r="305" spans="4:10">
      <c r="D305" s="133"/>
      <c r="E305" s="133"/>
      <c r="G305" s="133"/>
      <c r="H305" s="135"/>
      <c r="J305" s="136"/>
    </row>
    <row r="306" spans="4:10">
      <c r="D306" s="133"/>
      <c r="E306" s="133"/>
      <c r="G306" s="133"/>
      <c r="H306" s="135"/>
      <c r="J306" s="136"/>
    </row>
    <row r="307" spans="4:10">
      <c r="D307" s="133"/>
      <c r="E307" s="133"/>
      <c r="G307" s="133"/>
      <c r="H307" s="135"/>
      <c r="J307" s="136"/>
    </row>
    <row r="308" spans="4:10">
      <c r="D308" s="133"/>
      <c r="E308" s="133"/>
      <c r="G308" s="133"/>
      <c r="H308" s="135"/>
      <c r="J308" s="136"/>
    </row>
    <row r="309" spans="4:10">
      <c r="D309" s="133"/>
      <c r="E309" s="133"/>
      <c r="G309" s="133"/>
      <c r="H309" s="135"/>
      <c r="J309" s="136"/>
    </row>
    <row r="310" spans="4:10">
      <c r="D310" s="133"/>
      <c r="E310" s="133"/>
      <c r="G310" s="133"/>
      <c r="H310" s="135"/>
      <c r="J310" s="136"/>
    </row>
    <row r="311" spans="4:10">
      <c r="D311" s="133"/>
      <c r="E311" s="133"/>
      <c r="G311" s="133"/>
      <c r="H311" s="135"/>
      <c r="J311" s="136"/>
    </row>
    <row r="312" spans="4:10">
      <c r="D312" s="133"/>
      <c r="E312" s="133"/>
      <c r="G312" s="133"/>
      <c r="H312" s="135"/>
      <c r="J312" s="136"/>
    </row>
    <row r="313" spans="4:10">
      <c r="D313" s="133"/>
      <c r="E313" s="133"/>
      <c r="G313" s="133"/>
      <c r="H313" s="135"/>
      <c r="J313" s="136"/>
    </row>
    <row r="314" spans="4:10">
      <c r="D314" s="133"/>
      <c r="E314" s="133"/>
      <c r="G314" s="133"/>
      <c r="H314" s="135"/>
      <c r="J314" s="136"/>
    </row>
    <row r="315" spans="4:10">
      <c r="D315" s="133"/>
      <c r="E315" s="133"/>
      <c r="G315" s="133"/>
      <c r="H315" s="135"/>
      <c r="J315" s="136"/>
    </row>
    <row r="316" spans="4:10">
      <c r="D316" s="133"/>
      <c r="E316" s="133"/>
      <c r="G316" s="133"/>
      <c r="H316" s="135"/>
      <c r="J316" s="136"/>
    </row>
    <row r="317" spans="4:10">
      <c r="D317" s="133"/>
      <c r="E317" s="133"/>
      <c r="G317" s="133"/>
      <c r="H317" s="135"/>
      <c r="J317" s="136"/>
    </row>
    <row r="318" spans="4:10">
      <c r="D318" s="133"/>
      <c r="E318" s="133"/>
      <c r="G318" s="133"/>
      <c r="H318" s="135"/>
      <c r="J318" s="136"/>
    </row>
    <row r="319" spans="4:10">
      <c r="D319" s="133"/>
      <c r="E319" s="133"/>
      <c r="G319" s="133"/>
      <c r="H319" s="135"/>
      <c r="J319" s="136"/>
    </row>
    <row r="320" spans="4:10">
      <c r="D320" s="133"/>
      <c r="E320" s="133"/>
      <c r="G320" s="133"/>
      <c r="H320" s="135"/>
      <c r="J320" s="136"/>
    </row>
    <row r="321" spans="4:10">
      <c r="D321" s="133"/>
      <c r="E321" s="133"/>
      <c r="G321" s="133"/>
      <c r="H321" s="135"/>
      <c r="J321" s="136"/>
    </row>
    <row r="322" spans="4:10">
      <c r="D322" s="133"/>
      <c r="E322" s="133"/>
      <c r="G322" s="133"/>
      <c r="H322" s="135"/>
      <c r="J322" s="136"/>
    </row>
    <row r="323" spans="4:10">
      <c r="D323" s="133"/>
      <c r="E323" s="133"/>
      <c r="G323" s="133"/>
      <c r="H323" s="135"/>
      <c r="J323" s="136"/>
    </row>
    <row r="324" spans="4:10">
      <c r="D324" s="133"/>
      <c r="E324" s="133"/>
      <c r="G324" s="133"/>
      <c r="H324" s="135"/>
      <c r="J324" s="136"/>
    </row>
    <row r="325" spans="4:10">
      <c r="D325" s="133"/>
      <c r="E325" s="133"/>
      <c r="G325" s="133"/>
      <c r="H325" s="135"/>
      <c r="J325" s="136"/>
    </row>
    <row r="326" spans="4:10">
      <c r="D326" s="133"/>
      <c r="E326" s="133"/>
      <c r="G326" s="133"/>
      <c r="H326" s="135"/>
      <c r="J326" s="136"/>
    </row>
    <row r="327" spans="4:10">
      <c r="D327" s="133"/>
      <c r="E327" s="133"/>
      <c r="G327" s="133"/>
      <c r="H327" s="135"/>
      <c r="J327" s="136"/>
    </row>
    <row r="328" spans="4:10">
      <c r="D328" s="133"/>
      <c r="E328" s="133"/>
      <c r="G328" s="133"/>
      <c r="H328" s="135"/>
      <c r="J328" s="136"/>
    </row>
    <row r="329" spans="4:10">
      <c r="D329" s="133"/>
      <c r="E329" s="133"/>
      <c r="G329" s="133"/>
      <c r="H329" s="135"/>
      <c r="J329" s="136"/>
    </row>
    <row r="330" spans="4:10">
      <c r="D330" s="133"/>
      <c r="E330" s="133"/>
      <c r="G330" s="133"/>
      <c r="H330" s="135"/>
      <c r="J330" s="136"/>
    </row>
    <row r="331" spans="4:10">
      <c r="D331" s="133"/>
      <c r="E331" s="133"/>
      <c r="G331" s="133"/>
      <c r="H331" s="135"/>
      <c r="J331" s="136"/>
    </row>
    <row r="332" spans="4:10">
      <c r="D332" s="133"/>
      <c r="E332" s="133"/>
      <c r="G332" s="133"/>
      <c r="H332" s="135"/>
      <c r="J332" s="136"/>
    </row>
    <row r="333" spans="4:10">
      <c r="D333" s="133"/>
      <c r="E333" s="133"/>
      <c r="G333" s="133"/>
      <c r="H333" s="135"/>
      <c r="J333" s="136"/>
    </row>
    <row r="334" spans="4:10">
      <c r="D334" s="133"/>
      <c r="E334" s="133"/>
      <c r="G334" s="133"/>
      <c r="H334" s="135"/>
      <c r="J334" s="136"/>
    </row>
    <row r="335" spans="4:10">
      <c r="D335" s="133"/>
      <c r="E335" s="133"/>
      <c r="G335" s="133"/>
      <c r="H335" s="135"/>
      <c r="J335" s="136"/>
    </row>
    <row r="336" spans="4:10">
      <c r="D336" s="133"/>
      <c r="E336" s="133"/>
      <c r="G336" s="133"/>
      <c r="H336" s="135"/>
      <c r="J336" s="136"/>
    </row>
    <row r="337" spans="4:10">
      <c r="D337" s="133"/>
      <c r="E337" s="133"/>
      <c r="G337" s="133"/>
      <c r="H337" s="135"/>
      <c r="J337" s="136"/>
    </row>
    <row r="338" spans="4:10">
      <c r="D338" s="133"/>
      <c r="E338" s="133"/>
      <c r="G338" s="133"/>
      <c r="H338" s="135"/>
      <c r="J338" s="136"/>
    </row>
    <row r="339" spans="4:10">
      <c r="D339" s="133"/>
      <c r="E339" s="133"/>
      <c r="G339" s="133"/>
      <c r="H339" s="135"/>
      <c r="J339" s="136"/>
    </row>
    <row r="340" spans="4:10">
      <c r="D340" s="133"/>
      <c r="E340" s="133"/>
      <c r="G340" s="133"/>
      <c r="H340" s="135"/>
      <c r="J340" s="136"/>
    </row>
    <row r="341" spans="4:10">
      <c r="D341" s="133"/>
      <c r="E341" s="133"/>
      <c r="G341" s="133"/>
      <c r="H341" s="135"/>
      <c r="J341" s="136"/>
    </row>
    <row r="342" spans="4:10">
      <c r="D342" s="133"/>
      <c r="E342" s="133"/>
      <c r="G342" s="133"/>
      <c r="H342" s="135"/>
      <c r="J342" s="136"/>
    </row>
    <row r="343" spans="4:10">
      <c r="D343" s="133"/>
      <c r="E343" s="133"/>
      <c r="G343" s="133"/>
      <c r="H343" s="135"/>
      <c r="J343" s="136"/>
    </row>
    <row r="344" spans="4:10">
      <c r="D344" s="133"/>
      <c r="E344" s="133"/>
      <c r="G344" s="133"/>
      <c r="H344" s="135"/>
      <c r="J344" s="136"/>
    </row>
    <row r="345" spans="4:10">
      <c r="D345" s="133"/>
      <c r="E345" s="133"/>
      <c r="G345" s="133"/>
      <c r="H345" s="135"/>
      <c r="J345" s="136"/>
    </row>
    <row r="346" spans="4:10">
      <c r="D346" s="133"/>
      <c r="E346" s="133"/>
      <c r="G346" s="133"/>
      <c r="H346" s="135"/>
      <c r="J346" s="136"/>
    </row>
    <row r="347" spans="4:10">
      <c r="D347" s="133"/>
      <c r="E347" s="133"/>
      <c r="G347" s="133"/>
      <c r="H347" s="135"/>
      <c r="J347" s="136"/>
    </row>
    <row r="348" spans="4:10">
      <c r="D348" s="133"/>
      <c r="E348" s="133"/>
      <c r="G348" s="133"/>
      <c r="H348" s="135"/>
      <c r="J348" s="136"/>
    </row>
    <row r="349" spans="4:10">
      <c r="D349" s="133"/>
      <c r="E349" s="133"/>
      <c r="G349" s="133"/>
      <c r="H349" s="135"/>
      <c r="J349" s="136"/>
    </row>
    <row r="350" spans="4:10">
      <c r="D350" s="133"/>
      <c r="E350" s="133"/>
      <c r="G350" s="133"/>
      <c r="H350" s="135"/>
      <c r="J350" s="136"/>
    </row>
    <row r="351" spans="4:10">
      <c r="D351" s="133"/>
      <c r="E351" s="133"/>
      <c r="G351" s="133"/>
      <c r="H351" s="135"/>
      <c r="J351" s="136"/>
    </row>
    <row r="352" spans="4:10">
      <c r="D352" s="133"/>
      <c r="E352" s="133"/>
      <c r="G352" s="133"/>
      <c r="H352" s="135"/>
      <c r="J352" s="136"/>
    </row>
    <row r="353" spans="4:10">
      <c r="D353" s="133"/>
      <c r="E353" s="133"/>
      <c r="G353" s="133"/>
      <c r="H353" s="135"/>
      <c r="J353" s="136"/>
    </row>
    <row r="354" spans="4:10">
      <c r="D354" s="133"/>
      <c r="E354" s="133"/>
      <c r="G354" s="133"/>
      <c r="H354" s="135"/>
      <c r="J354" s="136"/>
    </row>
    <row r="355" spans="4:10">
      <c r="D355" s="133"/>
      <c r="E355" s="133"/>
      <c r="G355" s="133"/>
      <c r="H355" s="135"/>
      <c r="J355" s="136"/>
    </row>
    <row r="356" spans="4:10">
      <c r="D356" s="133"/>
      <c r="E356" s="133"/>
      <c r="G356" s="133"/>
      <c r="H356" s="135"/>
      <c r="J356" s="136"/>
    </row>
    <row r="357" spans="4:10">
      <c r="D357" s="133"/>
      <c r="E357" s="133"/>
      <c r="G357" s="133"/>
      <c r="H357" s="135"/>
      <c r="J357" s="136"/>
    </row>
    <row r="358" spans="4:10">
      <c r="D358" s="133"/>
      <c r="E358" s="133"/>
      <c r="G358" s="133"/>
      <c r="H358" s="135"/>
      <c r="J358" s="136"/>
    </row>
    <row r="359" spans="4:10">
      <c r="D359" s="133"/>
      <c r="E359" s="133"/>
      <c r="G359" s="133"/>
      <c r="H359" s="135"/>
      <c r="J359" s="136"/>
    </row>
    <row r="360" spans="4:10">
      <c r="D360" s="133"/>
      <c r="E360" s="133"/>
      <c r="G360" s="133"/>
      <c r="H360" s="135"/>
      <c r="J360" s="136"/>
    </row>
    <row r="361" spans="4:10">
      <c r="D361" s="133"/>
      <c r="E361" s="133"/>
      <c r="G361" s="133"/>
      <c r="H361" s="135"/>
      <c r="J361" s="136"/>
    </row>
    <row r="362" spans="4:10">
      <c r="D362" s="133"/>
      <c r="E362" s="133"/>
      <c r="G362" s="133"/>
      <c r="H362" s="135"/>
      <c r="J362" s="136"/>
    </row>
    <row r="363" spans="4:10">
      <c r="D363" s="133"/>
      <c r="E363" s="133"/>
      <c r="G363" s="133"/>
      <c r="H363" s="135"/>
      <c r="J363" s="136"/>
    </row>
    <row r="364" spans="4:10">
      <c r="D364" s="133"/>
      <c r="E364" s="133"/>
      <c r="G364" s="133"/>
      <c r="H364" s="135"/>
      <c r="J364" s="136"/>
    </row>
    <row r="365" spans="4:10">
      <c r="D365" s="133"/>
      <c r="E365" s="133"/>
      <c r="G365" s="133"/>
      <c r="H365" s="135"/>
      <c r="J365" s="136"/>
    </row>
    <row r="366" spans="4:10">
      <c r="D366" s="133"/>
      <c r="E366" s="133"/>
      <c r="G366" s="133"/>
      <c r="H366" s="135"/>
      <c r="J366" s="136"/>
    </row>
    <row r="367" spans="4:10">
      <c r="D367" s="133"/>
      <c r="E367" s="133"/>
      <c r="G367" s="133"/>
      <c r="H367" s="135"/>
      <c r="J367" s="136"/>
    </row>
    <row r="368" spans="4:10">
      <c r="D368" s="133"/>
      <c r="E368" s="133"/>
      <c r="G368" s="133"/>
      <c r="H368" s="135"/>
      <c r="J368" s="136"/>
    </row>
    <row r="369" spans="4:10">
      <c r="D369" s="133"/>
      <c r="E369" s="133"/>
      <c r="G369" s="133"/>
      <c r="H369" s="135"/>
      <c r="J369" s="136"/>
    </row>
    <row r="370" spans="4:10">
      <c r="D370" s="133"/>
      <c r="E370" s="133"/>
      <c r="G370" s="133"/>
      <c r="H370" s="135"/>
      <c r="J370" s="136"/>
    </row>
    <row r="371" spans="4:10">
      <c r="D371" s="133"/>
      <c r="E371" s="133"/>
      <c r="G371" s="133"/>
      <c r="H371" s="135"/>
      <c r="J371" s="136"/>
    </row>
    <row r="372" spans="4:10">
      <c r="D372" s="133"/>
      <c r="E372" s="133"/>
      <c r="G372" s="133"/>
      <c r="H372" s="135"/>
      <c r="J372" s="136"/>
    </row>
    <row r="373" spans="4:10">
      <c r="D373" s="133"/>
      <c r="E373" s="133"/>
      <c r="G373" s="133"/>
      <c r="H373" s="135"/>
      <c r="J373" s="136"/>
    </row>
    <row r="374" spans="4:10">
      <c r="D374" s="133"/>
      <c r="E374" s="133"/>
      <c r="G374" s="133"/>
      <c r="H374" s="135"/>
      <c r="J374" s="136"/>
    </row>
    <row r="375" spans="4:10">
      <c r="D375" s="133"/>
      <c r="E375" s="133"/>
      <c r="G375" s="133"/>
      <c r="H375" s="135"/>
      <c r="J375" s="136"/>
    </row>
    <row r="376" spans="4:10">
      <c r="D376" s="133"/>
      <c r="E376" s="133"/>
      <c r="G376" s="133"/>
      <c r="H376" s="135"/>
      <c r="J376" s="136"/>
    </row>
    <row r="377" spans="4:10">
      <c r="D377" s="133"/>
      <c r="E377" s="133"/>
      <c r="G377" s="133"/>
      <c r="H377" s="135"/>
      <c r="J377" s="136"/>
    </row>
    <row r="378" spans="4:10">
      <c r="D378" s="133"/>
      <c r="E378" s="133"/>
      <c r="G378" s="133"/>
      <c r="H378" s="135"/>
      <c r="J378" s="136"/>
    </row>
    <row r="379" spans="4:10">
      <c r="D379" s="133"/>
      <c r="E379" s="133"/>
      <c r="G379" s="133"/>
      <c r="H379" s="135"/>
      <c r="J379" s="136"/>
    </row>
    <row r="380" spans="4:10">
      <c r="D380" s="133"/>
      <c r="E380" s="133"/>
      <c r="G380" s="133"/>
      <c r="H380" s="135"/>
      <c r="J380" s="136"/>
    </row>
    <row r="381" spans="4:10">
      <c r="D381" s="133"/>
      <c r="E381" s="133"/>
      <c r="G381" s="133"/>
      <c r="H381" s="135"/>
      <c r="J381" s="136"/>
    </row>
    <row r="382" spans="4:10">
      <c r="D382" s="133"/>
      <c r="E382" s="133"/>
      <c r="G382" s="133"/>
      <c r="H382" s="135"/>
      <c r="J382" s="136"/>
    </row>
    <row r="383" spans="4:10">
      <c r="D383" s="133"/>
      <c r="E383" s="133"/>
      <c r="G383" s="133"/>
      <c r="H383" s="135"/>
      <c r="J383" s="136"/>
    </row>
    <row r="384" spans="4:10">
      <c r="D384" s="133"/>
      <c r="E384" s="133"/>
      <c r="G384" s="133"/>
      <c r="H384" s="135"/>
      <c r="J384" s="136"/>
    </row>
    <row r="385" spans="4:10">
      <c r="D385" s="133"/>
      <c r="E385" s="133"/>
      <c r="G385" s="133"/>
      <c r="H385" s="135"/>
      <c r="J385" s="136"/>
    </row>
    <row r="386" spans="4:10">
      <c r="D386" s="133"/>
      <c r="E386" s="133"/>
      <c r="G386" s="133"/>
      <c r="H386" s="135"/>
      <c r="J386" s="136"/>
    </row>
    <row r="387" spans="4:10">
      <c r="D387" s="133"/>
      <c r="E387" s="133"/>
      <c r="G387" s="133"/>
      <c r="H387" s="135"/>
      <c r="J387" s="136"/>
    </row>
    <row r="388" spans="4:10">
      <c r="D388" s="133"/>
      <c r="E388" s="133"/>
      <c r="G388" s="133"/>
      <c r="H388" s="135"/>
      <c r="J388" s="136"/>
    </row>
    <row r="389" spans="4:10">
      <c r="D389" s="133"/>
      <c r="E389" s="133"/>
      <c r="G389" s="133"/>
      <c r="H389" s="135"/>
      <c r="J389" s="136"/>
    </row>
    <row r="390" spans="4:10">
      <c r="D390" s="133"/>
      <c r="E390" s="133"/>
      <c r="G390" s="133"/>
      <c r="H390" s="135"/>
      <c r="J390" s="136"/>
    </row>
    <row r="391" spans="4:10">
      <c r="D391" s="133"/>
      <c r="E391" s="133"/>
      <c r="G391" s="133"/>
      <c r="H391" s="135"/>
      <c r="J391" s="136"/>
    </row>
    <row r="392" spans="4:10">
      <c r="D392" s="133"/>
      <c r="E392" s="133"/>
      <c r="G392" s="133"/>
      <c r="H392" s="135"/>
      <c r="J392" s="136"/>
    </row>
    <row r="393" spans="4:10">
      <c r="D393" s="133"/>
      <c r="E393" s="133"/>
      <c r="G393" s="133"/>
      <c r="H393" s="135"/>
      <c r="J393" s="136"/>
    </row>
    <row r="394" spans="4:10">
      <c r="D394" s="133"/>
      <c r="E394" s="133"/>
      <c r="G394" s="133"/>
      <c r="H394" s="135"/>
      <c r="J394" s="136"/>
    </row>
    <row r="395" spans="4:10">
      <c r="D395" s="133"/>
      <c r="E395" s="133"/>
      <c r="G395" s="133"/>
      <c r="H395" s="135"/>
      <c r="J395" s="136"/>
    </row>
    <row r="396" spans="4:10">
      <c r="D396" s="133"/>
      <c r="E396" s="133"/>
      <c r="G396" s="133"/>
      <c r="H396" s="135"/>
      <c r="J396" s="136"/>
    </row>
    <row r="397" spans="4:10">
      <c r="D397" s="133"/>
      <c r="E397" s="133"/>
      <c r="G397" s="133"/>
      <c r="H397" s="135"/>
      <c r="J397" s="136"/>
    </row>
    <row r="398" spans="4:10">
      <c r="D398" s="133"/>
      <c r="E398" s="133"/>
      <c r="G398" s="133"/>
      <c r="H398" s="135"/>
      <c r="J398" s="136"/>
    </row>
    <row r="399" spans="4:10">
      <c r="D399" s="133"/>
      <c r="E399" s="133"/>
      <c r="G399" s="133"/>
      <c r="H399" s="135"/>
      <c r="J399" s="136"/>
    </row>
    <row r="400" spans="4:10">
      <c r="D400" s="133"/>
      <c r="E400" s="133"/>
      <c r="G400" s="133"/>
      <c r="H400" s="135"/>
      <c r="J400" s="136"/>
    </row>
    <row r="401" spans="4:10">
      <c r="D401" s="133"/>
      <c r="E401" s="133"/>
      <c r="G401" s="133"/>
      <c r="H401" s="135"/>
      <c r="J401" s="136"/>
    </row>
    <row r="402" spans="4:10">
      <c r="D402" s="133"/>
      <c r="E402" s="133"/>
      <c r="G402" s="133"/>
      <c r="H402" s="135"/>
      <c r="J402" s="136"/>
    </row>
    <row r="403" spans="4:10">
      <c r="D403" s="133"/>
      <c r="E403" s="133"/>
      <c r="G403" s="133"/>
      <c r="H403" s="135"/>
      <c r="J403" s="136"/>
    </row>
    <row r="404" spans="4:10">
      <c r="D404" s="133"/>
      <c r="E404" s="133"/>
      <c r="G404" s="133"/>
      <c r="H404" s="135"/>
      <c r="J404" s="136"/>
    </row>
    <row r="405" spans="4:10">
      <c r="D405" s="133"/>
      <c r="E405" s="133"/>
      <c r="G405" s="133"/>
      <c r="H405" s="135"/>
      <c r="J405" s="136"/>
    </row>
    <row r="406" spans="4:10">
      <c r="D406" s="133"/>
      <c r="E406" s="133"/>
      <c r="G406" s="133"/>
      <c r="H406" s="135"/>
      <c r="J406" s="136"/>
    </row>
    <row r="407" spans="4:10">
      <c r="D407" s="133"/>
      <c r="E407" s="133"/>
      <c r="G407" s="133"/>
      <c r="H407" s="135"/>
      <c r="J407" s="136"/>
    </row>
    <row r="408" spans="4:10">
      <c r="D408" s="133"/>
      <c r="E408" s="133"/>
      <c r="G408" s="133"/>
      <c r="H408" s="135"/>
      <c r="J408" s="136"/>
    </row>
    <row r="409" spans="4:10">
      <c r="D409" s="133"/>
      <c r="E409" s="133"/>
      <c r="G409" s="133"/>
      <c r="H409" s="135"/>
      <c r="J409" s="136"/>
    </row>
    <row r="410" spans="4:10">
      <c r="D410" s="133"/>
      <c r="E410" s="133"/>
      <c r="G410" s="133"/>
      <c r="H410" s="135"/>
      <c r="J410" s="136"/>
    </row>
    <row r="411" spans="4:10">
      <c r="D411" s="133"/>
      <c r="E411" s="133"/>
      <c r="G411" s="133"/>
      <c r="H411" s="135"/>
      <c r="J411" s="136"/>
    </row>
    <row r="412" spans="4:10">
      <c r="D412" s="133"/>
      <c r="E412" s="133"/>
      <c r="G412" s="133"/>
      <c r="H412" s="135"/>
      <c r="J412" s="136"/>
    </row>
    <row r="413" spans="4:10">
      <c r="D413" s="133"/>
      <c r="E413" s="133"/>
      <c r="G413" s="133"/>
      <c r="H413" s="135"/>
      <c r="J413" s="136"/>
    </row>
    <row r="414" spans="4:10">
      <c r="D414" s="133"/>
      <c r="E414" s="133"/>
      <c r="G414" s="133"/>
      <c r="H414" s="135"/>
      <c r="J414" s="136"/>
    </row>
    <row r="415" spans="4:10">
      <c r="D415" s="133"/>
      <c r="E415" s="133"/>
      <c r="G415" s="133"/>
      <c r="H415" s="135"/>
      <c r="J415" s="136"/>
    </row>
    <row r="416" spans="4:10">
      <c r="D416" s="133"/>
      <c r="E416" s="133"/>
      <c r="G416" s="133"/>
      <c r="H416" s="135"/>
      <c r="J416" s="136"/>
    </row>
    <row r="417" spans="4:10">
      <c r="D417" s="133"/>
      <c r="E417" s="133"/>
      <c r="G417" s="133"/>
      <c r="H417" s="135"/>
      <c r="J417" s="136"/>
    </row>
    <row r="418" spans="4:10">
      <c r="D418" s="133"/>
      <c r="E418" s="133"/>
      <c r="G418" s="133"/>
      <c r="H418" s="135"/>
      <c r="J418" s="136"/>
    </row>
    <row r="419" spans="4:10">
      <c r="D419" s="133"/>
      <c r="E419" s="133"/>
      <c r="G419" s="133"/>
      <c r="H419" s="135"/>
      <c r="J419" s="136"/>
    </row>
    <row r="420" spans="4:10">
      <c r="D420" s="133"/>
      <c r="E420" s="133"/>
      <c r="G420" s="133"/>
      <c r="H420" s="135"/>
      <c r="J420" s="136"/>
    </row>
    <row r="421" spans="4:10">
      <c r="D421" s="133"/>
      <c r="E421" s="133"/>
      <c r="G421" s="133"/>
      <c r="H421" s="135"/>
      <c r="J421" s="136"/>
    </row>
    <row r="422" spans="4:10">
      <c r="D422" s="133"/>
      <c r="E422" s="133"/>
      <c r="G422" s="133"/>
      <c r="H422" s="135"/>
      <c r="J422" s="136"/>
    </row>
    <row r="423" spans="4:10">
      <c r="D423" s="133"/>
      <c r="E423" s="133"/>
      <c r="G423" s="133"/>
      <c r="H423" s="135"/>
      <c r="J423" s="136"/>
    </row>
    <row r="424" spans="4:10">
      <c r="D424" s="133"/>
      <c r="E424" s="133"/>
      <c r="G424" s="133"/>
      <c r="H424" s="135"/>
      <c r="J424" s="136"/>
    </row>
    <row r="425" spans="4:10">
      <c r="D425" s="133"/>
      <c r="E425" s="133"/>
      <c r="G425" s="133"/>
      <c r="H425" s="135"/>
      <c r="J425" s="136"/>
    </row>
    <row r="426" spans="4:10">
      <c r="D426" s="133"/>
      <c r="E426" s="133"/>
      <c r="G426" s="133"/>
      <c r="H426" s="135"/>
      <c r="J426" s="136"/>
    </row>
    <row r="427" spans="4:10">
      <c r="D427" s="133"/>
      <c r="E427" s="133"/>
      <c r="G427" s="133"/>
      <c r="H427" s="135"/>
      <c r="J427" s="136"/>
    </row>
    <row r="428" spans="4:10">
      <c r="D428" s="133"/>
      <c r="E428" s="133"/>
      <c r="G428" s="133"/>
      <c r="H428" s="135"/>
      <c r="J428" s="136"/>
    </row>
    <row r="429" spans="4:10">
      <c r="D429" s="133"/>
      <c r="E429" s="133"/>
      <c r="G429" s="133"/>
      <c r="H429" s="135"/>
      <c r="J429" s="136"/>
    </row>
    <row r="430" spans="4:10">
      <c r="D430" s="133"/>
      <c r="E430" s="133"/>
      <c r="G430" s="133"/>
      <c r="H430" s="135"/>
      <c r="J430" s="136"/>
    </row>
    <row r="431" spans="4:10">
      <c r="D431" s="133"/>
      <c r="E431" s="133"/>
      <c r="G431" s="133"/>
      <c r="H431" s="135"/>
      <c r="J431" s="136"/>
    </row>
    <row r="432" spans="4:10">
      <c r="D432" s="133"/>
      <c r="E432" s="133"/>
      <c r="G432" s="133"/>
      <c r="H432" s="135"/>
      <c r="J432" s="136"/>
    </row>
    <row r="433" spans="4:10">
      <c r="D433" s="133"/>
      <c r="E433" s="133"/>
      <c r="G433" s="133"/>
      <c r="H433" s="135"/>
      <c r="J433" s="136"/>
    </row>
    <row r="434" spans="4:10">
      <c r="D434" s="133"/>
      <c r="E434" s="133"/>
      <c r="G434" s="133"/>
      <c r="H434" s="135"/>
      <c r="J434" s="136"/>
    </row>
    <row r="435" spans="4:10">
      <c r="D435" s="133"/>
      <c r="E435" s="133"/>
      <c r="G435" s="133"/>
      <c r="H435" s="135"/>
      <c r="J435" s="136"/>
    </row>
    <row r="436" spans="4:10">
      <c r="D436" s="133"/>
      <c r="E436" s="133"/>
      <c r="G436" s="133"/>
      <c r="H436" s="135"/>
      <c r="J436" s="136"/>
    </row>
    <row r="437" spans="4:10">
      <c r="D437" s="133"/>
      <c r="E437" s="133"/>
      <c r="G437" s="133"/>
      <c r="H437" s="135"/>
      <c r="J437" s="136"/>
    </row>
    <row r="438" spans="4:10">
      <c r="D438" s="133"/>
      <c r="E438" s="133"/>
      <c r="G438" s="133"/>
      <c r="H438" s="135"/>
      <c r="J438" s="136"/>
    </row>
    <row r="439" spans="4:10">
      <c r="D439" s="133"/>
      <c r="E439" s="133"/>
      <c r="G439" s="133"/>
      <c r="H439" s="135"/>
      <c r="J439" s="136"/>
    </row>
    <row r="440" spans="4:10">
      <c r="D440" s="133"/>
      <c r="E440" s="133"/>
      <c r="G440" s="133"/>
      <c r="H440" s="135"/>
      <c r="J440" s="136"/>
    </row>
    <row r="441" spans="4:10">
      <c r="D441" s="133"/>
      <c r="E441" s="133"/>
      <c r="G441" s="133"/>
      <c r="H441" s="135"/>
      <c r="J441" s="136"/>
    </row>
    <row r="442" spans="4:10">
      <c r="D442" s="133"/>
      <c r="E442" s="133"/>
      <c r="G442" s="133"/>
      <c r="H442" s="135"/>
      <c r="J442" s="136"/>
    </row>
    <row r="443" spans="4:10">
      <c r="D443" s="133"/>
      <c r="E443" s="133"/>
      <c r="G443" s="133"/>
      <c r="H443" s="135"/>
      <c r="J443" s="136"/>
    </row>
    <row r="444" spans="4:10">
      <c r="D444" s="133"/>
      <c r="E444" s="133"/>
      <c r="G444" s="133"/>
      <c r="H444" s="135"/>
      <c r="J444" s="136"/>
    </row>
    <row r="445" spans="4:10">
      <c r="D445" s="133"/>
      <c r="E445" s="133"/>
      <c r="G445" s="133"/>
      <c r="H445" s="135"/>
      <c r="J445" s="136"/>
    </row>
    <row r="446" spans="4:10">
      <c r="D446" s="133"/>
      <c r="E446" s="133"/>
      <c r="G446" s="133"/>
      <c r="H446" s="135"/>
      <c r="J446" s="136"/>
    </row>
    <row r="447" spans="4:10">
      <c r="D447" s="133"/>
      <c r="E447" s="133"/>
      <c r="G447" s="133"/>
      <c r="H447" s="135"/>
      <c r="J447" s="136"/>
    </row>
    <row r="448" spans="4:10">
      <c r="D448" s="133"/>
      <c r="E448" s="133"/>
      <c r="G448" s="133"/>
      <c r="H448" s="135"/>
      <c r="J448" s="136"/>
    </row>
    <row r="449" spans="4:10">
      <c r="D449" s="133"/>
      <c r="E449" s="133"/>
      <c r="G449" s="133"/>
      <c r="H449" s="135"/>
      <c r="J449" s="136"/>
    </row>
    <row r="450" spans="4:10">
      <c r="D450" s="133"/>
      <c r="E450" s="133"/>
      <c r="G450" s="133"/>
      <c r="H450" s="135"/>
      <c r="J450" s="136"/>
    </row>
    <row r="451" spans="4:10">
      <c r="D451" s="133"/>
      <c r="E451" s="133"/>
      <c r="G451" s="133"/>
      <c r="H451" s="135"/>
      <c r="J451" s="136"/>
    </row>
    <row r="452" spans="4:10">
      <c r="D452" s="133"/>
      <c r="E452" s="133"/>
      <c r="G452" s="133"/>
      <c r="H452" s="135"/>
      <c r="J452" s="136"/>
    </row>
    <row r="453" spans="4:10">
      <c r="D453" s="133"/>
      <c r="E453" s="133"/>
      <c r="G453" s="133"/>
      <c r="H453" s="135"/>
      <c r="J453" s="136"/>
    </row>
    <row r="454" spans="4:10">
      <c r="D454" s="133"/>
      <c r="E454" s="133"/>
      <c r="G454" s="133"/>
      <c r="H454" s="135"/>
      <c r="J454" s="136"/>
    </row>
    <row r="455" spans="4:10">
      <c r="D455" s="133"/>
      <c r="E455" s="133"/>
      <c r="G455" s="133"/>
      <c r="H455" s="135"/>
      <c r="J455" s="136"/>
    </row>
    <row r="456" spans="4:10">
      <c r="D456" s="133"/>
      <c r="E456" s="133"/>
      <c r="G456" s="133"/>
      <c r="H456" s="135"/>
      <c r="J456" s="136"/>
    </row>
    <row r="457" spans="4:10">
      <c r="D457" s="133"/>
      <c r="E457" s="133"/>
      <c r="G457" s="133"/>
      <c r="H457" s="135"/>
      <c r="J457" s="136"/>
    </row>
    <row r="458" spans="4:10">
      <c r="D458" s="133"/>
      <c r="E458" s="133"/>
      <c r="G458" s="133"/>
      <c r="H458" s="135"/>
      <c r="J458" s="136"/>
    </row>
    <row r="459" spans="4:10">
      <c r="D459" s="133"/>
      <c r="E459" s="133"/>
      <c r="G459" s="133"/>
      <c r="H459" s="135"/>
      <c r="J459" s="136"/>
    </row>
    <row r="460" spans="4:10">
      <c r="D460" s="133"/>
      <c r="E460" s="133"/>
      <c r="G460" s="133"/>
      <c r="H460" s="135"/>
      <c r="J460" s="136"/>
    </row>
    <row r="461" spans="4:10">
      <c r="D461" s="133"/>
      <c r="E461" s="133"/>
      <c r="G461" s="133"/>
      <c r="H461" s="135"/>
      <c r="J461" s="136"/>
    </row>
    <row r="462" spans="4:10">
      <c r="D462" s="133"/>
      <c r="E462" s="133"/>
      <c r="G462" s="133"/>
      <c r="H462" s="135"/>
      <c r="J462" s="136"/>
    </row>
    <row r="463" spans="4:10">
      <c r="D463" s="133"/>
      <c r="E463" s="133"/>
      <c r="G463" s="133"/>
      <c r="H463" s="135"/>
      <c r="J463" s="136"/>
    </row>
    <row r="464" spans="4:10">
      <c r="D464" s="133"/>
      <c r="E464" s="133"/>
      <c r="G464" s="133"/>
      <c r="H464" s="135"/>
      <c r="J464" s="136"/>
    </row>
    <row r="465" spans="4:10">
      <c r="D465" s="133"/>
      <c r="E465" s="133"/>
      <c r="G465" s="133"/>
      <c r="H465" s="135"/>
      <c r="J465" s="136"/>
    </row>
    <row r="466" spans="4:10">
      <c r="D466" s="133"/>
      <c r="E466" s="133"/>
      <c r="G466" s="133"/>
      <c r="H466" s="135"/>
      <c r="J466" s="136"/>
    </row>
    <row r="467" spans="4:10">
      <c r="D467" s="133"/>
      <c r="E467" s="133"/>
      <c r="G467" s="133"/>
      <c r="H467" s="135"/>
      <c r="J467" s="136"/>
    </row>
    <row r="468" spans="4:10">
      <c r="D468" s="133"/>
      <c r="E468" s="133"/>
      <c r="G468" s="133"/>
      <c r="H468" s="135"/>
      <c r="J468" s="136"/>
    </row>
    <row r="469" spans="4:10">
      <c r="D469" s="133"/>
      <c r="E469" s="133"/>
      <c r="G469" s="133"/>
      <c r="H469" s="135"/>
      <c r="J469" s="136"/>
    </row>
    <row r="470" spans="4:10">
      <c r="D470" s="133"/>
      <c r="E470" s="133"/>
      <c r="G470" s="133"/>
      <c r="H470" s="135"/>
      <c r="J470" s="136"/>
    </row>
    <row r="471" spans="4:10">
      <c r="D471" s="133"/>
      <c r="E471" s="133"/>
      <c r="G471" s="133"/>
      <c r="H471" s="135"/>
      <c r="J471" s="136"/>
    </row>
    <row r="472" spans="4:10">
      <c r="D472" s="133"/>
      <c r="E472" s="133"/>
      <c r="G472" s="133"/>
      <c r="H472" s="135"/>
      <c r="J472" s="136"/>
    </row>
    <row r="473" spans="4:10">
      <c r="D473" s="133"/>
      <c r="E473" s="133"/>
      <c r="G473" s="133"/>
      <c r="H473" s="135"/>
      <c r="J473" s="136"/>
    </row>
    <row r="474" spans="4:10">
      <c r="D474" s="133"/>
      <c r="E474" s="133"/>
      <c r="G474" s="133"/>
      <c r="H474" s="135"/>
      <c r="J474" s="136"/>
    </row>
    <row r="475" spans="4:10">
      <c r="D475" s="133"/>
      <c r="E475" s="133"/>
      <c r="G475" s="133"/>
      <c r="H475" s="135"/>
      <c r="J475" s="136"/>
    </row>
    <row r="476" spans="4:10">
      <c r="D476" s="133"/>
      <c r="E476" s="133"/>
      <c r="G476" s="133"/>
      <c r="H476" s="135"/>
      <c r="J476" s="136"/>
    </row>
    <row r="477" spans="4:10">
      <c r="D477" s="133"/>
      <c r="E477" s="133"/>
      <c r="G477" s="133"/>
      <c r="H477" s="135"/>
      <c r="J477" s="136"/>
    </row>
    <row r="478" spans="4:10">
      <c r="D478" s="133"/>
      <c r="E478" s="133"/>
      <c r="G478" s="133"/>
      <c r="H478" s="135"/>
      <c r="J478" s="136"/>
    </row>
    <row r="479" spans="4:10">
      <c r="D479" s="133"/>
      <c r="E479" s="133"/>
      <c r="G479" s="133"/>
      <c r="H479" s="135"/>
      <c r="J479" s="136"/>
    </row>
    <row r="480" spans="4:10">
      <c r="D480" s="133"/>
      <c r="E480" s="133"/>
      <c r="G480" s="133"/>
      <c r="H480" s="135"/>
      <c r="J480" s="136"/>
    </row>
    <row r="481" spans="4:10">
      <c r="D481" s="133"/>
      <c r="E481" s="133"/>
      <c r="G481" s="133"/>
      <c r="H481" s="135"/>
      <c r="J481" s="136"/>
    </row>
    <row r="482" spans="4:10">
      <c r="D482" s="133"/>
      <c r="E482" s="133"/>
      <c r="G482" s="133"/>
      <c r="H482" s="135"/>
      <c r="J482" s="136"/>
    </row>
    <row r="483" spans="4:10">
      <c r="D483" s="133"/>
      <c r="E483" s="133"/>
      <c r="G483" s="133"/>
      <c r="H483" s="135"/>
      <c r="J483" s="136"/>
    </row>
    <row r="484" spans="4:10">
      <c r="D484" s="133"/>
      <c r="E484" s="133"/>
      <c r="G484" s="133"/>
      <c r="H484" s="135"/>
      <c r="J484" s="136"/>
    </row>
    <row r="485" spans="4:10">
      <c r="D485" s="133"/>
      <c r="E485" s="133"/>
      <c r="G485" s="133"/>
      <c r="H485" s="135"/>
      <c r="J485" s="136"/>
    </row>
    <row r="486" spans="4:10">
      <c r="D486" s="133"/>
      <c r="E486" s="133"/>
      <c r="G486" s="133"/>
      <c r="H486" s="135"/>
      <c r="J486" s="136"/>
    </row>
    <row r="487" spans="4:10">
      <c r="D487" s="133"/>
      <c r="E487" s="133"/>
      <c r="G487" s="133"/>
      <c r="H487" s="135"/>
      <c r="J487" s="136"/>
    </row>
    <row r="488" spans="4:10">
      <c r="D488" s="133"/>
      <c r="E488" s="133"/>
      <c r="G488" s="133"/>
      <c r="H488" s="135"/>
      <c r="J488" s="136"/>
    </row>
    <row r="489" spans="4:10">
      <c r="D489" s="133"/>
      <c r="E489" s="133"/>
      <c r="G489" s="133"/>
      <c r="H489" s="135"/>
      <c r="J489" s="136"/>
    </row>
    <row r="490" spans="4:10">
      <c r="D490" s="133"/>
      <c r="E490" s="133"/>
      <c r="G490" s="133"/>
      <c r="H490" s="135"/>
      <c r="J490" s="136"/>
    </row>
    <row r="491" spans="4:10">
      <c r="D491" s="133"/>
      <c r="E491" s="133"/>
      <c r="G491" s="133"/>
      <c r="H491" s="135"/>
      <c r="J491" s="136"/>
    </row>
    <row r="492" spans="4:10">
      <c r="D492" s="133"/>
      <c r="E492" s="133"/>
      <c r="G492" s="133"/>
      <c r="H492" s="135"/>
      <c r="J492" s="136"/>
    </row>
    <row r="493" spans="4:10">
      <c r="D493" s="133"/>
      <c r="E493" s="133"/>
      <c r="G493" s="133"/>
      <c r="H493" s="135"/>
      <c r="J493" s="136"/>
    </row>
    <row r="494" spans="4:10">
      <c r="D494" s="133"/>
      <c r="E494" s="133"/>
      <c r="G494" s="133"/>
      <c r="H494" s="135"/>
      <c r="J494" s="136"/>
    </row>
    <row r="495" spans="4:10">
      <c r="D495" s="133"/>
      <c r="E495" s="133"/>
      <c r="G495" s="133"/>
      <c r="H495" s="135"/>
      <c r="J495" s="136"/>
    </row>
    <row r="496" spans="4:10">
      <c r="D496" s="133"/>
      <c r="E496" s="133"/>
      <c r="G496" s="133"/>
      <c r="H496" s="135"/>
      <c r="J496" s="136"/>
    </row>
    <row r="497" spans="4:10">
      <c r="D497" s="133"/>
      <c r="E497" s="133"/>
      <c r="G497" s="133"/>
      <c r="H497" s="135"/>
      <c r="J497" s="136"/>
    </row>
    <row r="498" spans="4:10">
      <c r="D498" s="133"/>
      <c r="E498" s="133"/>
      <c r="G498" s="133"/>
      <c r="H498" s="135"/>
      <c r="J498" s="136"/>
    </row>
    <row r="499" spans="4:10">
      <c r="D499" s="133"/>
      <c r="E499" s="133"/>
      <c r="G499" s="133"/>
      <c r="H499" s="135"/>
      <c r="J499" s="136"/>
    </row>
    <row r="500" spans="4:10">
      <c r="D500" s="133"/>
      <c r="E500" s="133"/>
      <c r="G500" s="133"/>
      <c r="H500" s="135"/>
      <c r="J500" s="136"/>
    </row>
    <row r="501" spans="4:10">
      <c r="D501" s="133"/>
      <c r="E501" s="133"/>
      <c r="G501" s="133"/>
      <c r="H501" s="135"/>
      <c r="J501" s="136"/>
    </row>
    <row r="502" spans="4:10">
      <c r="D502" s="133"/>
      <c r="E502" s="133"/>
      <c r="G502" s="133"/>
      <c r="H502" s="135"/>
      <c r="J502" s="136"/>
    </row>
    <row r="503" spans="4:10">
      <c r="D503" s="133"/>
      <c r="E503" s="133"/>
      <c r="G503" s="133"/>
      <c r="H503" s="135"/>
      <c r="J503" s="136"/>
    </row>
    <row r="504" spans="4:10">
      <c r="D504" s="133"/>
      <c r="E504" s="133"/>
      <c r="G504" s="133"/>
      <c r="H504" s="135"/>
      <c r="J504" s="136"/>
    </row>
    <row r="505" spans="4:10">
      <c r="D505" s="133"/>
      <c r="E505" s="133"/>
      <c r="G505" s="133"/>
      <c r="H505" s="135"/>
      <c r="J505" s="136"/>
    </row>
    <row r="506" spans="4:10">
      <c r="D506" s="133"/>
      <c r="E506" s="133"/>
      <c r="G506" s="133"/>
      <c r="H506" s="135"/>
      <c r="J506" s="136"/>
    </row>
    <row r="507" spans="4:10">
      <c r="D507" s="133"/>
      <c r="E507" s="133"/>
      <c r="G507" s="133"/>
      <c r="H507" s="135"/>
      <c r="J507" s="136"/>
    </row>
    <row r="508" spans="4:10">
      <c r="D508" s="133"/>
      <c r="E508" s="133"/>
      <c r="G508" s="133"/>
      <c r="H508" s="135"/>
      <c r="J508" s="136"/>
    </row>
    <row r="509" spans="4:10">
      <c r="D509" s="133"/>
      <c r="E509" s="133"/>
      <c r="G509" s="133"/>
      <c r="H509" s="135"/>
      <c r="J509" s="136"/>
    </row>
    <row r="510" spans="4:10">
      <c r="D510" s="133"/>
      <c r="E510" s="133"/>
      <c r="G510" s="133"/>
      <c r="H510" s="135"/>
      <c r="J510" s="136"/>
    </row>
    <row r="511" spans="4:10">
      <c r="D511" s="133"/>
      <c r="E511" s="133"/>
      <c r="G511" s="133"/>
      <c r="H511" s="135"/>
      <c r="J511" s="136"/>
    </row>
    <row r="512" spans="4:10">
      <c r="D512" s="133"/>
      <c r="E512" s="133"/>
      <c r="G512" s="133"/>
      <c r="H512" s="135"/>
      <c r="J512" s="136"/>
    </row>
    <row r="513" spans="4:10">
      <c r="D513" s="133"/>
      <c r="E513" s="133"/>
      <c r="G513" s="133"/>
      <c r="H513" s="135"/>
      <c r="J513" s="136"/>
    </row>
    <row r="514" spans="4:10">
      <c r="D514" s="133"/>
      <c r="E514" s="133"/>
      <c r="G514" s="133"/>
      <c r="H514" s="135"/>
      <c r="J514" s="136"/>
    </row>
    <row r="515" spans="4:10">
      <c r="D515" s="133"/>
      <c r="E515" s="133"/>
      <c r="G515" s="133"/>
      <c r="H515" s="135"/>
      <c r="J515" s="136"/>
    </row>
    <row r="516" spans="4:10">
      <c r="D516" s="133"/>
      <c r="E516" s="133"/>
      <c r="G516" s="133"/>
      <c r="H516" s="135"/>
      <c r="J516" s="136"/>
    </row>
    <row r="517" spans="4:10">
      <c r="D517" s="133"/>
      <c r="E517" s="133"/>
      <c r="G517" s="133"/>
      <c r="H517" s="135"/>
      <c r="J517" s="136"/>
    </row>
    <row r="518" spans="4:10">
      <c r="D518" s="133"/>
      <c r="E518" s="133"/>
      <c r="G518" s="133"/>
      <c r="H518" s="135"/>
      <c r="J518" s="136"/>
    </row>
    <row r="519" spans="4:10">
      <c r="D519" s="133"/>
      <c r="E519" s="133"/>
      <c r="G519" s="133"/>
      <c r="H519" s="135"/>
      <c r="J519" s="136"/>
    </row>
    <row r="520" spans="4:10">
      <c r="D520" s="133"/>
      <c r="E520" s="133"/>
      <c r="G520" s="133"/>
      <c r="H520" s="135"/>
      <c r="J520" s="136"/>
    </row>
    <row r="521" spans="4:10">
      <c r="D521" s="133"/>
      <c r="E521" s="133"/>
      <c r="G521" s="133"/>
      <c r="H521" s="135"/>
      <c r="J521" s="136"/>
    </row>
    <row r="522" spans="4:10">
      <c r="D522" s="133"/>
      <c r="E522" s="133"/>
      <c r="G522" s="133"/>
      <c r="H522" s="135"/>
      <c r="J522" s="136"/>
    </row>
    <row r="523" spans="4:10">
      <c r="D523" s="133"/>
      <c r="E523" s="133"/>
      <c r="G523" s="133"/>
      <c r="H523" s="135"/>
      <c r="J523" s="136"/>
    </row>
    <row r="524" spans="4:10">
      <c r="D524" s="133"/>
      <c r="E524" s="133"/>
      <c r="G524" s="133"/>
      <c r="H524" s="135"/>
      <c r="J524" s="136"/>
    </row>
    <row r="525" spans="4:10">
      <c r="D525" s="133"/>
      <c r="E525" s="133"/>
      <c r="G525" s="133"/>
      <c r="H525" s="135"/>
      <c r="J525" s="136"/>
    </row>
    <row r="526" spans="4:10">
      <c r="D526" s="133"/>
      <c r="E526" s="133"/>
      <c r="G526" s="133"/>
      <c r="H526" s="135"/>
      <c r="J526" s="136"/>
    </row>
    <row r="527" spans="4:10">
      <c r="D527" s="133"/>
      <c r="E527" s="133"/>
      <c r="G527" s="133"/>
      <c r="H527" s="135"/>
      <c r="J527" s="136"/>
    </row>
    <row r="528" spans="4:10">
      <c r="D528" s="133"/>
      <c r="E528" s="133"/>
      <c r="G528" s="133"/>
      <c r="H528" s="135"/>
      <c r="J528" s="136"/>
    </row>
    <row r="529" spans="4:10">
      <c r="D529" s="133"/>
      <c r="E529" s="133"/>
      <c r="G529" s="133"/>
      <c r="H529" s="135"/>
      <c r="J529" s="136"/>
    </row>
    <row r="530" spans="4:10">
      <c r="D530" s="133"/>
      <c r="E530" s="133"/>
      <c r="G530" s="133"/>
      <c r="H530" s="135"/>
      <c r="J530" s="136"/>
    </row>
    <row r="531" spans="4:10">
      <c r="D531" s="133"/>
      <c r="E531" s="133"/>
      <c r="G531" s="133"/>
      <c r="H531" s="135"/>
      <c r="J531" s="136"/>
    </row>
    <row r="532" spans="4:10">
      <c r="D532" s="133"/>
      <c r="E532" s="133"/>
      <c r="G532" s="133"/>
      <c r="H532" s="135"/>
      <c r="J532" s="136"/>
    </row>
    <row r="533" spans="4:10">
      <c r="D533" s="133"/>
      <c r="E533" s="133"/>
      <c r="G533" s="133"/>
      <c r="H533" s="135"/>
      <c r="J533" s="136"/>
    </row>
    <row r="534" spans="4:10">
      <c r="D534" s="133"/>
      <c r="E534" s="133"/>
      <c r="G534" s="133"/>
      <c r="H534" s="135"/>
      <c r="J534" s="136"/>
    </row>
    <row r="535" spans="4:10">
      <c r="D535" s="133"/>
      <c r="E535" s="133"/>
      <c r="G535" s="133"/>
      <c r="H535" s="135"/>
      <c r="J535" s="136"/>
    </row>
    <row r="536" spans="4:10">
      <c r="D536" s="133"/>
      <c r="E536" s="133"/>
      <c r="G536" s="133"/>
      <c r="H536" s="135"/>
      <c r="J536" s="136"/>
    </row>
    <row r="537" spans="4:10">
      <c r="D537" s="133"/>
      <c r="E537" s="133"/>
      <c r="G537" s="133"/>
      <c r="H537" s="135"/>
      <c r="J537" s="136"/>
    </row>
    <row r="538" spans="4:10">
      <c r="D538" s="133"/>
      <c r="E538" s="133"/>
      <c r="G538" s="133"/>
      <c r="H538" s="135"/>
      <c r="J538" s="136"/>
    </row>
    <row r="539" spans="4:10">
      <c r="D539" s="133"/>
      <c r="E539" s="133"/>
      <c r="G539" s="133"/>
      <c r="H539" s="135"/>
      <c r="J539" s="136"/>
    </row>
    <row r="540" spans="4:10">
      <c r="D540" s="133"/>
      <c r="E540" s="133"/>
      <c r="G540" s="133"/>
      <c r="H540" s="135"/>
      <c r="J540" s="136"/>
    </row>
    <row r="541" spans="4:10">
      <c r="D541" s="133"/>
      <c r="E541" s="133"/>
      <c r="G541" s="133"/>
      <c r="H541" s="135"/>
      <c r="J541" s="136"/>
    </row>
    <row r="542" spans="4:10">
      <c r="D542" s="133"/>
      <c r="E542" s="133"/>
      <c r="G542" s="133"/>
      <c r="H542" s="135"/>
      <c r="J542" s="136"/>
    </row>
    <row r="543" spans="4:10">
      <c r="D543" s="133"/>
      <c r="E543" s="133"/>
      <c r="G543" s="133"/>
      <c r="H543" s="135"/>
      <c r="J543" s="136"/>
    </row>
    <row r="544" spans="4:10">
      <c r="D544" s="133"/>
      <c r="E544" s="133"/>
      <c r="G544" s="133"/>
      <c r="H544" s="135"/>
      <c r="J544" s="136"/>
    </row>
    <row r="545" spans="4:10">
      <c r="D545" s="133"/>
      <c r="E545" s="133"/>
      <c r="G545" s="133"/>
      <c r="H545" s="135"/>
      <c r="J545" s="136"/>
    </row>
    <row r="546" spans="4:10">
      <c r="D546" s="133"/>
      <c r="E546" s="133"/>
      <c r="G546" s="133"/>
      <c r="H546" s="135"/>
      <c r="J546" s="136"/>
    </row>
    <row r="547" spans="4:10">
      <c r="D547" s="133"/>
      <c r="E547" s="133"/>
      <c r="G547" s="133"/>
      <c r="H547" s="135"/>
      <c r="J547" s="136"/>
    </row>
    <row r="548" spans="4:10">
      <c r="D548" s="133"/>
      <c r="E548" s="133"/>
      <c r="G548" s="133"/>
      <c r="H548" s="135"/>
      <c r="J548" s="136"/>
    </row>
    <row r="549" spans="4:10">
      <c r="D549" s="133"/>
      <c r="E549" s="133"/>
      <c r="G549" s="133"/>
      <c r="H549" s="135"/>
      <c r="J549" s="136"/>
    </row>
    <row r="550" spans="4:10">
      <c r="D550" s="133"/>
      <c r="E550" s="133"/>
      <c r="G550" s="133"/>
      <c r="H550" s="135"/>
      <c r="J550" s="136"/>
    </row>
    <row r="551" spans="4:10">
      <c r="D551" s="133"/>
      <c r="E551" s="133"/>
      <c r="G551" s="133"/>
      <c r="H551" s="135"/>
      <c r="J551" s="136"/>
    </row>
    <row r="552" spans="4:10">
      <c r="D552" s="133"/>
      <c r="E552" s="133"/>
      <c r="G552" s="133"/>
      <c r="H552" s="135"/>
      <c r="J552" s="136"/>
    </row>
    <row r="553" spans="4:10">
      <c r="D553" s="133"/>
      <c r="E553" s="133"/>
      <c r="G553" s="133"/>
      <c r="H553" s="135"/>
      <c r="J553" s="136"/>
    </row>
    <row r="554" spans="4:10">
      <c r="D554" s="133"/>
      <c r="E554" s="133"/>
      <c r="G554" s="133"/>
      <c r="H554" s="135"/>
      <c r="J554" s="136"/>
    </row>
  </sheetData>
  <mergeCells count="2">
    <mergeCell ref="C1:M1"/>
    <mergeCell ref="N1:AQ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Reporting Tables</vt:lpstr>
      <vt:lpstr>DEF</vt:lpstr>
      <vt:lpstr>FPL</vt:lpstr>
      <vt:lpstr>FPU</vt:lpstr>
      <vt:lpstr>Gulf</vt:lpstr>
      <vt:lpstr>JEA</vt:lpstr>
      <vt:lpstr>OUC</vt:lpstr>
      <vt:lpstr>TECO</vt:lpstr>
      <vt:lpstr>DEF_perparticipant</vt:lpstr>
      <vt:lpstr>FPL_perparticipant</vt:lpstr>
      <vt:lpstr>FPU_perparticipant</vt:lpstr>
      <vt:lpstr>Gulf_perparticipant</vt:lpstr>
      <vt:lpstr>JEA_perparticipant</vt:lpstr>
      <vt:lpstr>OUC_perparticipant</vt:lpstr>
      <vt:lpstr>TECO_perparticipant</vt:lpstr>
      <vt:lpstr>Forecast</vt:lpstr>
      <vt:lpstr>Lookups</vt:lpstr>
      <vt:lpstr>PV Watts</vt:lpstr>
      <vt:lpstr>Other Inputs</vt:lpstr>
      <vt:lpstr>Methodology</vt:lpstr>
    </vt:vector>
  </TitlesOfParts>
  <Company>Nexant,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Patrick</dc:creator>
  <cp:lastModifiedBy>Byron Boyle</cp:lastModifiedBy>
  <dcterms:created xsi:type="dcterms:W3CDTF">2013-06-05T11:51:58Z</dcterms:created>
  <dcterms:modified xsi:type="dcterms:W3CDTF">2019-04-30T18:56:29Z</dcterms:modified>
</cp:coreProperties>
</file>