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<sst xmlns="http://schemas.openxmlformats.org/spreadsheetml/2006/main" count="1258" uniqueCount="468">
  <si>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</si>
  <si>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</si>
  <si>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</si>
  <si>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</si>
  <si>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</si>
  <si>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</si>
  <si>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</si>
  <si>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</si>
  <si>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</si>
  <si>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</si>
  <si>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</si>
  <si>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</si>
  <si>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</si>
  <si>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</si>
  <si>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</si>
  <si>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</si>
  <si>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</si>
  <si>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</si>
  <si>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</si>
  <si>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</si>
  <si>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</si>
  <si>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</si>
  <si>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</si>
  <si>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</si>
  <si>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</si>
  <si>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</si>
  <si>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</si>
  <si>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</si>
  <si>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</si>
  <si>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</si>
  <si>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</si>
  <si>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</si>
  <si>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</si>
  <si>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</si>
  <si>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</si>
  <si>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</si>
  <si>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</si>
  <si>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</si>
  <si>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</si>
  <si>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</si>
  <si>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</si>
  <si>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</si>
  <si>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</si>
  <si>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</si>
  <si>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</si>
  <si>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</si>
  <si>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</si>
  <si>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</si>
  <si>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</si>
  <si>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</si>
  <si>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</si>
  <si>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</si>
  <si>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</si>
  <si>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</si>
  <si>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</si>
  <si>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</si>
  <si>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</si>
  <si>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</si>
  <si>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</si>
  <si>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</si>
  <si>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</si>
  <si>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</si>
  <si>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</si>
  <si>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</si>
  <si>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</si>
  <si>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</si>
  <si>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</si>
  <si>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</si>
  <si>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</si>
  <si>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</si>
  <si>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</si>
  <si>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</si>
  <si>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</si>
  <si>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</si>
  <si>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</si>
  <si>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</si>
  <si>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</si>
  <si>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</si>
  <si>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</si>
  <si>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</si>
  <si>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</si>
  <si>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</si>
  <si>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</si>
  <si>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</si>
  <si>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</si>
  <si>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</si>
  <si>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</si>
  <si>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</si>
  <si>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</si>
  <si>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</si>
  <si>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</si>
  <si>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</si>
  <si>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</si>
  <si>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</si>
  <si>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</si>
  <si>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</si>
  <si>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</si>
  <si>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</si>
  <si>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</si>
  <si>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</si>
  <si>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</si>
  <si>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</si>
  <si>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</si>
  <si>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</si>
  <si>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</si>
  <si>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</si>
  <si>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</si>
  <si>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</si>
  <si>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</si>
  <si>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</si>
  <si>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</si>
  <si>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</si>
  <si>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</si>
  <si>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</si>
  <si>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</si>
  <si>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</si>
  <si>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</si>
  <si>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</si>
  <si>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</si>
  <si>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</si>
  <si>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</si>
  <si>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</si>
  <si>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</si>
  <si>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</si>
  <si>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</si>
  <si>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</si>
  <si>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</si>
  <si>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</si>
  <si>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</si>
  <si>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</si>
  <si>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</si>
  <si>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</si>
  <si>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</si>
  <si>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</si>
  <si>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</si>
  <si>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</si>
  <si>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</si>
  <si>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</si>
  <si>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</si>
  <si>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</si>
  <si>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</si>
  <si>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</si>
  <si>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</si>
  <si>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</si>
  <si>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</si>
  <si>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</si>
  <si>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</si>
  <si>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</si>
  <si>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</si>
  <si>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</si>
  <si>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</si>
  <si>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</si>
  <si>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</si>
  <si>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</si>
  <si>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</si>
  <si>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</si>
  <si>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</si>
  <si>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</si>
  <si>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</si>
  <si>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</si>
  <si>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</si>
  <si>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</si>
  <si>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</si>
  <si>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</si>
  <si>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</si>
  <si>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</si>
  <si>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</si>
  <si>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</si>
  <si>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</si>
  <si>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</si>
  <si>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</si>
  <si>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</si>
  <si>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</si>
  <si>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</si>
  <si>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</si>
  <si>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</si>
  <si>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</si>
  <si>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</si>
  <si>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</si>
  <si>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</si>
  <si>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</si>
  <si>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</si>
  <si>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</si>
  <si>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</si>
  <si>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</si>
  <si>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</si>
  <si>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</si>
  <si>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</si>
  <si>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</si>
  <si>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</si>
  <si>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</si>
  <si>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</si>
  <si>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</si>
  <si>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</si>
  <si>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</si>
  <si>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</si>
  <si>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</si>
  <si>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</si>
  <si>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</si>
  <si>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</si>
  <si>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</si>
  <si>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</si>
  <si>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</si>
  <si>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</si>
  <si>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</si>
  <si>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</si>
  <si>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</si>
  <si>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</si>
  <si>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</si>
  <si>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</si>
  <si>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</si>
  <si>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</si>
  <si>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</si>
  <si>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</si>
  <si>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</si>
  <si>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</si>
  <si>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</si>
  <si>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</si>
  <si>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</si>
  <si>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</si>
  <si>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</si>
  <si>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</si>
  <si>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</si>
  <si>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</si>
  <si>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</si>
  <si>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</si>
  <si>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</si>
  <si>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</si>
  <si>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</si>
  <si>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</si>
  <si>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</si>
  <si>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</si>
  <si>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</si>
  <si>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</si>
  <si>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</si>
  <si>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</si>
  <si>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</si>
  <si>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</si>
  <si>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</si>
  <si>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</si>
  <si>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</si>
  <si>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</si>
  <si>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</si>
  <si>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</si>
  <si>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</si>
  <si>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</si>
  <si>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</si>
  <si>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</si>
  <si>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</si>
  <si>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</si>
  <si>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</si>
  <si>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</si>
  <si>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</si>
  <si>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</si>
  <si>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</si>
  <si>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</si>
  <si>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</si>
  <si>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</si>
  <si>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</si>
  <si>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</si>
  <si>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</si>
  <si>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</si>
  <si>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</si>
  <si>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</si>
  <si>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</si>
  <si>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</si>
  <si>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</si>
  <si>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</si>
  <si>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</si>
  <si>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</si>
  <si>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</si>
  <si>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</si>
  <si>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</si>
  <si>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</si>
  <si>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</si>
  <si>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</si>
  <si>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</si>
  <si>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</si>
  <si>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</si>
  <si>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</si>
  <si>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</si>
  <si>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</si>
  <si>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</si>
  <si>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</si>
  <si>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</si>
  <si>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</si>
  <si>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</si>
  <si>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</si>
  <si>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</si>
  <si>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</si>
  <si>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</si>
  <si>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</si>
  <si>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</si>
  <si>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</si>
  <si>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</si>
  <si>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</si>
  <si>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</si>
  <si>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</si>
  <si>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</si>
  <si>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</si>
  <si>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</si>
  <si>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</si>
  <si>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</si>
  <si>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</si>
  <si>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</si>
  <si>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</si>
  <si>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</si>
  <si>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</si>
  <si>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</si>
  <si>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</si>
  <si>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</si>
  <si>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</si>
  <si>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</si>
  <si>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</si>
  <si>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</si>
  <si>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</si>
  <si>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</si>
  <si>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</si>
  <si>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</si>
  <si>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</si>
  <si>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</si>
  <si>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</si>
  <si>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</si>
  <si>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</si>
  <si>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</si>
  <si>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</si>
  <si>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</si>
  <si>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</si>
  <si>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</si>
  <si>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</si>
  <si>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</si>
  <si>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</si>
  <si>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</si>
  <si>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</si>
  <si>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</si>
  <si>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</si>
  <si>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</si>
  <si>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</si>
  <si>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</si>
  <si>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</si>
  <si>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</si>
  <si>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</si>
  <si>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</si>
  <si>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</si>
  <si>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</si>
  <si>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</si>
  <si>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</si>
  <si>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</si>
  <si>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</si>
  <si>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</si>
  <si>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</si>
  <si>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</si>
  <si>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</si>
  <si>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</si>
  <si>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</si>
  <si>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</si>
  <si>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</si>
  <si>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</si>
  <si>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</si>
  <si>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</si>
  <si>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</si>
  <si>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</si>
  <si>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</si>
  <si>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</si>
  <si>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</si>
  <si>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</si>
  <si>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</si>
  <si>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</si>
  <si>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</si>
  <si>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</si>
  <si>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</si>
  <si>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</si>
  <si>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</si>
  <si>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</si>
  <si>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</si>
  <si>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</si>
  <si>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</si>
  <si>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</si>
  <si>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</si>
  <si>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</si>
  <si>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</si>
  <si>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</si>
  <si>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</si>
  <si>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</si>
  <si>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</si>
  <si>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</si>
  <si>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</si>
  <si>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</si>
  <si>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</si>
  <si>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</si>
  <si>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</si>
  <si>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</si>
  <si>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</si>
  <si>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</si>
  <si>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</si>
  <si>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</si>
  <si>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</si>
  <si>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</si>
  <si>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</si>
  <si>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</si>
  <si>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</si>
  <si>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</si>
  <si>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</si>
  <si>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</si>
  <si>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</si>
  <si>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</si>
  <si>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</si>
  <si>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</si>
  <si>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</si>
  <si>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</si>
  <si>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</si>
  <si>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</si>
  <si>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</si>
  <si>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</si>
  <si>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</si>
  <si>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</si>
  <si>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</si>
  <si>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</si>
  <si>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</si>
  <si>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</si>
  <si>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</si>
  <si>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</si>
  <si>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</si>
  <si>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</si>
  <si>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</si>
  <si>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</si>
  <si>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</si>
  <si>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</si>
  <si>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</si>
  <si>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</si>
  <si>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</si>
  <si>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</si>
  <si>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</si>
  <si>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</si>
  <si>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</si>
  <si>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</si>
  <si>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</si>
  <si>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</si>
  <si>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</si>
  <si>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</si>
  <si>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</si>
  <si>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</si>
  <si>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</si>
  <si>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</si>
  <si>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</si>
  <si>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</si>
  <si>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</si>
  <si>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</si>
  <si>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</si>
  <si>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</si>
  <si>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</si>
  <si>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</si>
  <si>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</si>
  <si>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</si>
  <si>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</si>
  <si>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</si>
  <si>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</si>
  <si>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</si>
  <si>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</si>
  <si>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</si>
  <si>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</si>
  <si>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</si>
  <si>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</si>
  <si>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</si>
  <si>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</si>
  <si>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</si>
  <si>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</si>
  <si>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Smart Thermostats - BYOT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</si>
</sst>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43599.31802546296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4988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43599.31802546296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Smart Thermostats - BYOT</v>
      </c>
      <c r="J2" t="s">
        <v>55</v>
      </c>
    </row>
    <row r="3" ht="12.75">
      <c r="J3" s="35">
        <f>+Title_RESULTS!I4</f>
        <v>43599.31802546296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4988</v>
      </c>
      <c r="H5" t="s">
        <v>59</v>
      </c>
    </row>
    <row r="6" spans="3:7" ht="12.75">
      <c r="C6" t="s">
        <v>61</v>
      </c>
      <c r="G6" s="36">
        <f>+'Value of Defferal'!E3</f>
        <v>3055.894319660537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301.99051608802273</v>
      </c>
      <c r="D19" s="5">
        <f>IF((Title_RESULTS!$H$8-Title_RESULTS!$H$7)&lt;=('Sheet3(F_21)'!A19-Title_RESULTS!$H$7),((Title_RESULTS!$C$8*Partcipation!$C$26*8760*Title_RESULTS!$H$21/100000)),0)</f>
        <v>3976.094378681627</v>
      </c>
      <c r="E19" s="5">
        <f>IF($G19=0,0,((Title_RESULTS!$H$14*((1+Title_RESULTS!$H$15/100)^($A19-Title_RESULTS!$H$7))*'EUE_Line Losses'!$B$25*Partcipation!$C$26))/1000)</f>
        <v>31.32440461565038</v>
      </c>
      <c r="F19" s="5">
        <f>IF($G19=0,0,(Title_RESULTS!$H$19/100*((1+Title_RESULTS!$H$20/100)^($A19-Title_RESULTS!$H$7))*$D19*1000)/1000)</f>
        <v>8.96552754417969</v>
      </c>
      <c r="G19" s="5">
        <f>(+Title_RESULTS!$H$22/100*((1+Title_RESULTS!$H$23/100)^(+'Sheet4(F_22)'!A19-Title_RESULTS!$H$7)))*'Sheet3(F_21)'!D19</f>
        <v>170.34737260404233</v>
      </c>
      <c r="H19" s="5">
        <f>IF($G19=0,0,(($D19))*(Partcipation!$G19/100))</f>
        <v>126.14666678233411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386.48115406956106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309.2382884741353</v>
      </c>
      <c r="D20" s="5">
        <f>IF((Title_RESULTS!$H$8-Title_RESULTS!$H$7)&lt;=('Sheet3(F_21)'!A20-Title_RESULTS!$H$7),((Title_RESULTS!$C$8*Partcipation!$C$26*8760*Title_RESULTS!$H$21/100000)),0)</f>
        <v>3976.094378681627</v>
      </c>
      <c r="E20" s="5">
        <f>IF($G20=0,0,((Title_RESULTS!$H$14*((1+Title_RESULTS!$H$15/100)^($A20-Title_RESULTS!$H$7))*'EUE_Line Losses'!$B$25*Partcipation!$C$26))/1000)</f>
        <v>32.07619032642599</v>
      </c>
      <c r="F20" s="5">
        <f>IF($G20=0,0,(Title_RESULTS!$H$19/100*((1+Title_RESULTS!$H$20/100)^($A20-Title_RESULTS!$H$7))*$D20*1000)/1000)</f>
        <v>9.18070020524</v>
      </c>
      <c r="G20" s="5">
        <f>(+Title_RESULTS!$H$22/100*((1+Title_RESULTS!$H$23/100)^(+'Sheet4(F_22)'!A20-Title_RESULTS!$H$7)))*'Sheet3(F_21)'!D20</f>
        <v>178.08114332026585</v>
      </c>
      <c r="H20" s="5">
        <f>IF($G20=0,0,(($D20))*(Partcipation!$G20/100))</f>
        <v>131.78976257678627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396.78655974928074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316.66000739751456</v>
      </c>
      <c r="D21" s="5">
        <f>IF((Title_RESULTS!$H$8-Title_RESULTS!$H$7)&lt;=('Sheet3(F_21)'!A21-Title_RESULTS!$H$7),((Title_RESULTS!$C$8*Partcipation!$C$26*8760*Title_RESULTS!$H$21/100000)),0)</f>
        <v>3976.094378681627</v>
      </c>
      <c r="E21" s="5">
        <f>IF($G21=0,0,((Title_RESULTS!$H$14*((1+Title_RESULTS!$H$15/100)^($A21-Title_RESULTS!$H$7))*'EUE_Line Losses'!$B$25*Partcipation!$C$26))/1000)</f>
        <v>32.84601889426021</v>
      </c>
      <c r="F21" s="5">
        <f>IF($G21=0,0,(Title_RESULTS!$H$19/100*((1+Title_RESULTS!$H$20/100)^($A21-Title_RESULTS!$H$7))*$D21*1000)/1000)</f>
        <v>9.401037010165762</v>
      </c>
      <c r="G21" s="5">
        <f>(+Title_RESULTS!$H$22/100*((1+Title_RESULTS!$H$23/100)^(+'Sheet4(F_22)'!A21-Title_RESULTS!$H$7)))*'Sheet3(F_21)'!D21</f>
        <v>186.16602722700597</v>
      </c>
      <c r="H21" s="5">
        <f>IF($G21=0,0,(($D21))*(Partcipation!$G21/100))</f>
        <v>137.01236858038482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408.0607219485616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324.2598475750549</v>
      </c>
      <c r="D22" s="5">
        <f>IF((Title_RESULTS!$H$8-Title_RESULTS!$H$7)&lt;=('Sheet3(F_21)'!A22-Title_RESULTS!$H$7),((Title_RESULTS!$C$8*Partcipation!$C$26*8760*Title_RESULTS!$H$21/100000)),0)</f>
        <v>3976.094378681627</v>
      </c>
      <c r="E22" s="5">
        <f>IF($G22=0,0,((Title_RESULTS!$H$14*((1+Title_RESULTS!$H$15/100)^($A22-Title_RESULTS!$H$7))*'EUE_Line Losses'!$B$25*Partcipation!$C$26))/1000)</f>
        <v>33.63432334772245</v>
      </c>
      <c r="F22" s="5">
        <f>IF($G22=0,0,(Title_RESULTS!$H$19/100*((1+Title_RESULTS!$H$20/100)^($A22-Title_RESULTS!$H$7))*$D22*1000)/1000)</f>
        <v>9.62666189840974</v>
      </c>
      <c r="G22" s="5">
        <f>(+Title_RESULTS!$H$22/100*((1+Title_RESULTS!$H$23/100)^(+'Sheet4(F_22)'!A22-Title_RESULTS!$H$7)))*'Sheet3(F_21)'!D22</f>
        <v>194.61796486311204</v>
      </c>
      <c r="H22" s="5">
        <f>IF($G22=0,0,(($D22))*(Partcipation!$G22/100))</f>
        <v>141.45161829526035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420.6871793890389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332.0420839168562</v>
      </c>
      <c r="D23" s="5">
        <f>IF((Title_RESULTS!$H$8-Title_RESULTS!$H$7)&lt;=('Sheet3(F_21)'!A23-Title_RESULTS!$H$7),((Title_RESULTS!$C$8*Partcipation!$C$26*8760*Title_RESULTS!$H$21/100000)),0)</f>
        <v>3976.094378681627</v>
      </c>
      <c r="E23" s="5">
        <f>IF($G23=0,0,((Title_RESULTS!$H$14*((1+Title_RESULTS!$H$15/100)^($A23-Title_RESULTS!$H$7))*'EUE_Line Losses'!$B$25*Partcipation!$C$26))/1000)</f>
        <v>34.441547108067795</v>
      </c>
      <c r="F23" s="5">
        <f>IF($G23=0,0,(Title_RESULTS!$H$19/100*((1+Title_RESULTS!$H$20/100)^($A23-Title_RESULTS!$H$7))*$D23*1000)/1000)</f>
        <v>9.857701783971574</v>
      </c>
      <c r="G23" s="5">
        <f>(+Title_RESULTS!$H$22/100*((1+Title_RESULTS!$H$23/100)^(+'Sheet4(F_22)'!A23-Title_RESULTS!$H$7)))*'Sheet3(F_21)'!D23</f>
        <v>203.45362046789737</v>
      </c>
      <c r="H23" s="5">
        <f>IF($G23=0,0,(($D23))*(Partcipation!$G23/100))</f>
        <v>147.7829458962546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432.01200738053836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340.0110939308608</v>
      </c>
      <c r="D24" s="5">
        <f>IF((Title_RESULTS!$H$8-Title_RESULTS!$H$7)&lt;=('Sheet3(F_21)'!A24-Title_RESULTS!$H$7),((Title_RESULTS!$C$8*Partcipation!$C$26*8760*Title_RESULTS!$H$21/100000)),0)</f>
        <v>3976.094378681627</v>
      </c>
      <c r="E24" s="5">
        <f>IF($G24=0,0,((Title_RESULTS!$H$14*((1+Title_RESULTS!$H$15/100)^($A24-Title_RESULTS!$H$7))*'EUE_Line Losses'!$B$25*Partcipation!$C$26))/1000)</f>
        <v>35.268144238661414</v>
      </c>
      <c r="F24" s="5">
        <f>IF($G24=0,0,(Title_RESULTS!$H$19/100*((1+Title_RESULTS!$H$20/100)^($A24-Title_RESULTS!$H$7))*$D24*1000)/1000)</f>
        <v>10.094286626786891</v>
      </c>
      <c r="G24" s="5">
        <f>(+Title_RESULTS!$H$22/100*((1+Title_RESULTS!$H$23/100)^(+'Sheet4(F_22)'!A24-Title_RESULTS!$H$7)))*'Sheet3(F_21)'!D24</f>
        <v>212.69041483713994</v>
      </c>
      <c r="H24" s="5">
        <f>IF($G24=0,0,(($D24))*(Partcipation!$G24/100))</f>
        <v>159.05352213225996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439.0104175011891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348.1713601852014</v>
      </c>
      <c r="D25" s="5">
        <f>IF((Title_RESULTS!$H$8-Title_RESULTS!$H$7)&lt;=('Sheet3(F_21)'!A25-Title_RESULTS!$H$7),((Title_RESULTS!$C$8*Partcipation!$C$26*8760*Title_RESULTS!$H$21/100000)),0)</f>
        <v>3976.094378681627</v>
      </c>
      <c r="E25" s="5">
        <f>IF($G25=0,0,((Title_RESULTS!$H$14*((1+Title_RESULTS!$H$15/100)^($A25-Title_RESULTS!$H$7))*'EUE_Line Losses'!$B$25*Partcipation!$C$26))/1000)</f>
        <v>36.11457970038929</v>
      </c>
      <c r="F25" s="5">
        <f>IF($G25=0,0,(Title_RESULTS!$H$19/100*((1+Title_RESULTS!$H$20/100)^($A25-Title_RESULTS!$H$7))*$D25*1000)/1000)</f>
        <v>10.336549505829774</v>
      </c>
      <c r="G25" s="5">
        <f>(+Title_RESULTS!$H$22/100*((1+Title_RESULTS!$H$23/100)^(+'Sheet4(F_22)'!A25-Title_RESULTS!$H$7)))*'Sheet3(F_21)'!D25</f>
        <v>222.3465596707461</v>
      </c>
      <c r="H25" s="5">
        <f>IF($G25=0,0,(($D25))*(Partcipation!$G25/100))</f>
        <v>166.03368990014314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450.9353591620235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356.52747282964623</v>
      </c>
      <c r="D26" s="5">
        <f>IF((Title_RESULTS!$H$8-Title_RESULTS!$H$7)&lt;=('Sheet3(F_21)'!A26-Title_RESULTS!$H$7),((Title_RESULTS!$C$8*Partcipation!$C$26*8760*Title_RESULTS!$H$21/100000)),0)</f>
        <v>3976.094378681627</v>
      </c>
      <c r="E26" s="5">
        <f>IF($G26=0,0,((Title_RESULTS!$H$14*((1+Title_RESULTS!$H$15/100)^($A26-Title_RESULTS!$H$7))*'EUE_Line Losses'!$B$25*Partcipation!$C$26))/1000)</f>
        <v>36.98132961319863</v>
      </c>
      <c r="F26" s="5">
        <f>IF($G26=0,0,(Title_RESULTS!$H$19/100*((1+Title_RESULTS!$H$20/100)^($A26-Title_RESULTS!$H$7))*$D26*1000)/1000)</f>
        <v>10.584626693969689</v>
      </c>
      <c r="G26" s="5">
        <f>(+Title_RESULTS!$H$22/100*((1+Title_RESULTS!$H$23/100)^(+'Sheet4(F_22)'!A26-Title_RESULTS!$H$7)))*'Sheet3(F_21)'!D26</f>
        <v>232.44109347979798</v>
      </c>
      <c r="H26" s="5">
        <f>IF($G26=0,0,(($D26))*(Partcipation!$G26/100))</f>
        <v>178.3787773526458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458.15574526396676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365.08413217755776</v>
      </c>
      <c r="D27" s="5">
        <f>IF((Title_RESULTS!$H$8-Title_RESULTS!$H$7)&lt;=('Sheet3(F_21)'!A27-Title_RESULTS!$H$7),((Title_RESULTS!$C$8*Partcipation!$C$26*8760*Title_RESULTS!$H$21/100000)),0)</f>
        <v>3976.094378681627</v>
      </c>
      <c r="E27" s="5">
        <f>IF($G27=0,0,((Title_RESULTS!$H$14*((1+Title_RESULTS!$H$15/100)^($A27-Title_RESULTS!$H$7))*'EUE_Line Losses'!$B$25*Partcipation!$C$26))/1000)</f>
        <v>37.86888152391541</v>
      </c>
      <c r="F27" s="5">
        <f>IF($G27=0,0,(Title_RESULTS!$H$19/100*((1+Title_RESULTS!$H$20/100)^($A27-Title_RESULTS!$H$7))*$D27*1000)/1000)</f>
        <v>10.838657734624965</v>
      </c>
      <c r="G27" s="5">
        <f>(+Title_RESULTS!$H$22/100*((1+Title_RESULTS!$H$23/100)^(+'Sheet4(F_22)'!A27-Title_RESULTS!$H$7)))*'Sheet3(F_21)'!D27</f>
        <v>242.99391912378084</v>
      </c>
      <c r="H27" s="5">
        <f>IF($G27=0,0,(($D27))*(Partcipation!$G27/100))</f>
        <v>182.81453252028794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473.97105803959107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373.8461513498192</v>
      </c>
      <c r="D28" s="5">
        <f>IF((Title_RESULTS!$H$8-Title_RESULTS!$H$7)&lt;=('Sheet3(F_21)'!A28-Title_RESULTS!$H$7),((Title_RESULTS!$C$8*Partcipation!$C$26*8760*Title_RESULTS!$H$21/100000)),0)</f>
        <v>3976.094378681627</v>
      </c>
      <c r="E28" s="5">
        <f>IF($G28=0,0,((Title_RESULTS!$H$14*((1+Title_RESULTS!$H$15/100)^($A28-Title_RESULTS!$H$7))*'EUE_Line Losses'!$B$25*Partcipation!$C$26))/1000)</f>
        <v>38.777734680489374</v>
      </c>
      <c r="F28" s="5">
        <f>IF($G28=0,0,(Title_RESULTS!$H$19/100*((1+Title_RESULTS!$H$20/100)^($A28-Title_RESULTS!$H$7))*$D28*1000)/1000)</f>
        <v>11.098785520255962</v>
      </c>
      <c r="G28" s="5">
        <f>(+Title_RESULTS!$H$22/100*((1+Title_RESULTS!$H$23/100)^(+'Sheet4(F_22)'!A28-Title_RESULTS!$H$7)))*'Sheet3(F_21)'!D28</f>
        <v>254.0258430520005</v>
      </c>
      <c r="H28" s="5">
        <f>IF($G28=0,0,(($D28))*(Partcipation!$G28/100))</f>
        <v>193.78521643529305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483.9632981672721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382.8184589822149</v>
      </c>
      <c r="D29" s="5">
        <f>IF((Title_RESULTS!$H$8-Title_RESULTS!$H$7)&lt;=('Sheet3(F_21)'!A29-Title_RESULTS!$H$7),((Title_RESULTS!$C$8*Partcipation!$C$26*8760*Title_RESULTS!$H$21/100000)),0)</f>
        <v>3976.094378681627</v>
      </c>
      <c r="E29" s="5">
        <f>IF($G29=0,0,((Title_RESULTS!$H$14*((1+Title_RESULTS!$H$15/100)^($A29-Title_RESULTS!$H$7))*'EUE_Line Losses'!$B$25*Partcipation!$C$26))/1000)</f>
        <v>39.70840031282113</v>
      </c>
      <c r="F29" s="5">
        <f>IF($G29=0,0,(Title_RESULTS!$H$19/100*((1+Title_RESULTS!$H$20/100)^($A29-Title_RESULTS!$H$7))*$D29*1000)/1000)</f>
        <v>11.365156372742105</v>
      </c>
      <c r="G29" s="5">
        <f>(+Title_RESULTS!$H$22/100*((1+Title_RESULTS!$H$23/100)^(+'Sheet4(F_22)'!A29-Title_RESULTS!$H$7)))*'Sheet3(F_21)'!D29</f>
        <v>265.5586163265613</v>
      </c>
      <c r="H29" s="5">
        <f>IF($G29=0,0,(($D29))*(Partcipation!$G29/100))</f>
        <v>198.20496478237476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501.2456672119648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392.00610199778805</v>
      </c>
      <c r="D30" s="5">
        <f>IF((Title_RESULTS!$H$8-Title_RESULTS!$H$7)&lt;=('Sheet3(F_21)'!A30-Title_RESULTS!$H$7),((Title_RESULTS!$C$8*Partcipation!$C$26*8760*Title_RESULTS!$H$21/100000)),0)</f>
        <v>3976.094378681627</v>
      </c>
      <c r="E30" s="5">
        <f>IF($G30=0,0,((Title_RESULTS!$H$14*((1+Title_RESULTS!$H$15/100)^($A30-Title_RESULTS!$H$7))*'EUE_Line Losses'!$B$25*Partcipation!$C$26))/1000)</f>
        <v>40.66140192032882</v>
      </c>
      <c r="F30" s="5">
        <f>IF($G30=0,0,(Title_RESULTS!$H$19/100*((1+Title_RESULTS!$H$20/100)^($A30-Title_RESULTS!$H$7))*$D30*1000)/1000)</f>
        <v>11.637920125687915</v>
      </c>
      <c r="G30" s="5">
        <f>(+Title_RESULTS!$H$22/100*((1+Title_RESULTS!$H$23/100)^(+'Sheet4(F_22)'!A30-Title_RESULTS!$H$7)))*'Sheet3(F_21)'!D30</f>
        <v>277.6149775077873</v>
      </c>
      <c r="H30" s="5">
        <f>IF($G30=0,0,(($D30))*(Partcipation!$G30/100))</f>
        <v>210.9945559825522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510.9258455690399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4142.655514904673</v>
      </c>
      <c r="D32" s="9">
        <f t="shared" si="1"/>
        <v>47713.13254417953</v>
      </c>
      <c r="E32" s="9">
        <f t="shared" si="1"/>
        <v>429.702956281931</v>
      </c>
      <c r="F32" s="9">
        <f t="shared" si="1"/>
        <v>122.98761102186405</v>
      </c>
      <c r="G32" s="9">
        <f t="shared" si="1"/>
        <v>2640.3375524801377</v>
      </c>
      <c r="H32" s="9">
        <f t="shared" si="1"/>
        <v>1973.448621236577</v>
      </c>
      <c r="I32" s="9">
        <f t="shared" si="1"/>
        <v>0</v>
      </c>
      <c r="J32" s="9">
        <f t="shared" si="1"/>
        <v>5362.2350134520275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2335.924428288741</v>
      </c>
      <c r="D34" s="5"/>
      <c r="E34" s="5">
        <f>NPV(Title_RESULTS!$C$37,E17:E31)+'Sheet3(F_21)'!E16</f>
        <v>242.29715188132158</v>
      </c>
      <c r="F34" s="5">
        <f>NPV(Title_RESULTS!$C$37,F17:F31)+'Sheet3(F_21)'!F16</f>
        <v>69.34918047837171</v>
      </c>
      <c r="G34" s="5">
        <f>NPV(Title_RESULTS!$C$37,G17:G31)+'Sheet3(F_21)'!G16</f>
        <v>1463.9949986255035</v>
      </c>
      <c r="H34" s="5">
        <f>NPV(Title_RESULTS!$C$37,H17:H31)+'Sheet3(F_21)'!H16</f>
        <v>1091.2668870636921</v>
      </c>
      <c r="I34" s="5">
        <f>NPV(Title_RESULTS!$C$37,I17:I31)+'Sheet3(F_21)'!I16</f>
        <v>0</v>
      </c>
      <c r="J34" s="5">
        <f>NPV(Title_RESULTS!$C$37,J17:J31)+'Sheet3(F_21)'!J16</f>
        <v>3020.2988722102464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Smart Thermostats - BYOT</v>
      </c>
      <c r="F2" t="s">
        <v>55</v>
      </c>
    </row>
    <row r="3" spans="6:7" ht="12.75">
      <c r="F3" s="35">
        <f>+Title_RESULTS!I4</f>
        <v>43599.31802546296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0</v>
      </c>
      <c r="C32" s="5">
        <f t="shared" si="2"/>
        <v>0</v>
      </c>
      <c r="D32" s="5">
        <f t="shared" si="2"/>
        <v>0</v>
      </c>
      <c r="E32" s="5">
        <f t="shared" si="2"/>
        <v>0</v>
      </c>
      <c r="F32" s="5">
        <f t="shared" si="2"/>
        <v>0</v>
      </c>
      <c r="G32" s="5">
        <f t="shared" si="2"/>
        <v>0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0</v>
      </c>
      <c r="D34" s="5"/>
      <c r="E34" s="5">
        <f>NPV(+Title_RESULTS!$C$37,E17:E31)+E16</f>
        <v>0</v>
      </c>
      <c r="F34" s="5">
        <f>NPV(+Title_RESULTS!$C$37,F17:F31)+F16</f>
        <v>0</v>
      </c>
      <c r="G34" s="5">
        <f>NPV(+Title_RESULTS!$C$37,G17:G31)+G16</f>
        <v>0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Smart Thermostats - BYOT</v>
      </c>
      <c r="J2" t="s">
        <v>42</v>
      </c>
    </row>
    <row r="3" spans="9:10" ht="12.75">
      <c r="I3" s="4"/>
      <c r="J3" s="35">
        <f>+Title_RESULTS!I4</f>
        <v>43599.31802546296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Smart Thermostats - BYOT</v>
      </c>
      <c r="H2" t="s">
        <v>108</v>
      </c>
    </row>
    <row r="3" ht="12.75">
      <c r="H3" s="35">
        <f>+Title_RESULTS!I4</f>
        <v>43599.31802546296</v>
      </c>
    </row>
    <row r="5" spans="3:6" ht="12.75">
      <c r="C5" t="s">
        <v>60</v>
      </c>
      <c r="F5" s="38">
        <f>+'Value of Defferal'!L4</f>
        <v>178.2591488</v>
      </c>
    </row>
    <row r="6" spans="3:6" ht="12.75">
      <c r="C6" t="s">
        <v>62</v>
      </c>
      <c r="F6" s="38">
        <f>+'Value of Defferal'!L5</f>
        <v>432.6994944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17.615979714083704</v>
      </c>
      <c r="C17" s="5">
        <f>IF(+Title_RESULTS!$H$9&lt;='Sheet4(F_22)'!$A17,(+Title_RESULTS!$H$16*((1+Title_RESULTS!$H$18/100)^('Sheet4(F_22)'!$A17-Title_RESULTS!$H$7))*Title_RESULTS!$C$8*Partcipation!$C$26/1000),0)</f>
        <v>14.198940475789756</v>
      </c>
      <c r="D17" s="5">
        <f>(+B17+C17)*+Partcipation!$H17</f>
        <v>31.81492018987346</v>
      </c>
      <c r="E17" s="5">
        <f>VLOOKUP(A17,'Value of Defferal'!$I24:$P$58,'Value of Defferal'!$K$13)</f>
        <v>42.760360783483534</v>
      </c>
      <c r="F17" s="5">
        <f>IF(+'Value of Defferal'!P24=0,0,Title_RESULTS!$H$17*Title_RESULTS!$C$7*Partcipation!$C$26*(1+Title_RESULTS!$H$18/100)^('Sheet4(F_22)'!A17-Title_RESULTS!$H$7))/1000</f>
        <v>59.57038080000001</v>
      </c>
      <c r="G17" s="5">
        <f>(+E17+F17)*Partcipation!$H17</f>
        <v>102.33074158348354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18.03876322722171</v>
      </c>
      <c r="C18" s="5">
        <f>IF(+Title_RESULTS!$H$9&lt;='Sheet4(F_22)'!$A18,(+Title_RESULTS!$H$16*((1+Title_RESULTS!$H$18/100)^('Sheet4(F_22)'!$A18-Title_RESULTS!$H$7))*Title_RESULTS!$C$8*Partcipation!$C$26/1000),0)</f>
        <v>14.539715047208707</v>
      </c>
      <c r="D18" s="5">
        <f>(+B18+C18)*+Partcipation!$H18</f>
        <v>32.57847827443042</v>
      </c>
      <c r="E18" s="5">
        <f>VLOOKUP(A18,'Value of Defferal'!$I25:$P$58,'Value of Defferal'!$K$13)</f>
        <v>43.78660944228714</v>
      </c>
      <c r="F18" s="5">
        <f>IF(+'Value of Defferal'!P25=0,0,Title_RESULTS!$H$17*Title_RESULTS!$C$7*Partcipation!$C$26*(1+Title_RESULTS!$H$18/100)^('Sheet4(F_22)'!A18-Title_RESULTS!$H$7))/1000</f>
        <v>61.0000699392</v>
      </c>
      <c r="G18" s="5">
        <f>(+E18+F18)*Partcipation!$H18</f>
        <v>104.78667938148715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18.471693544675034</v>
      </c>
      <c r="C19" s="5">
        <f>IF(+Title_RESULTS!$H$9&lt;='Sheet4(F_22)'!$A19,(+Title_RESULTS!$H$16*((1+Title_RESULTS!$H$18/100)^('Sheet4(F_22)'!$A19-Title_RESULTS!$H$7))*Title_RESULTS!$C$8*Partcipation!$C$26/1000),0)</f>
        <v>14.888668208341718</v>
      </c>
      <c r="D19" s="5">
        <f>(+B19+C19)*+Partcipation!$H19</f>
        <v>33.360361753016754</v>
      </c>
      <c r="E19" s="5">
        <f>VLOOKUP(A19,'Value of Defferal'!$I26:$P$58,'Value of Defferal'!$K$13)</f>
        <v>44.837488068902026</v>
      </c>
      <c r="F19" s="5">
        <f>IF(+'Value of Defferal'!P26=0,0,Title_RESULTS!$H$17*Title_RESULTS!$C$7*Partcipation!$C$26*(1+Title_RESULTS!$H$18/100)^('Sheet4(F_22)'!A19-Title_RESULTS!$H$7))/1000</f>
        <v>62.464071617740814</v>
      </c>
      <c r="G19" s="5">
        <f>(+E19+F19)*Partcipation!$H19</f>
        <v>107.30155968664283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18.915014189747236</v>
      </c>
      <c r="C20" s="5">
        <f>IF(+Title_RESULTS!$H$9&lt;='Sheet4(F_22)'!$A20,(+Title_RESULTS!$H$16*((1+Title_RESULTS!$H$18/100)^('Sheet4(F_22)'!$A20-Title_RESULTS!$H$7))*Title_RESULTS!$C$8*Partcipation!$C$26/1000),0)</f>
        <v>15.245996245341919</v>
      </c>
      <c r="D20" s="5">
        <f>(+B20+C20)*+Partcipation!$H20</f>
        <v>34.16101043508915</v>
      </c>
      <c r="E20" s="5">
        <f>VLOOKUP(A20,'Value of Defferal'!$I27:$P$58,'Value of Defferal'!$K$13)</f>
        <v>45.91358778255567</v>
      </c>
      <c r="F20" s="5">
        <f>IF(+'Value of Defferal'!P27=0,0,Title_RESULTS!$H$17*Title_RESULTS!$C$7*Partcipation!$C$26*(1+Title_RESULTS!$H$18/100)^('Sheet4(F_22)'!A20-Title_RESULTS!$H$7))/1000</f>
        <v>63.963209336566585</v>
      </c>
      <c r="G20" s="5">
        <f>(+E20+F20)*Partcipation!$H20</f>
        <v>109.87679711912226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19.36897453030117</v>
      </c>
      <c r="C21" s="5">
        <f>IF(+Title_RESULTS!$H$9&lt;='Sheet4(F_22)'!$A21,(+Title_RESULTS!$H$16*((1+Title_RESULTS!$H$18/100)^('Sheet4(F_22)'!$A21-Title_RESULTS!$H$7))*Title_RESULTS!$C$8*Partcipation!$C$26/1000),0)</f>
        <v>15.611900155230126</v>
      </c>
      <c r="D21" s="5">
        <f>(+B21+C21)*+Partcipation!$H21</f>
        <v>34.9808746855313</v>
      </c>
      <c r="E21" s="5">
        <f>VLOOKUP(A21,'Value of Defferal'!$I28:$P$58,'Value of Defferal'!$K$13)</f>
        <v>47.015513889337015</v>
      </c>
      <c r="F21" s="5">
        <f>IF(+'Value of Defferal'!P28=0,0,Title_RESULTS!$H$17*Title_RESULTS!$C$7*Partcipation!$C$26*(1+Title_RESULTS!$H$18/100)^('Sheet4(F_22)'!A21-Title_RESULTS!$H$7))/1000</f>
        <v>65.49832636064419</v>
      </c>
      <c r="G21" s="5">
        <f>(+E21+F21)*Partcipation!$H21</f>
        <v>112.5138402499812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19.833829919028396</v>
      </c>
      <c r="C22" s="5">
        <f>IF(+Title_RESULTS!$H$9&lt;='Sheet4(F_22)'!$A22,(+Title_RESULTS!$H$16*((1+Title_RESULTS!$H$18/100)^('Sheet4(F_22)'!$A22-Title_RESULTS!$H$7))*Title_RESULTS!$C$8*Partcipation!$C$26/1000),0)</f>
        <v>15.986585758955645</v>
      </c>
      <c r="D22" s="5">
        <f>(+B22+C22)*+Partcipation!$H22</f>
        <v>35.820415677984045</v>
      </c>
      <c r="E22" s="5">
        <f>VLOOKUP(A22,'Value of Defferal'!$I29:$P$58,'Value of Defferal'!$K$13)</f>
        <v>48.143886222681104</v>
      </c>
      <c r="F22" s="5">
        <f>IF(+'Value of Defferal'!P29=0,0,Title_RESULTS!$H$17*Title_RESULTS!$C$7*Partcipation!$C$26*(1+Title_RESULTS!$H$18/100)^('Sheet4(F_22)'!A22-Title_RESULTS!$H$7))/1000</f>
        <v>67.07028619329964</v>
      </c>
      <c r="G22" s="5">
        <f>(+E22+F22)*Partcipation!$H22</f>
        <v>115.21417241598074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20.309841837085077</v>
      </c>
      <c r="C23" s="5">
        <f>IF(+Title_RESULTS!$H$9&lt;='Sheet4(F_22)'!$A23,(+Title_RESULTS!$H$16*((1+Title_RESULTS!$H$18/100)^('Sheet4(F_22)'!$A23-Title_RESULTS!$H$7))*Title_RESULTS!$C$8*Partcipation!$C$26/1000),0)</f>
        <v>16.37026381717058</v>
      </c>
      <c r="D23" s="5">
        <f>(+B23+C23)*+Partcipation!$H23</f>
        <v>36.680105654255655</v>
      </c>
      <c r="E23" s="5">
        <f>VLOOKUP(A23,'Value of Defferal'!$I30:$P$58,'Value of Defferal'!$K$13)</f>
        <v>49.299339492025446</v>
      </c>
      <c r="F23" s="5">
        <f>IF(+'Value of Defferal'!P30=0,0,Title_RESULTS!$H$17*Title_RESULTS!$C$7*Partcipation!$C$26*(1+Title_RESULTS!$H$18/100)^('Sheet4(F_22)'!A23-Title_RESULTS!$H$7))/1000</f>
        <v>68.67997306193884</v>
      </c>
      <c r="G23" s="5">
        <f>(+E23+F23)*Partcipation!$H23</f>
        <v>117.97931255396429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20.79727804117512</v>
      </c>
      <c r="C24" s="5">
        <f>IF(+Title_RESULTS!$H$9&lt;='Sheet4(F_22)'!$A24,(+Title_RESULTS!$H$16*((1+Title_RESULTS!$H$18/100)^('Sheet4(F_22)'!$A24-Title_RESULTS!$H$7))*Title_RESULTS!$C$8*Partcipation!$C$26/1000),0)</f>
        <v>16.763150148782675</v>
      </c>
      <c r="D24" s="5">
        <f>(+B24+C24)*+Partcipation!$H24</f>
        <v>37.56042818995779</v>
      </c>
      <c r="E24" s="5">
        <f>VLOOKUP(A24,'Value of Defferal'!$I31:$P$58,'Value of Defferal'!$K$13)</f>
        <v>50.482523639834056</v>
      </c>
      <c r="F24" s="5">
        <f>IF(+'Value of Defferal'!P31=0,0,Title_RESULTS!$H$17*Title_RESULTS!$C$7*Partcipation!$C$26*(1+Title_RESULTS!$H$18/100)^('Sheet4(F_22)'!A24-Title_RESULTS!$H$7))/1000</f>
        <v>70.32829241542535</v>
      </c>
      <c r="G24" s="5">
        <f>(+E24+F24)*Partcipation!$H24</f>
        <v>120.81081605525941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21.296412714163324</v>
      </c>
      <c r="C25" s="5">
        <f>IF(+Title_RESULTS!$H$9&lt;='Sheet4(F_22)'!$A25,(+Title_RESULTS!$H$16*((1+Title_RESULTS!$H$18/100)^('Sheet4(F_22)'!$A25-Title_RESULTS!$H$7))*Title_RESULTS!$C$8*Partcipation!$C$26/1000),0)</f>
        <v>17.16546575235346</v>
      </c>
      <c r="D25" s="5">
        <f>(+B25+C25)*+Partcipation!$H25</f>
        <v>38.46187846651678</v>
      </c>
      <c r="E25" s="5">
        <f>VLOOKUP(A25,'Value of Defferal'!$I32:$P$58,'Value of Defferal'!$K$13)</f>
        <v>51.69410420719008</v>
      </c>
      <c r="F25" s="5">
        <f>IF(+'Value of Defferal'!P32=0,0,Title_RESULTS!$H$17*Title_RESULTS!$C$7*Partcipation!$C$26*(1+Title_RESULTS!$H$18/100)^('Sheet4(F_22)'!A25-Title_RESULTS!$H$7))/1000</f>
        <v>72.01617143339556</v>
      </c>
      <c r="G25" s="5">
        <f>(+E25+F25)*Partcipation!$H25</f>
        <v>123.71027564058564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21.807526619303246</v>
      </c>
      <c r="C26" s="5">
        <f>IF(+Title_RESULTS!$H$9&lt;='Sheet4(F_22)'!$A26,(+Title_RESULTS!$H$16*((1+Title_RESULTS!$H$18/100)^('Sheet4(F_22)'!$A26-Title_RESULTS!$H$7))*Title_RESULTS!$C$8*Partcipation!$C$26/1000),0)</f>
        <v>17.57743693040994</v>
      </c>
      <c r="D26" s="5">
        <f>(+B26+C26)*+Partcipation!$H26</f>
        <v>39.38496354971319</v>
      </c>
      <c r="E26" s="5">
        <f>VLOOKUP(A26,'Value of Defferal'!$I33:$P$58,'Value of Defferal'!$K$13)</f>
        <v>52.934762708162644</v>
      </c>
      <c r="F26" s="5">
        <f>IF(+'Value of Defferal'!P33=0,0,Title_RESULTS!$H$17*Title_RESULTS!$C$7*Partcipation!$C$26*(1+Title_RESULTS!$H$18/100)^('Sheet4(F_22)'!A26-Title_RESULTS!$H$7))/1000</f>
        <v>73.74455954779707</v>
      </c>
      <c r="G26" s="5">
        <f>(+E26+F26)*Partcipation!$H26</f>
        <v>126.6793222559597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22.330907258166526</v>
      </c>
      <c r="C27" s="5">
        <f>IF(+Title_RESULTS!$H$9&lt;='Sheet4(F_22)'!$A27,(+Title_RESULTS!$H$16*((1+Title_RESULTS!$H$18/100)^('Sheet4(F_22)'!$A27-Title_RESULTS!$H$7))*Title_RESULTS!$C$8*Partcipation!$C$26/1000),0)</f>
        <v>17.999295416739784</v>
      </c>
      <c r="D27" s="5">
        <f>(+B27+C27)*+Partcipation!$H27</f>
        <v>40.33020267490631</v>
      </c>
      <c r="E27" s="5">
        <f>VLOOKUP(A27,'Value of Defferal'!$I34:$P$58,'Value of Defferal'!$K$13)</f>
        <v>54.20519701315855</v>
      </c>
      <c r="F27" s="5">
        <f>IF(+'Value of Defferal'!P34=0,0,Title_RESULTS!$H$17*Title_RESULTS!$C$7*Partcipation!$C$26*(1+Title_RESULTS!$H$18/100)^('Sheet4(F_22)'!A27-Title_RESULTS!$H$7))/1000</f>
        <v>75.5144289769442</v>
      </c>
      <c r="G27" s="5">
        <f>(+E27+F27)*Partcipation!$H27</f>
        <v>129.71962599010277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22.86684903236252</v>
      </c>
      <c r="C28" s="5">
        <f>IF(+Title_RESULTS!$H$9&lt;='Sheet4(F_22)'!$A28,(+Title_RESULTS!$H$16*((1+Title_RESULTS!$H$18/100)^('Sheet4(F_22)'!$A28-Title_RESULTS!$H$7))*Title_RESULTS!$C$8*Partcipation!$C$26/1000),0)</f>
        <v>18.43127850674154</v>
      </c>
      <c r="D28" s="5">
        <f>(+B28+C28)*+Partcipation!$H28</f>
        <v>41.29812753910406</v>
      </c>
      <c r="E28" s="5">
        <f>VLOOKUP(A28,'Value of Defferal'!$I35:$P$58,'Value of Defferal'!$K$13)</f>
        <v>55.50612174147435</v>
      </c>
      <c r="F28" s="5">
        <f>IF(+'Value of Defferal'!P35=0,0,Title_RESULTS!$H$17*Title_RESULTS!$C$7*Partcipation!$C$26*(1+Title_RESULTS!$H$18/100)^('Sheet4(F_22)'!A28-Title_RESULTS!$H$7))/1000</f>
        <v>77.32677527239085</v>
      </c>
      <c r="G28" s="5">
        <f>(+E28+F28)*Partcipation!$H28</f>
        <v>132.8328970138652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23.41565340913922</v>
      </c>
      <c r="C29" s="5">
        <f>IF(+Title_RESULTS!$H$9&lt;='Sheet4(F_22)'!$A29,(+Title_RESULTS!$H$16*((1+Title_RESULTS!$H$18/100)^('Sheet4(F_22)'!$A29-Title_RESULTS!$H$7))*Title_RESULTS!$C$8*Partcipation!$C$26/1000),0)</f>
        <v>18.873629190903337</v>
      </c>
      <c r="D29" s="5">
        <f>(+B29+C29)*+Partcipation!$H29</f>
        <v>42.289282600042554</v>
      </c>
      <c r="E29" s="5">
        <f>VLOOKUP(A29,'Value of Defferal'!$I36:$P$58,'Value of Defferal'!$K$13)</f>
        <v>56.838268663269744</v>
      </c>
      <c r="F29" s="5">
        <f>IF(+'Value of Defferal'!P36=0,0,Title_RESULTS!$H$17*Title_RESULTS!$C$7*Partcipation!$C$26*(1+Title_RESULTS!$H$18/100)^('Sheet4(F_22)'!A29-Title_RESULTS!$H$7))/1000</f>
        <v>79.18261787892823</v>
      </c>
      <c r="G29" s="5">
        <f>(+E29+F29)*Partcipation!$H29</f>
        <v>136.02088654219796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23.977629090958562</v>
      </c>
      <c r="C30" s="5">
        <f>IF(+Title_RESULTS!$H$9&lt;='Sheet4(F_22)'!$A30,(+Title_RESULTS!$H$16*((1+Title_RESULTS!$H$18/100)^('Sheet4(F_22)'!$A30-Title_RESULTS!$H$7))*Title_RESULTS!$C$8*Partcipation!$C$26/1000),0)</f>
        <v>19.326596291485014</v>
      </c>
      <c r="D30" s="5">
        <f>(+B30+C30)*+Partcipation!$H30</f>
        <v>43.304225382443576</v>
      </c>
      <c r="E30" s="5">
        <f>VLOOKUP(A30,'Value of Defferal'!$I37:$P$58,'Value of Defferal'!$K$13)</f>
        <v>58.20238711118821</v>
      </c>
      <c r="F30" s="5">
        <f>IF(+'Value of Defferal'!P37=0,0,Title_RESULTS!$H$17*Title_RESULTS!$C$7*Partcipation!$C$26*(1+Title_RESULTS!$H$18/100)^('Sheet4(F_22)'!A30-Title_RESULTS!$H$7))/1000</f>
        <v>81.08300070802251</v>
      </c>
      <c r="G30" s="5">
        <f>(+E30+F30)*Partcipation!$H30</f>
        <v>139.2853878192107</v>
      </c>
      <c r="H30" s="5">
        <f>+'Sheet5(p_5)'!$F30*'Sheet2(F_12)'!$I30</f>
        <v>0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289.04635312741084</v>
      </c>
      <c r="C32" s="5">
        <f t="shared" si="1"/>
        <v>232.97892194545418</v>
      </c>
      <c r="D32" s="5">
        <f t="shared" si="1"/>
        <v>522.025275072865</v>
      </c>
      <c r="E32" s="5">
        <f t="shared" si="1"/>
        <v>701.6201507655495</v>
      </c>
      <c r="F32" s="5">
        <f t="shared" si="1"/>
        <v>977.4421635422938</v>
      </c>
      <c r="G32" s="5">
        <f t="shared" si="1"/>
        <v>1679.0623143078435</v>
      </c>
      <c r="H32" s="5">
        <f t="shared" si="1"/>
        <v>0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175.06370241936335</v>
      </c>
      <c r="C34" s="5">
        <f>NPV(Title_RESULTS!$C$37,'Sheet4(F_22)'!C17:C31)+'Sheet4(F_22)'!C16</f>
        <v>141.10592373903668</v>
      </c>
      <c r="D34" s="5">
        <f>NPV(Title_RESULTS!$C$37,'Sheet4(F_22)'!D17:D31)+'Sheet4(F_22)'!D16</f>
        <v>316.1696261584</v>
      </c>
      <c r="E34" s="5">
        <f>NPV(Title_RESULTS!$C$37,'Sheet4(F_22)'!E17:E31)+'Sheet4(F_22)'!E16</f>
        <v>424.94298909527055</v>
      </c>
      <c r="F34" s="5">
        <f>NPV(Title_RESULTS!$C$37,'Sheet4(F_22)'!F17:F31)+'Sheet4(F_22)'!F16</f>
        <v>591.9972426536029</v>
      </c>
      <c r="G34" s="5">
        <f>NPV(Title_RESULTS!$C$37,'Sheet4(F_22)'!G17:G31)+'Sheet4(F_22)'!G16</f>
        <v>1016.9402317488735</v>
      </c>
      <c r="H34" s="5">
        <f>NPV(Title_RESULTS!$C$37,'Sheet4(F_22)'!H17:H31)+'Sheet4(F_22)'!H16</f>
        <v>0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Smart Thermostats - BYOT</v>
      </c>
      <c r="P2" t="s">
        <v>121</v>
      </c>
    </row>
    <row r="3" ht="12.75">
      <c r="P3" s="35">
        <f>+Title_RESULTS!I4</f>
        <v>43599.31802546296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571</v>
      </c>
      <c r="C16" s="5">
        <f>(Partcipation!$C15+(Partcipation!$C16-Partcipation!$C15)/2)*(Title_RESULTS!$C$27*((1+Title_RESULTS!$C$28/100)^('Sheet9(F_25)'!$A16-Title_RESULTS!$H$7)))/1000</f>
        <v>7.5</v>
      </c>
      <c r="D16" s="5">
        <f>SUM(B16:C16)</f>
        <v>578.5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72</v>
      </c>
      <c r="G16" s="5">
        <f>SUM(E16:F16)</f>
        <v>72</v>
      </c>
      <c r="H16" s="5">
        <f>IF(Partcipation!$B17&lt;Partcipation!$B16,0,IF(Partcipation!$B16=0,0,(Partcipation!$B16-Partcipation!$B15)*(+Title_RESULTS!$C$29*(1+Title_RESULTS!$C$30/100)^(+'Sheet8(F_24)'!$A16-Title_RESULTS!$H$7))/1000))</f>
        <v>249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249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584.7040000000001</v>
      </c>
      <c r="C17" s="5">
        <f>(Partcipation!$C16+(Partcipation!$C17-Partcipation!$C16)/2)*(Title_RESULTS!$C$27*((1+Title_RESULTS!$C$28/100)^('Sheet9(F_25)'!$A17-Title_RESULTS!$H$7)))/1000</f>
        <v>23.04</v>
      </c>
      <c r="D17" s="5">
        <f>SUM(B17:C17)</f>
        <v>607.744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216</v>
      </c>
      <c r="G17" s="5">
        <f>SUM(E17:F17)</f>
        <v>216</v>
      </c>
      <c r="H17" s="5">
        <f>IF(Partcipation!$B18&lt;Partcipation!$B17,0,IF(Partcipation!$B17=0,0,(Partcipation!$B17-Partcipation!$B16)*(+Title_RESULTS!$C$29*(1+Title_RESULTS!$C$30/100)^(+'Sheet8(F_24)'!$A17-Title_RESULTS!$H$7))/1000))</f>
        <v>254.72699999999998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254.72699999999998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598.736896</v>
      </c>
      <c r="C18" s="5">
        <f>(Partcipation!$C17+(Partcipation!$C18-Partcipation!$C17)/2)*(Title_RESULTS!$C$27*((1+Title_RESULTS!$C$28/100)^('Sheet9(F_25)'!$A18-Title_RESULTS!$H$7)))/1000</f>
        <v>39.3216</v>
      </c>
      <c r="D18" s="5">
        <f>SUM(B18:C18)</f>
        <v>638.058496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360</v>
      </c>
      <c r="G18" s="5">
        <f>SUM(E18:F18)</f>
        <v>360</v>
      </c>
      <c r="H18" s="5">
        <f>IF(Partcipation!$B19&lt;Partcipation!$B18,0,IF(Partcipation!$B18=0,0,(Partcipation!$B18-Partcipation!$B17)*(+Title_RESULTS!$C$29*(1+Title_RESULTS!$C$30/100)^(+'Sheet8(F_24)'!$A18-Title_RESULTS!$H$7))/1000))</f>
        <v>260.585721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260.585721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48.318382080000006</v>
      </c>
      <c r="D19" s="5">
        <f aca="true" t="shared" si="1" ref="D19:D30">SUM(B19:C19)</f>
        <v>48.318382080000006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432</v>
      </c>
      <c r="G19" s="5">
        <f aca="true" t="shared" si="2" ref="G19:G30">SUM(E19:F19)</f>
        <v>432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49.47802324992</v>
      </c>
      <c r="D20" s="5">
        <f t="shared" si="1"/>
        <v>49.47802324992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432</v>
      </c>
      <c r="G20" s="5">
        <f t="shared" si="2"/>
        <v>432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50.665495807918084</v>
      </c>
      <c r="D21" s="5">
        <f t="shared" si="1"/>
        <v>50.665495807918084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432</v>
      </c>
      <c r="G21" s="5">
        <f t="shared" si="2"/>
        <v>432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51.881467707308104</v>
      </c>
      <c r="D22" s="5">
        <f t="shared" si="1"/>
        <v>51.881467707308104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432</v>
      </c>
      <c r="G22" s="5">
        <f t="shared" si="2"/>
        <v>432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53.12662293228351</v>
      </c>
      <c r="D23" s="5">
        <f t="shared" si="1"/>
        <v>53.12662293228351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432</v>
      </c>
      <c r="G23" s="5">
        <f t="shared" si="2"/>
        <v>432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54.40166188265832</v>
      </c>
      <c r="D24" s="5">
        <f t="shared" si="1"/>
        <v>54.40166188265832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432</v>
      </c>
      <c r="G24" s="5">
        <f t="shared" si="2"/>
        <v>432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55.707301767842104</v>
      </c>
      <c r="D25" s="5">
        <f t="shared" si="1"/>
        <v>55.707301767842104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432</v>
      </c>
      <c r="G25" s="5">
        <f t="shared" si="2"/>
        <v>432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57.044277010270314</v>
      </c>
      <c r="D26" s="5">
        <f t="shared" si="1"/>
        <v>57.044277010270314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432</v>
      </c>
      <c r="G26" s="5">
        <f t="shared" si="2"/>
        <v>432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58.41333965851681</v>
      </c>
      <c r="D27" s="5">
        <f t="shared" si="1"/>
        <v>58.41333965851681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432</v>
      </c>
      <c r="G27" s="5">
        <f t="shared" si="2"/>
        <v>432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59.815259810321216</v>
      </c>
      <c r="D28" s="5">
        <f t="shared" si="1"/>
        <v>59.815259810321216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432</v>
      </c>
      <c r="G28" s="5">
        <f t="shared" si="2"/>
        <v>432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61.25082604576892</v>
      </c>
      <c r="D29" s="5">
        <f t="shared" si="1"/>
        <v>61.25082604576892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432</v>
      </c>
      <c r="G29" s="5">
        <f t="shared" si="2"/>
        <v>432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62.720845870867365</v>
      </c>
      <c r="D30" s="5">
        <f t="shared" si="1"/>
        <v>62.720845870867365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432</v>
      </c>
      <c r="G30" s="5">
        <f t="shared" si="2"/>
        <v>432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1754.440896</v>
      </c>
      <c r="C32" s="5">
        <f t="shared" si="4"/>
        <v>732.6851038236748</v>
      </c>
      <c r="D32" s="5">
        <f t="shared" si="4"/>
        <v>2487.1259998236746</v>
      </c>
      <c r="E32" s="5">
        <f t="shared" si="4"/>
        <v>0</v>
      </c>
      <c r="F32" s="5">
        <f t="shared" si="4"/>
        <v>5832</v>
      </c>
      <c r="G32" s="5">
        <f t="shared" si="4"/>
        <v>5832</v>
      </c>
      <c r="H32" s="5">
        <f t="shared" si="4"/>
        <v>764.312721</v>
      </c>
      <c r="I32" s="5">
        <f t="shared" si="4"/>
        <v>0</v>
      </c>
      <c r="J32" s="5">
        <f t="shared" si="4"/>
        <v>764.312721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1639.222952086068</v>
      </c>
      <c r="C34" s="5">
        <f>NPV(Title_RESULTS!$C$37,'Sheet6(p_6)'!C17:C31)+'Sheet6(p_6)'!C16</f>
        <v>437.0574630959693</v>
      </c>
      <c r="D34" s="5">
        <f>NPV(Title_RESULTS!$C$37,'Sheet6(p_6)'!D17:D31)+'Sheet6(p_6)'!D16</f>
        <v>2076.280415182038</v>
      </c>
      <c r="E34" s="5">
        <f>NPV(Title_RESULTS!$C$37,'Sheet6(p_6)'!E17:E31)+'Sheet6(p_6)'!E16</f>
        <v>0</v>
      </c>
      <c r="F34" s="5">
        <f>NPV(Title_RESULTS!$C$37,'Sheet6(p_6)'!F17:F31)+'Sheet6(p_6)'!F16</f>
        <v>3567.4712817964196</v>
      </c>
      <c r="G34" s="5">
        <f>NPV(Title_RESULTS!$C$37,'Sheet6(p_6)'!G17:G31)+'Sheet6(p_6)'!G16</f>
        <v>3567.4712817964196</v>
      </c>
      <c r="H34" s="5">
        <f>NPV(Title_RESULTS!$C$37,'Sheet6(p_6)'!H17:H31)+'Sheet6(p_6)'!H16</f>
        <v>714.1504562168441</v>
      </c>
      <c r="I34" s="5">
        <f>NPV(Title_RESULTS!$C$37,'Sheet6(p_6)'!I17:I31)+'Sheet6(p_6)'!I16</f>
        <v>0</v>
      </c>
      <c r="J34" s="5">
        <f>NPV(Title_RESULTS!$C$37,'Sheet6(p_6)'!J17:J31)+'Sheet6(p_6)'!J16</f>
        <v>714.1504562168441</v>
      </c>
      <c r="K34" s="5"/>
      <c r="L34" s="5">
        <f>NPV(Title_RESULTS!$C$37,'Sheet6(p_6)'!L17:L31)+'Sheet6(p_6)'!L16</f>
        <v>0</v>
      </c>
      <c r="M34" s="5">
        <f>NPV(Title_RESULTS!$C$37,'Sheet6(p_6)'!M17:M31)+'Sheet6(p_6)'!M16</f>
        <v>0</v>
      </c>
      <c r="N34" s="5">
        <f>NPV(Title_RESULTS!$C$37,'Sheet6(p_6)'!N17:N31)+'Sheet6(p_6)'!N16</f>
        <v>0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Smart Thermostats - BYOT</v>
      </c>
      <c r="M2" t="s">
        <v>55</v>
      </c>
    </row>
    <row r="3" ht="12.75">
      <c r="M3" s="35">
        <f>+Title_RESULTS!I4</f>
        <v>43599.31802546296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578.5</v>
      </c>
      <c r="D16" s="5">
        <f>IF(A16&gt;=(Title_RESULTS!$H$7+Title_RESULTS!$C$17),0,(+'Sheet6(p_6)'!$J16))</f>
        <v>249</v>
      </c>
      <c r="E16" s="5">
        <f>IF(A16&gt;=(Title_RESULTS!$H$7+Title_RESULTS!$C$17),0,(+'f-11B'!$N15))</f>
        <v>0</v>
      </c>
      <c r="F16" s="5">
        <f>IF(A16&gt;=(Title_RESULTS!$H$7+Title_RESULTS!$C$17),0,(SUM(B16:E16)))</f>
        <v>827.5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-827.5</v>
      </c>
      <c r="M16" s="23">
        <f>IF(A16&gt;=(Title_RESULTS!$H$7+Title_RESULTS!$C$17),0,(+$L16/(1+Title_RESULTS!$C$37)^('Sheet7(F_23)'!$A16-Title_RESULTS!$H$7)))</f>
        <v>-827.5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607.744</v>
      </c>
      <c r="D17" s="5">
        <f>IF(A17&gt;=(Title_RESULTS!$H$7+Title_RESULTS!$C$17),0,(+'Sheet6(p_6)'!$J17))</f>
        <v>254.72699999999998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862.471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134.145661773357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134.145661773357</v>
      </c>
      <c r="L17" s="23">
        <f>IF(A17&gt;=(Title_RESULTS!$H$7+Title_RESULTS!$C$17),0,(+$K17-$F17))</f>
        <v>-728.325338226643</v>
      </c>
      <c r="M17" s="23">
        <f>IF(A17&gt;=(Title_RESULTS!$H$7+Title_RESULTS!$C$17),0,(+M16+$L17/(1+Title_RESULTS!$C$37)^('Sheet7(F_23)'!$A17-Title_RESULTS!$H$7)))</f>
        <v>-1507.6693483625727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638.058496</v>
      </c>
      <c r="D18" s="5">
        <f>IF(A18&gt;=(Title_RESULTS!$H$7+Title_RESULTS!$C$17),0,(+'Sheet6(p_6)'!$J18))</f>
        <v>260.585721</v>
      </c>
      <c r="E18" s="5">
        <f>IF(A18&gt;=(Title_RESULTS!$H$7+Title_RESULTS!$C$17),0,(+'f-11B'!$N17))</f>
        <v>0</v>
      </c>
      <c r="F18" s="5">
        <f>IF(A18&gt;=(Title_RESULTS!$H$7+Title_RESULTS!$C$17),0,(SUM(B18:E18)))</f>
        <v>898.644217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137.36515765591756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137.36515765591756</v>
      </c>
      <c r="L18" s="23">
        <f>IF(A18&gt;=(Title_RESULTS!$H$7+Title_RESULTS!$C$17),0,(+$K18-$F18))</f>
        <v>-761.2790593440825</v>
      </c>
      <c r="M18" s="23">
        <f>IF(A18&gt;=(Title_RESULTS!$H$7+Title_RESULTS!$C$17),0,(+M17+$L18/(1+Title_RESULTS!$C$37)^('Sheet7(F_23)'!$A18-Title_RESULTS!$H$7)))</f>
        <v>-2171.6067870289407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48.318382080000006</v>
      </c>
      <c r="G19" s="5">
        <f>IF(A19&gt;=(Title_RESULTS!$H$7+Title_RESULTS!$C$17),0,('Sheet3(F_21)'!$J19))</f>
        <v>386.48115406956106</v>
      </c>
      <c r="H19" s="5">
        <f>IF(A19&gt;=(Title_RESULTS!$H$7+Title_RESULTS!$C$17),0,(+'Sheet4(F_22)'!$D19+'Sheet4(F_22)'!$G19))</f>
        <v>140.66192143965958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527.1430755092206</v>
      </c>
      <c r="L19" s="23">
        <f>IF(A19&gt;=(Title_RESULTS!$H$7+Title_RESULTS!$C$17),0,(+$K19-$F19))</f>
        <v>478.8246934292206</v>
      </c>
      <c r="M19" s="23">
        <f>IF(A19&gt;=(Title_RESULTS!$H$7+Title_RESULTS!$C$17),0,(+M18+$L19/(1+Title_RESULTS!$C$37)^('Sheet7(F_23)'!$A19-Title_RESULTS!$H$7)))</f>
        <v>-1781.61860041169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49.47802324992</v>
      </c>
      <c r="G20" s="5">
        <f>IF(A20&gt;=(Title_RESULTS!$H$7+Title_RESULTS!$C$17),0,('Sheet3(F_21)'!$J20))</f>
        <v>396.78655974928074</v>
      </c>
      <c r="H20" s="5">
        <f>IF(A20&gt;=(Title_RESULTS!$H$7+Title_RESULTS!$C$17),0,(+'Sheet4(F_22)'!$D20+'Sheet4(F_22)'!$G20))</f>
        <v>144.0378075542114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540.8243673034922</v>
      </c>
      <c r="L20" s="23">
        <f>IF(A20&gt;=(Title_RESULTS!$H$7+Title_RESULTS!$C$17),0,(+$K20-$F20))</f>
        <v>491.3463440535722</v>
      </c>
      <c r="M20" s="23">
        <f>IF(A20&gt;=(Title_RESULTS!$H$7+Title_RESULTS!$C$17),0,(+M19+$L20/(1+Title_RESULTS!$C$37)^('Sheet7(F_23)'!$A20-Title_RESULTS!$H$7)))</f>
        <v>-1407.891768903024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50.665495807918084</v>
      </c>
      <c r="G21" s="5">
        <f>IF(A21&gt;=(Title_RESULTS!$H$7+Title_RESULTS!$C$17),0,('Sheet3(F_21)'!$J21))</f>
        <v>408.0607219485616</v>
      </c>
      <c r="H21" s="5">
        <f>IF(A21&gt;=(Title_RESULTS!$H$7+Title_RESULTS!$C$17),0,(+'Sheet4(F_22)'!$D21+'Sheet4(F_22)'!$G21))</f>
        <v>147.4947149355125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555.5554368840741</v>
      </c>
      <c r="L21" s="23">
        <f>IF(A21&gt;=(Title_RESULTS!$H$7+Title_RESULTS!$C$17),0,(+$K21-$F21))</f>
        <v>504.889941076156</v>
      </c>
      <c r="M21" s="23">
        <f>IF(A21&gt;=(Title_RESULTS!$H$7+Title_RESULTS!$C$17),0,(+M20+$L21/(1+Title_RESULTS!$C$37)^('Sheet7(F_23)'!$A21-Title_RESULTS!$H$7)))</f>
        <v>-1049.2549235250438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51.881467707308104</v>
      </c>
      <c r="G22" s="5">
        <f>IF(A22&gt;=(Title_RESULTS!$H$7+Title_RESULTS!$C$17),0,('Sheet3(F_21)'!$J22))</f>
        <v>420.6871793890389</v>
      </c>
      <c r="H22" s="5">
        <f>IF(A22&gt;=(Title_RESULTS!$H$7+Title_RESULTS!$C$17),0,(+'Sheet4(F_22)'!$D22+'Sheet4(F_22)'!$G22))</f>
        <v>151.03458809396477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571.7217674830036</v>
      </c>
      <c r="L22" s="23">
        <f>IF(A22&gt;=(Title_RESULTS!$H$7+Title_RESULTS!$C$17),0,(+$K22-$F22))</f>
        <v>519.8402997756955</v>
      </c>
      <c r="M22" s="23">
        <f>IF(A22&gt;=(Title_RESULTS!$H$7+Title_RESULTS!$C$17),0,(+M21+$L22/(1+Title_RESULTS!$C$37)^('Sheet7(F_23)'!$A22-Title_RESULTS!$H$7)))</f>
        <v>-704.4132299207118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53.12662293228351</v>
      </c>
      <c r="G23" s="5">
        <f>IF(A23&gt;=(Title_RESULTS!$H$7+Title_RESULTS!$C$17),0,('Sheet3(F_21)'!$J23))</f>
        <v>432.01200738053836</v>
      </c>
      <c r="H23" s="5">
        <f>IF(A23&gt;=(Title_RESULTS!$H$7+Title_RESULTS!$C$17),0,(+'Sheet4(F_22)'!$D23+'Sheet4(F_22)'!$G23))</f>
        <v>154.65941820821996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586.6714255887583</v>
      </c>
      <c r="L23" s="23">
        <f>IF(A23&gt;=(Title_RESULTS!$H$7+Title_RESULTS!$C$17),0,(+$K23-$F23))</f>
        <v>533.5448026564748</v>
      </c>
      <c r="M23" s="23">
        <f>IF(A23&gt;=(Title_RESULTS!$H$7+Title_RESULTS!$C$17),0,(+M22+$L23/(1+Title_RESULTS!$C$37)^('Sheet7(F_23)'!$A23-Title_RESULTS!$H$7)))</f>
        <v>-373.8821092322535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54.40166188265832</v>
      </c>
      <c r="G24" s="5">
        <f>IF(A24&gt;=(Title_RESULTS!$H$7+Title_RESULTS!$C$17),0,('Sheet3(F_21)'!$J24))</f>
        <v>439.0104175011891</v>
      </c>
      <c r="H24" s="5">
        <f>IF(A24&gt;=(Title_RESULTS!$H$7+Title_RESULTS!$C$17),0,(+'Sheet4(F_22)'!$D24+'Sheet4(F_22)'!$G24))</f>
        <v>158.3712442452172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597.3816617464063</v>
      </c>
      <c r="L24" s="23">
        <f>IF(A24&gt;=(Title_RESULTS!$H$7+Title_RESULTS!$C$17),0,(+$K24-$F24))</f>
        <v>542.9799998637479</v>
      </c>
      <c r="M24" s="23">
        <f>IF(A24&gt;=(Title_RESULTS!$H$7+Title_RESULTS!$C$17),0,(+M23+$L24/(1+Title_RESULTS!$C$37)^('Sheet7(F_23)'!$A24-Title_RESULTS!$H$7)))</f>
        <v>-59.74667086855152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55.707301767842104</v>
      </c>
      <c r="G25" s="5">
        <f>IF(A25&gt;=(Title_RESULTS!$H$7+Title_RESULTS!$C$17),0,('Sheet3(F_21)'!$J25))</f>
        <v>450.9353591620235</v>
      </c>
      <c r="H25" s="5">
        <f>IF(A25&gt;=(Title_RESULTS!$H$7+Title_RESULTS!$C$17),0,(+'Sheet4(F_22)'!$D25+'Sheet4(F_22)'!$G25))</f>
        <v>162.17215410710241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613.1075132691259</v>
      </c>
      <c r="L25" s="23">
        <f>IF(A25&gt;=(Title_RESULTS!$H$7+Title_RESULTS!$C$17),0,(+$K25-$F25))</f>
        <v>557.4002115012838</v>
      </c>
      <c r="M25" s="23">
        <f>IF(A25&gt;=(Title_RESULTS!$H$7+Title_RESULTS!$C$17),0,(+M24+$L25/(1+Title_RESULTS!$C$37)^('Sheet7(F_23)'!$A25-Title_RESULTS!$H$7)))</f>
        <v>241.40956933249686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57.044277010270314</v>
      </c>
      <c r="G26" s="5">
        <f>IF(A26&gt;=(Title_RESULTS!$H$7+Title_RESULTS!$C$17),0,('Sheet3(F_21)'!$J26))</f>
        <v>458.15574526396676</v>
      </c>
      <c r="H26" s="5">
        <f>IF(A26&gt;=(Title_RESULTS!$H$7+Title_RESULTS!$C$17),0,(+'Sheet4(F_22)'!$D26+'Sheet4(F_22)'!$G26))</f>
        <v>166.0642858056729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624.2200310696396</v>
      </c>
      <c r="L26" s="23">
        <f>IF(A26&gt;=(Title_RESULTS!$H$7+Title_RESULTS!$C$17),0,(+$K26-$F26))</f>
        <v>567.1757540593693</v>
      </c>
      <c r="M26" s="23">
        <f>IF(A26&gt;=(Title_RESULTS!$H$7+Title_RESULTS!$C$17),0,(+M25+$L26/(1+Title_RESULTS!$C$37)^('Sheet7(F_23)'!$A26-Title_RESULTS!$H$7)))</f>
        <v>527.5861115730083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58.41333965851681</v>
      </c>
      <c r="G27" s="5">
        <f>IF(A27&gt;=(Title_RESULTS!$H$7+Title_RESULTS!$C$17),0,('Sheet3(F_21)'!$J27))</f>
        <v>473.97105803959107</v>
      </c>
      <c r="H27" s="5">
        <f>IF(A27&gt;=(Title_RESULTS!$H$7+Title_RESULTS!$C$17),0,(+'Sheet4(F_22)'!$D27+'Sheet4(F_22)'!$G27))</f>
        <v>170.04982866500907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644.0208867046001</v>
      </c>
      <c r="L27" s="23">
        <f>IF(A27&gt;=(Title_RESULTS!$H$7+Title_RESULTS!$C$17),0,(+$K27-$F27))</f>
        <v>585.6075470460833</v>
      </c>
      <c r="M27" s="23">
        <f>IF(A27&gt;=(Title_RESULTS!$H$7+Title_RESULTS!$C$17),0,(+M26+$L27/(1+Title_RESULTS!$C$37)^('Sheet7(F_23)'!$A27-Title_RESULTS!$H$7)))</f>
        <v>803.5261226643647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59.815259810321216</v>
      </c>
      <c r="G28" s="5">
        <f>IF(A28&gt;=(Title_RESULTS!$H$7+Title_RESULTS!$C$17),0,('Sheet3(F_21)'!$J28))</f>
        <v>483.9632981672721</v>
      </c>
      <c r="H28" s="5">
        <f>IF(A28&gt;=(Title_RESULTS!$H$7+Title_RESULTS!$C$17),0,(+'Sheet4(F_22)'!$D28+'Sheet4(F_22)'!$G28))</f>
        <v>174.13102455296925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658.0943227202414</v>
      </c>
      <c r="L28" s="23">
        <f>IF(A28&gt;=(Title_RESULTS!$H$7+Title_RESULTS!$C$17),0,(+$K28-$F28))</f>
        <v>598.2790629099202</v>
      </c>
      <c r="M28" s="23">
        <f>IF(A28&gt;=(Title_RESULTS!$H$7+Title_RESULTS!$C$17),0,(+M27+$L28/(1+Title_RESULTS!$C$37)^('Sheet7(F_23)'!$A28-Title_RESULTS!$H$7)))</f>
        <v>1066.797384251103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61.25082604576892</v>
      </c>
      <c r="G29" s="5">
        <f>IF(A29&gt;=(Title_RESULTS!$H$7+Title_RESULTS!$C$17),0,('Sheet3(F_21)'!$J29))</f>
        <v>501.2456672119648</v>
      </c>
      <c r="H29" s="5">
        <f>IF(A29&gt;=(Title_RESULTS!$H$7+Title_RESULTS!$C$17),0,(+'Sheet4(F_22)'!$D29+'Sheet4(F_22)'!$G29))</f>
        <v>178.3101691422405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679.5558363542053</v>
      </c>
      <c r="L29" s="23">
        <f>IF(A29&gt;=(Title_RESULTS!$H$7+Title_RESULTS!$C$17),0,(+$K29-$F29))</f>
        <v>618.3050103084364</v>
      </c>
      <c r="M29" s="23">
        <f>IF(A29&gt;=(Title_RESULTS!$H$7+Title_RESULTS!$C$17),0,(+M28+$L29/(1+Title_RESULTS!$C$37)^('Sheet7(F_23)'!$A29-Title_RESULTS!$H$7)))</f>
        <v>1320.8911753767718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62.720845870867365</v>
      </c>
      <c r="G30" s="5">
        <f>IF(A30&gt;=(Title_RESULTS!$H$7+Title_RESULTS!$C$17),0,('Sheet3(F_21)'!$J30))</f>
        <v>510.9258455690399</v>
      </c>
      <c r="H30" s="5">
        <f>IF(A30&gt;=(Title_RESULTS!$H$7+Title_RESULTS!$C$17),0,(+'Sheet4(F_22)'!$D30+'Sheet4(F_22)'!$G30))</f>
        <v>182.5896132016543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693.5154587706942</v>
      </c>
      <c r="L30" s="23">
        <f>IF(A30&gt;=(Title_RESULTS!$H$7+Title_RESULTS!$C$17),0,(+$K30-$F30))</f>
        <v>630.7946128998268</v>
      </c>
      <c r="M30" s="23">
        <f>IF(A30&gt;=(Title_RESULTS!$H$7+Title_RESULTS!$C$17),0,(+M29+$L30/(1+Title_RESULTS!$C$37)^('Sheet7(F_23)'!$A30-Title_RESULTS!$H$7)))</f>
        <v>1562.9778587186388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2487.1259998236746</v>
      </c>
      <c r="D32" s="5">
        <f t="shared" si="1"/>
        <v>764.312721</v>
      </c>
      <c r="E32" s="5">
        <f t="shared" si="1"/>
        <v>0</v>
      </c>
      <c r="F32" s="5">
        <f t="shared" si="1"/>
        <v>3251.438720823675</v>
      </c>
      <c r="G32" s="5">
        <f t="shared" si="1"/>
        <v>5362.2350134520275</v>
      </c>
      <c r="H32" s="5">
        <f t="shared" si="1"/>
        <v>2201.0875893807083</v>
      </c>
      <c r="I32" s="5">
        <f t="shared" si="1"/>
        <v>0</v>
      </c>
      <c r="J32" s="5">
        <f t="shared" si="1"/>
        <v>0</v>
      </c>
      <c r="K32" s="5">
        <f t="shared" si="1"/>
        <v>7563.322602832736</v>
      </c>
      <c r="L32" s="5">
        <f t="shared" si="1"/>
        <v>4311.883882009061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2076.280415182038</v>
      </c>
      <c r="D34" s="5">
        <f>NPV(Title_RESULTS!$C$37,'Sheet7(F_23)'!D17:D31)+'Sheet7(F_23)'!D16</f>
        <v>714.1504562168441</v>
      </c>
      <c r="E34" s="5">
        <f>NPV(Title_RESULTS!$C$37,'Sheet7(F_23)'!E17:E31)+'Sheet7(F_23)'!E16</f>
        <v>0</v>
      </c>
      <c r="F34" s="5">
        <f>NPV(Title_RESULTS!$C$37,'Sheet7(F_23)'!F17:F31)+'Sheet7(F_23)'!F16</f>
        <v>2790.4308713988817</v>
      </c>
      <c r="G34" s="5">
        <f>NPV(Title_RESULTS!$C$37,'Sheet7(F_23)'!G17:G31)+'Sheet7(F_23)'!G16</f>
        <v>3020.2988722102464</v>
      </c>
      <c r="H34" s="5">
        <f>NPV(Title_RESULTS!$C$37,'Sheet7(F_23)'!H17:H31)+'Sheet7(F_23)'!H16</f>
        <v>1333.1098579072734</v>
      </c>
      <c r="I34" s="5">
        <f>NPV(Title_RESULTS!$C$37,'Sheet7(F_23)'!I17:I31)+'Sheet7(F_23)'!I16</f>
        <v>0</v>
      </c>
      <c r="J34" s="5">
        <f>NPV(Title_RESULTS!$C$37,'Sheet7(F_23)'!J17:J31)+'Sheet7(F_23)'!J16</f>
        <v>0</v>
      </c>
      <c r="K34" s="5">
        <f>NPV(Title_RESULTS!$C$37,'Sheet7(F_23)'!K17:K31)+'Sheet7(F_23)'!K16</f>
        <v>4353.4087301175205</v>
      </c>
      <c r="L34" s="5">
        <f>NPV(Title_RESULTS!$C$37,'Sheet7(F_23)'!L17:L31)+'Sheet7(F_23)'!L16</f>
        <v>1562.977858718638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1.5601206160448964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Smart Thermostats - BYOT</v>
      </c>
      <c r="L2" t="s">
        <v>55</v>
      </c>
    </row>
    <row r="3" ht="12.75">
      <c r="L3" s="35">
        <f>+Title_RESULTS!I4</f>
        <v>43599.31802546296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72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72</v>
      </c>
      <c r="G16" s="5">
        <f>IF(A16&gt;=(Title_RESULTS!$H$7+Title_RESULTS!$C$17),0,(+'Sheet6(p_6)'!$H16))</f>
        <v>249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249</v>
      </c>
      <c r="K16" s="23">
        <f>IF(A16&gt;=(Title_RESULTS!$H$7+Title_RESULTS!$C$17),0,(+F16-J16))</f>
        <v>-177</v>
      </c>
      <c r="L16" s="23">
        <f>IF(A16&gt;=(Title_RESULTS!$H$7+Title_RESULTS!$C$17),0,(+$K16/((1+Title_RESULTS!$C$37)^('Sheet8(F_24)'!$A16-Title_RESULTS!$H$7))))</f>
        <v>-177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216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216</v>
      </c>
      <c r="G17" s="5">
        <f>IF(A17&gt;=(Title_RESULTS!$H$7+Title_RESULTS!$C$17),0,(+'Sheet6(p_6)'!$H17))</f>
        <v>254.72699999999998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254.72699999999998</v>
      </c>
      <c r="K17" s="23">
        <f>IF(A17&gt;=(Title_RESULTS!$H$7+Title_RESULTS!$C$17),0,(+F17-J17))</f>
        <v>-38.726999999999975</v>
      </c>
      <c r="L17" s="23">
        <f>IF(A16&gt;=(Title_RESULTS!$H$7+Title_RESULTS!$C$17),0,(+$K17/((1+Title_RESULTS!$C$37)^('Sheet8(F_24)'!$A17-Title_RESULTS!$H$7))+L16))</f>
        <v>-213.16641763167723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360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360</v>
      </c>
      <c r="G18" s="5">
        <f>IF(A18&gt;=(Title_RESULTS!$H$7+Title_RESULTS!$C$17),0,(+'Sheet6(p_6)'!$H18))</f>
        <v>260.585721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260.585721</v>
      </c>
      <c r="K18" s="23">
        <f>IF(A18&gt;=(Title_RESULTS!$H$7+Title_RESULTS!$C$17),0,(+F18-J18))</f>
        <v>99.41427900000002</v>
      </c>
      <c r="L18" s="23">
        <f>IF(A17&gt;=(Title_RESULTS!$H$7+Title_RESULTS!$C$17),0,(+$K18/((1+Title_RESULTS!$C$37)^('Sheet8(F_24)'!$A18-Title_RESULTS!$H$7))+L17))</f>
        <v>-126.46383340061553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432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432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432</v>
      </c>
      <c r="L19" s="23">
        <f>IF(A18&gt;=(Title_RESULTS!$H$7+Title_RESULTS!$C$17),0,(+$K19/((1+Title_RESULTS!$C$37)^('Sheet8(F_24)'!$A19-Title_RESULTS!$H$7))+L18))</f>
        <v>225.38706094670394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432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432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432</v>
      </c>
      <c r="L20" s="23">
        <f>IF(A19&gt;=(Title_RESULTS!$H$7+Title_RESULTS!$C$17),0,(+$K20/((1+Title_RESULTS!$C$37)^('Sheet8(F_24)'!$A20-Title_RESULTS!$H$7))+L19))</f>
        <v>553.9740000084516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432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432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432</v>
      </c>
      <c r="L21" s="23">
        <f>IF(A20&gt;=(Title_RESULTS!$H$7+Title_RESULTS!$C$17),0,(+$K21/((1+Title_RESULTS!$C$37)^('Sheet8(F_24)'!$A21-Title_RESULTS!$H$7))+L20))</f>
        <v>860.8351683515108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432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432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432</v>
      </c>
      <c r="L22" s="23">
        <f>IF(A21&gt;=(Title_RESULTS!$H$7+Title_RESULTS!$C$17),0,(+$K22/((1+Title_RESULTS!$C$37)^('Sheet8(F_24)'!$A22-Title_RESULTS!$H$7))+L21))</f>
        <v>1147.4070476408824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432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432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432</v>
      </c>
      <c r="L23" s="23">
        <f>IF(A22&gt;=(Title_RESULTS!$H$7+Title_RESULTS!$C$17),0,(+$K23/((1+Title_RESULTS!$C$37)^('Sheet8(F_24)'!$A23-Title_RESULTS!$H$7))+L22))</f>
        <v>1415.031141112466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432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432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432</v>
      </c>
      <c r="L24" s="23">
        <f>IF(A23&gt;=(Title_RESULTS!$H$7+Title_RESULTS!$C$17),0,(+$K24/((1+Title_RESULTS!$C$37)^('Sheet8(F_24)'!$A24-Title_RESULTS!$H$7))+L23))</f>
        <v>1664.960253431838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432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432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432</v>
      </c>
      <c r="L25" s="23">
        <f>IF(A24&gt;=(Title_RESULTS!$H$7+Title_RESULTS!$C$17),0,(+$K25/((1+Title_RESULTS!$C$37)^('Sheet8(F_24)'!$A25-Title_RESULTS!$H$7))+L24))</f>
        <v>1898.3643553363693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432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432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432</v>
      </c>
      <c r="L26" s="23">
        <f>IF(A25&gt;=(Title_RESULTS!$H$7+Title_RESULTS!$C$17),0,(+$K26/((1+Title_RESULTS!$C$37)^('Sheet8(F_24)'!$A26-Title_RESULTS!$H$7))+L25))</f>
        <v>2116.336060514303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432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432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432</v>
      </c>
      <c r="L27" s="23">
        <f>IF(A26&gt;=(Title_RESULTS!$H$7+Title_RESULTS!$C$17),0,(+$K27/((1+Title_RESULTS!$C$37)^('Sheet8(F_24)'!$A27-Title_RESULTS!$H$7))+L26))</f>
        <v>2319.8957403592167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432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432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432</v>
      </c>
      <c r="L28" s="23">
        <f>IF(A27&gt;=(Title_RESULTS!$H$7+Title_RESULTS!$C$17),0,(+$K28/((1+Title_RESULTS!$C$37)^('Sheet8(F_24)'!$A28-Title_RESULTS!$H$7))+L27))</f>
        <v>2509.996300543111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432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432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432</v>
      </c>
      <c r="L29" s="23">
        <f>IF(A28&gt;=(Title_RESULTS!$H$7+Title_RESULTS!$C$17),0,(+$K29/((1+Title_RESULTS!$C$37)^('Sheet8(F_24)'!$A29-Title_RESULTS!$H$7))+L28))</f>
        <v>2687.527641768264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432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432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432</v>
      </c>
      <c r="L30" s="23">
        <f>IF(A29&gt;=(Title_RESULTS!$H$7+Title_RESULTS!$C$17),0,(+$K30/((1+Title_RESULTS!$C$37)^('Sheet8(F_24)'!$A30-Title_RESULTS!$H$7))+L29))</f>
        <v>2853.320825579576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0</v>
      </c>
      <c r="C32" s="5">
        <f t="shared" si="1"/>
        <v>0</v>
      </c>
      <c r="D32" s="5">
        <f t="shared" si="1"/>
        <v>5832</v>
      </c>
      <c r="E32" s="5">
        <f t="shared" si="1"/>
        <v>0</v>
      </c>
      <c r="F32" s="5">
        <f t="shared" si="1"/>
        <v>5832</v>
      </c>
      <c r="G32" s="5">
        <f t="shared" si="1"/>
        <v>764.312721</v>
      </c>
      <c r="H32" s="5">
        <f t="shared" si="1"/>
        <v>0</v>
      </c>
      <c r="I32" s="5">
        <f t="shared" si="1"/>
        <v>0</v>
      </c>
      <c r="J32" s="5">
        <f t="shared" si="1"/>
        <v>764.312721</v>
      </c>
      <c r="K32" s="5">
        <f t="shared" si="1"/>
        <v>5067.687279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0</v>
      </c>
      <c r="C34" s="5">
        <f>NPV(Title_RESULTS!$C$37,'Sheet8(F_24)'!C17:C31)+'Sheet8(F_24)'!C16</f>
        <v>0</v>
      </c>
      <c r="D34" s="5">
        <f>NPV(Title_RESULTS!$C$37,'Sheet8(F_24)'!D17:D31)+'Sheet8(F_24)'!D16</f>
        <v>3567.4712817964196</v>
      </c>
      <c r="E34" s="5">
        <f>NPV(Title_RESULTS!$C$37,'Sheet8(F_24)'!E17:E31)+'Sheet8(F_24)'!E16</f>
        <v>0</v>
      </c>
      <c r="F34" s="5">
        <f>NPV(Title_RESULTS!$C$37,'Sheet8(F_24)'!F17:F31)+'Sheet8(F_24)'!F16</f>
        <v>3567.4712817964196</v>
      </c>
      <c r="G34" s="5">
        <f>NPV(Title_RESULTS!$C$37,'Sheet8(F_24)'!G17:G31)+'Sheet8(F_24)'!G16</f>
        <v>714.1504562168441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714.1504562168441</v>
      </c>
      <c r="K34" s="5">
        <f>NPV(Title_RESULTS!$C$37,'Sheet8(F_24)'!K17:K31)+'Sheet8(F_24)'!K16</f>
        <v>2853.3208255795753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4.995405731020349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Smart Thermostats - BYOT</v>
      </c>
      <c r="N2" t="s">
        <v>55</v>
      </c>
    </row>
    <row r="3" ht="12.75">
      <c r="N3" s="35">
        <f>+Title_RESULTS!I4</f>
        <v>43599.31802546296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578.5</v>
      </c>
      <c r="D16" s="5">
        <f>IF(A16&gt;=(Title_RESULTS!$H$7+Title_RESULTS!$C$17),0,(+'Sheet6(p_6)'!$G16))</f>
        <v>72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650.5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-650.5</v>
      </c>
      <c r="N16" s="24">
        <f>IF(A16&gt;=(Title_RESULTS!$H$7+Title_RESULTS!$C$17),0,(+$M16/((1+Title_RESULTS!$C$37)^('Sheet9(F_25)'!$A16-Title_RESULTS!$H$7))))</f>
        <v>-650.5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607.744</v>
      </c>
      <c r="D17" s="5">
        <f>IF(A17&gt;=(Title_RESULTS!$H$7+Title_RESULTS!$C$17),0,(+'Sheet6(p_6)'!$G17))</f>
        <v>216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823.744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134.145661773357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134.145661773357</v>
      </c>
      <c r="M17" s="23">
        <f>IF(A17&gt;=(Title_RESULTS!$H$7+Title_RESULTS!$C$17),0,(+L17-G17))</f>
        <v>-689.598338226643</v>
      </c>
      <c r="N17" s="24">
        <f>(IF(A16&gt;=(Title_RESULTS!$H$7+Title_RESULTS!$C$17),0,(+$M17/((1+Title_RESULTS!$C$37)^('Sheet9(F_25)'!$A17-Title_RESULTS!$H$7))+N16)))</f>
        <v>-1294.5029307308955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638.058496</v>
      </c>
      <c r="D18" s="5">
        <f>IF(A18&gt;=(Title_RESULTS!$H$7+Title_RESULTS!$C$17),0,(+'Sheet6(p_6)'!$G18))</f>
        <v>360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998.058496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137.36515765591756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137.36515765591756</v>
      </c>
      <c r="M18" s="23">
        <f>IF(A18&gt;=(Title_RESULTS!$H$7+Title_RESULTS!$C$17),0,(+L18-G18))</f>
        <v>-860.6933383440825</v>
      </c>
      <c r="N18" s="24">
        <f>(IF(A17&gt;=(Title_RESULTS!$H$7+Title_RESULTS!$C$17),0,(+$M18/((1+Title_RESULTS!$C$37)^('Sheet9(F_25)'!$A18-Title_RESULTS!$H$7))+N17)))</f>
        <v>-2045.1429536283254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IF(A19&gt;=(Title_RESULTS!$H$7+Title_RESULTS!$C$17),0,(+'Sheet6(p_6)'!$G19))</f>
        <v>432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480.31838208</v>
      </c>
      <c r="H19" s="5">
        <f>IF(A19&gt;=(Title_RESULTS!$H$7+Title_RESULTS!$C$17),0,(+'Sheet3(F_21)'!$J19+'Sheet4(F_22)'!$H19))</f>
        <v>386.48115406956106</v>
      </c>
      <c r="I19" s="5">
        <f>IF(A19&gt;=(Title_RESULTS!$H$7+Title_RESULTS!$C$17),0,(+'Sheet4(F_22)'!$D19+'Sheet4(F_22)'!$G19))</f>
        <v>140.66192143965958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527.1430755092206</v>
      </c>
      <c r="M19" s="23">
        <f>IF(A19&gt;=(Title_RESULTS!$H$7+Title_RESULTS!$C$17),0,(+L19-G19))</f>
        <v>46.82469342922059</v>
      </c>
      <c r="N19" s="24">
        <f>(IF(A18&gt;=(Title_RESULTS!$H$7+Title_RESULTS!$C$17),0,(+$M19/((1+Title_RESULTS!$C$37)^('Sheet9(F_25)'!$A19-Title_RESULTS!$H$7))+N18)))</f>
        <v>-2007.005661358394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IF(A20&gt;=(Title_RESULTS!$H$7+Title_RESULTS!$C$17),0,(+'Sheet6(p_6)'!$G20))</f>
        <v>432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481.47802324992</v>
      </c>
      <c r="H20" s="5">
        <f>IF(A20&gt;=(Title_RESULTS!$H$7+Title_RESULTS!$C$17),0,(+'Sheet3(F_21)'!$J20+'Sheet4(F_22)'!$H20))</f>
        <v>396.78655974928074</v>
      </c>
      <c r="I20" s="5">
        <f>IF(A20&gt;=(Title_RESULTS!$H$7+Title_RESULTS!$C$17),0,(+'Sheet4(F_22)'!$D20+'Sheet4(F_22)'!$G20))</f>
        <v>144.0378075542114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540.8243673034922</v>
      </c>
      <c r="M20" s="23">
        <f>IF(A20&gt;=(Title_RESULTS!$H$7+Title_RESULTS!$C$17),0,(+L20-G20))</f>
        <v>59.34634405357218</v>
      </c>
      <c r="N20" s="24">
        <f>(IF(A19&gt;=(Title_RESULTS!$H$7+Title_RESULTS!$C$17),0,(+$M20/((1+Title_RESULTS!$C$37)^('Sheet9(F_25)'!$A20-Title_RESULTS!$H$7))+N19)))</f>
        <v>-1961.865768911476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IF(A21&gt;=(Title_RESULTS!$H$7+Title_RESULTS!$C$17),0,(+'Sheet6(p_6)'!$G21))</f>
        <v>432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482.6654958079181</v>
      </c>
      <c r="H21" s="5">
        <f>IF(A21&gt;=(Title_RESULTS!$H$7+Title_RESULTS!$C$17),0,(+'Sheet3(F_21)'!$J21+'Sheet4(F_22)'!$H21))</f>
        <v>408.0607219485616</v>
      </c>
      <c r="I21" s="5">
        <f>IF(A21&gt;=(Title_RESULTS!$H$7+Title_RESULTS!$C$17),0,(+'Sheet4(F_22)'!$D21+'Sheet4(F_22)'!$G21))</f>
        <v>147.4947149355125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555.5554368840741</v>
      </c>
      <c r="M21" s="23">
        <f>IF(A21&gt;=(Title_RESULTS!$H$7+Title_RESULTS!$C$17),0,(+L21-G21))</f>
        <v>72.88994107615599</v>
      </c>
      <c r="N21" s="24">
        <f>(IF(A20&gt;=(Title_RESULTS!$H$7+Title_RESULTS!$C$17),0,(+$M21/((1+Title_RESULTS!$C$37)^('Sheet9(F_25)'!$A21-Title_RESULTS!$H$7))+N20)))</f>
        <v>-1910.0900918765547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IF(A22&gt;=(Title_RESULTS!$H$7+Title_RESULTS!$C$17),0,(+'Sheet6(p_6)'!$G22))</f>
        <v>432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483.8814677073081</v>
      </c>
      <c r="H22" s="5">
        <f>IF(A22&gt;=(Title_RESULTS!$H$7+Title_RESULTS!$C$17),0,(+'Sheet3(F_21)'!$J22+'Sheet4(F_22)'!$H22))</f>
        <v>420.6871793890389</v>
      </c>
      <c r="I22" s="5">
        <f>IF(A22&gt;=(Title_RESULTS!$H$7+Title_RESULTS!$C$17),0,(+'Sheet4(F_22)'!$D22+'Sheet4(F_22)'!$G22))</f>
        <v>151.03458809396477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571.7217674830036</v>
      </c>
      <c r="M22" s="23">
        <f>IF(A22&gt;=(Title_RESULTS!$H$7+Title_RESULTS!$C$17),0,(+L22-G22))</f>
        <v>87.84029977569554</v>
      </c>
      <c r="N22" s="24">
        <f>(IF(A21&gt;=(Title_RESULTS!$H$7+Title_RESULTS!$C$17),0,(+$M22/((1+Title_RESULTS!$C$37)^('Sheet9(F_25)'!$A22-Title_RESULTS!$H$7))+N21)))</f>
        <v>-1851.8202775615944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IF(A23&gt;=(Title_RESULTS!$H$7+Title_RESULTS!$C$17),0,(+'Sheet6(p_6)'!$G23))</f>
        <v>432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485.1266229322835</v>
      </c>
      <c r="H23" s="5">
        <f>IF(A23&gt;=(Title_RESULTS!$H$7+Title_RESULTS!$C$17),0,(+'Sheet3(F_21)'!$J23+'Sheet4(F_22)'!$H23))</f>
        <v>432.01200738053836</v>
      </c>
      <c r="I23" s="5">
        <f>IF(A23&gt;=(Title_RESULTS!$H$7+Title_RESULTS!$C$17),0,(+'Sheet4(F_22)'!$D23+'Sheet4(F_22)'!$G23))</f>
        <v>154.65941820821996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586.6714255887583</v>
      </c>
      <c r="M23" s="23">
        <f>IF(A23&gt;=(Title_RESULTS!$H$7+Title_RESULTS!$C$17),0,(+L23-G23))</f>
        <v>101.54480265647481</v>
      </c>
      <c r="N23" s="24">
        <f>(IF(A22&gt;=(Title_RESULTS!$H$7+Title_RESULTS!$C$17),0,(+$M23/((1+Title_RESULTS!$C$37)^('Sheet9(F_25)'!$A23-Title_RESULTS!$H$7))+N22)))</f>
        <v>-1788.9132503447195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IF(A24&gt;=(Title_RESULTS!$H$7+Title_RESULTS!$C$17),0,(+'Sheet6(p_6)'!$G24))</f>
        <v>432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486.40166188265835</v>
      </c>
      <c r="H24" s="5">
        <f>IF(A24&gt;=(Title_RESULTS!$H$7+Title_RESULTS!$C$17),0,(+'Sheet3(F_21)'!$J24+'Sheet4(F_22)'!$H24))</f>
        <v>439.0104175011891</v>
      </c>
      <c r="I24" s="5">
        <f>IF(A24&gt;=(Title_RESULTS!$H$7+Title_RESULTS!$C$17),0,(+'Sheet4(F_22)'!$D24+'Sheet4(F_22)'!$G24))</f>
        <v>158.3712442452172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597.3816617464063</v>
      </c>
      <c r="M24" s="23">
        <f>IF(A24&gt;=(Title_RESULTS!$H$7+Title_RESULTS!$C$17),0,(+L24-G24))</f>
        <v>110.97999986374793</v>
      </c>
      <c r="N24" s="24">
        <f>(IF(A23&gt;=(Title_RESULTS!$H$7+Title_RESULTS!$C$17),0,(+$M24/((1+Title_RESULTS!$C$37)^('Sheet9(F_25)'!$A24-Title_RESULTS!$H$7))+N23)))</f>
        <v>-1724.7069243003896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IF(A25&gt;=(Title_RESULTS!$H$7+Title_RESULTS!$C$17),0,(+'Sheet6(p_6)'!$G25))</f>
        <v>432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487.7073017678421</v>
      </c>
      <c r="H25" s="5">
        <f>IF(A25&gt;=(Title_RESULTS!$H$7+Title_RESULTS!$C$17),0,(+'Sheet3(F_21)'!$J25+'Sheet4(F_22)'!$H25))</f>
        <v>450.9353591620235</v>
      </c>
      <c r="I25" s="5">
        <f>IF(A25&gt;=(Title_RESULTS!$H$7+Title_RESULTS!$C$17),0,(+'Sheet4(F_22)'!$D25+'Sheet4(F_22)'!$G25))</f>
        <v>162.17215410710241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613.1075132691259</v>
      </c>
      <c r="M25" s="23">
        <f>IF(A25&gt;=(Title_RESULTS!$H$7+Title_RESULTS!$C$17),0,(+L25-G25))</f>
        <v>125.40021150128376</v>
      </c>
      <c r="N25" s="24">
        <f>(IF(A24&gt;=(Title_RESULTS!$H$7+Title_RESULTS!$C$17),0,(+$M25/((1+Title_RESULTS!$C$37)^('Sheet9(F_25)'!$A25-Title_RESULTS!$H$7))+N24)))</f>
        <v>-1656.9547860038724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IF(A26&gt;=(Title_RESULTS!$H$7+Title_RESULTS!$C$17),0,(+'Sheet6(p_6)'!$G26))</f>
        <v>432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489.0442770102703</v>
      </c>
      <c r="H26" s="5">
        <f>IF(A26&gt;=(Title_RESULTS!$H$7+Title_RESULTS!$C$17),0,(+'Sheet3(F_21)'!$J26+'Sheet4(F_22)'!$H26))</f>
        <v>458.15574526396676</v>
      </c>
      <c r="I26" s="5">
        <f>IF(A26&gt;=(Title_RESULTS!$H$7+Title_RESULTS!$C$17),0,(+'Sheet4(F_22)'!$D26+'Sheet4(F_22)'!$G26))</f>
        <v>166.0642858056729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624.2200310696396</v>
      </c>
      <c r="M26" s="23">
        <f>IF(A26&gt;=(Title_RESULTS!$H$7+Title_RESULTS!$C$17),0,(+L26-G26))</f>
        <v>135.1757540593693</v>
      </c>
      <c r="N26" s="24">
        <f>(IF(A25&gt;=(Title_RESULTS!$H$7+Title_RESULTS!$C$17),0,(+$M26/((1+Title_RESULTS!$C$37)^('Sheet9(F_25)'!$A26-Title_RESULTS!$H$7))+N25)))</f>
        <v>-1588.7499489412944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IF(A27&gt;=(Title_RESULTS!$H$7+Title_RESULTS!$C$17),0,(+'Sheet6(p_6)'!$G27))</f>
        <v>432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490.4133396585168</v>
      </c>
      <c r="H27" s="5">
        <f>IF(A27&gt;=(Title_RESULTS!$H$7+Title_RESULTS!$C$17),0,(+'Sheet3(F_21)'!$J27+'Sheet4(F_22)'!$H27))</f>
        <v>473.97105803959107</v>
      </c>
      <c r="I27" s="5">
        <f>IF(A27&gt;=(Title_RESULTS!$H$7+Title_RESULTS!$C$17),0,(+'Sheet4(F_22)'!$D27+'Sheet4(F_22)'!$G27))</f>
        <v>170.04982866500907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644.0208867046001</v>
      </c>
      <c r="M27" s="23">
        <f>IF(A27&gt;=(Title_RESULTS!$H$7+Title_RESULTS!$C$17),0,(+L27-G27))</f>
        <v>153.6075470460833</v>
      </c>
      <c r="N27" s="24">
        <f>(IF(A26&gt;=(Title_RESULTS!$H$7+Title_RESULTS!$C$17),0,(+$M27/((1+Title_RESULTS!$C$37)^('Sheet9(F_25)'!$A27-Title_RESULTS!$H$7))+N26)))</f>
        <v>-1516.3696176948517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IF(A28&gt;=(Title_RESULTS!$H$7+Title_RESULTS!$C$17),0,(+'Sheet6(p_6)'!$G28))</f>
        <v>432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491.8152598103212</v>
      </c>
      <c r="H28" s="5">
        <f>IF(A28&gt;=(Title_RESULTS!$H$7+Title_RESULTS!$C$17),0,(+'Sheet3(F_21)'!$J28+'Sheet4(F_22)'!$H28))</f>
        <v>483.9632981672721</v>
      </c>
      <c r="I28" s="5">
        <f>IF(A28&gt;=(Title_RESULTS!$H$7+Title_RESULTS!$C$17),0,(+'Sheet4(F_22)'!$D28+'Sheet4(F_22)'!$G28))</f>
        <v>174.13102455296925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658.0943227202414</v>
      </c>
      <c r="M28" s="23">
        <f>IF(A28&gt;=(Title_RESULTS!$H$7+Title_RESULTS!$C$17),0,(+L28-G28))</f>
        <v>166.27906290992019</v>
      </c>
      <c r="N28" s="24">
        <f>(IF(A27&gt;=(Title_RESULTS!$H$7+Title_RESULTS!$C$17),0,(+$M28/((1+Title_RESULTS!$C$37)^('Sheet9(F_25)'!$A28-Title_RESULTS!$H$7))+N27)))</f>
        <v>-1443.1989162920074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IF(A29&gt;=(Title_RESULTS!$H$7+Title_RESULTS!$C$17),0,(+'Sheet6(p_6)'!$G29))</f>
        <v>432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493.2508260457689</v>
      </c>
      <c r="H29" s="5">
        <f>IF(A29&gt;=(Title_RESULTS!$H$7+Title_RESULTS!$C$17),0,(+'Sheet3(F_21)'!$J29+'Sheet4(F_22)'!$H29))</f>
        <v>501.2456672119648</v>
      </c>
      <c r="I29" s="5">
        <f>IF(A29&gt;=(Title_RESULTS!$H$7+Title_RESULTS!$C$17),0,(+'Sheet4(F_22)'!$D29+'Sheet4(F_22)'!$G29))</f>
        <v>178.3101691422405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679.5558363542053</v>
      </c>
      <c r="M29" s="23">
        <f>IF(A29&gt;=(Title_RESULTS!$H$7+Title_RESULTS!$C$17),0,(+L29-G29))</f>
        <v>186.3050103084364</v>
      </c>
      <c r="N29" s="24">
        <f>(IF(A28&gt;=(Title_RESULTS!$H$7+Title_RESULTS!$C$17),0,(+$M29/((1+Title_RESULTS!$C$37)^('Sheet9(F_25)'!$A29-Title_RESULTS!$H$7))+N28)))</f>
        <v>-1366.636466391492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IF(A30&gt;=(Title_RESULTS!$H$7+Title_RESULTS!$C$17),0,(+'Sheet6(p_6)'!$G30))</f>
        <v>432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494.7208458708674</v>
      </c>
      <c r="H30" s="5">
        <f>IF(A30&gt;=(Title_RESULTS!$H$7+Title_RESULTS!$C$17),0,(+'Sheet3(F_21)'!$J30+'Sheet4(F_22)'!$H30))</f>
        <v>510.9258455690399</v>
      </c>
      <c r="I30" s="5">
        <f>IF(A30&gt;=(Title_RESULTS!$H$7+Title_RESULTS!$C$17),0,(+'Sheet4(F_22)'!$D30+'Sheet4(F_22)'!$G30))</f>
        <v>182.5896132016543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693.5154587706942</v>
      </c>
      <c r="M30" s="23">
        <f>IF(A30&gt;=(Title_RESULTS!$H$7+Title_RESULTS!$C$17),0,(+L30-G30))</f>
        <v>198.7946128998268</v>
      </c>
      <c r="N30" s="24">
        <f>(IF(A29&gt;=(Title_RESULTS!$H$7+Title_RESULTS!$C$17),0,(+$M30/((1+Title_RESULTS!$C$37)^('Sheet9(F_25)'!$A30-Title_RESULTS!$H$7))+N29)))</f>
        <v>-1290.3429668609372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2487.1259998236746</v>
      </c>
      <c r="D32" s="5">
        <f t="shared" si="1"/>
        <v>5832</v>
      </c>
      <c r="E32" s="5">
        <f t="shared" si="1"/>
        <v>0</v>
      </c>
      <c r="F32" s="5">
        <f t="shared" si="1"/>
        <v>0</v>
      </c>
      <c r="G32" s="5">
        <f t="shared" si="1"/>
        <v>8319.125999823675</v>
      </c>
      <c r="H32" s="5">
        <f t="shared" si="1"/>
        <v>5362.2350134520275</v>
      </c>
      <c r="I32" s="5">
        <f t="shared" si="1"/>
        <v>2201.0875893807083</v>
      </c>
      <c r="J32" s="5">
        <f t="shared" si="1"/>
        <v>0</v>
      </c>
      <c r="K32" s="9">
        <f t="shared" si="1"/>
        <v>0</v>
      </c>
      <c r="L32" s="5">
        <f t="shared" si="1"/>
        <v>7563.322602832736</v>
      </c>
      <c r="M32" s="5">
        <f t="shared" si="1"/>
        <v>-755.8033969909388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2076.280415182038</v>
      </c>
      <c r="D34" s="5">
        <f>NPV(Title_RESULTS!$C$37,'Sheet9(F_25)'!D17:D31)+'Sheet9(F_25)'!D16</f>
        <v>3567.4712817964196</v>
      </c>
      <c r="E34" s="5">
        <f>NPV(Title_RESULTS!$C$37,'Sheet9(F_25)'!E17:E31)+'Sheet9(F_25)'!E16</f>
        <v>0</v>
      </c>
      <c r="F34" s="5">
        <f>NPV(Title_RESULTS!$C$37,'Sheet9(F_25)'!F17:F31)+'Sheet9(F_25)'!F16</f>
        <v>0</v>
      </c>
      <c r="G34" s="5">
        <f>NPV(Title_RESULTS!$C$37,'Sheet9(F_25)'!G17:G31)+'Sheet9(F_25)'!G16</f>
        <v>5643.751696978458</v>
      </c>
      <c r="H34" s="5">
        <f>NPV(Title_RESULTS!$C$37,'Sheet9(F_25)'!H17:H31)+'Sheet9(F_25)'!H16</f>
        <v>3020.2988722102464</v>
      </c>
      <c r="I34" s="5">
        <f>NPV(Title_RESULTS!$C$37,'Sheet9(F_25)'!I17:I31)+'Sheet9(F_25)'!I16</f>
        <v>1333.1098579072734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4353.4087301175205</v>
      </c>
      <c r="M34" s="5">
        <f>NPV(Title_RESULTS!$C$37,'Sheet9(F_25)'!M17:M31)+'Sheet9(F_25)'!M16</f>
        <v>-1290.3429668609376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0.771367870852334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3055.894319660537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178.2591488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432.6994944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17.615979714083704</v>
      </c>
      <c r="P24" s="48">
        <f aca="true" t="shared" si="4" ref="P24:P61">N24*$L$5</f>
        <v>42.760360783483534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18.03876322722171</v>
      </c>
      <c r="P25" s="48">
        <f t="shared" si="4"/>
        <v>43.78660944228714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420.46252324572947</v>
      </c>
      <c r="E26" s="11">
        <f>IF(B26=Title_RESULTS!$H$8,$F$16,+E25*(1+$F$7))</f>
        <v>0.09882230355451863</v>
      </c>
      <c r="F26" s="9">
        <f t="shared" si="1"/>
        <v>301.99051608802273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24.52679433770795</v>
      </c>
      <c r="L26" s="5">
        <f t="shared" si="3"/>
        <v>59.5354099950634</v>
      </c>
      <c r="N26" s="11">
        <f>IF(+B26=Title_RESULTS!$H$9,'Value of Defferal'!$O$16,+'Value of Defferal'!N25*(1+'Value of Defferal'!$F$7))</f>
        <v>0.10362269577198292</v>
      </c>
      <c r="O26" s="5">
        <f t="shared" si="7"/>
        <v>18.471693544675034</v>
      </c>
      <c r="P26" s="48">
        <f t="shared" si="4"/>
        <v>44.837488068902026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408.0463136584494</v>
      </c>
      <c r="E27" s="11">
        <f>IF(B27=Title_RESULTS!$H$8,$F$16,+E26*(1+$F$7))</f>
        <v>0.10119403883982707</v>
      </c>
      <c r="F27" s="9">
        <f t="shared" si="1"/>
        <v>309.2382884741353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23.80252094313689</v>
      </c>
      <c r="L27" s="5">
        <f t="shared" si="3"/>
        <v>57.777336237009706</v>
      </c>
      <c r="N27" s="11">
        <f>IF(+B27=Title_RESULTS!$H$9,'Value of Defferal'!$O$16,+'Value of Defferal'!N26*(1+'Value of Defferal'!$F$7))</f>
        <v>0.10610964047051051</v>
      </c>
      <c r="O27" s="5">
        <f t="shared" si="7"/>
        <v>18.915014189747236</v>
      </c>
      <c r="P27" s="48">
        <f t="shared" si="4"/>
        <v>45.91358778255567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394.33890882663036</v>
      </c>
      <c r="E28" s="11">
        <f>IF(B28=Title_RESULTS!$H$8,$F$16,+E27*(1+$F$7))</f>
        <v>0.10362269577198292</v>
      </c>
      <c r="F28" s="9">
        <f t="shared" si="1"/>
        <v>316.66000739751456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23.002928397721746</v>
      </c>
      <c r="L28" s="5">
        <f t="shared" si="3"/>
        <v>55.836435629909175</v>
      </c>
      <c r="N28" s="11">
        <f>IF(+B28=Title_RESULTS!$H$9,'Value of Defferal'!$O$16,+'Value of Defferal'!N27*(1+'Value of Defferal'!$F$7))</f>
        <v>0.10865627184180277</v>
      </c>
      <c r="O28" s="5">
        <f t="shared" si="7"/>
        <v>19.36897453030117</v>
      </c>
      <c r="P28" s="48">
        <f t="shared" si="4"/>
        <v>47.015513889337015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381.28801312618964</v>
      </c>
      <c r="E29" s="11">
        <f>IF(B29=Title_RESULTS!$H$8,$F$16,+E28*(1+$F$7))</f>
        <v>0.10610964047051051</v>
      </c>
      <c r="F29" s="9">
        <f t="shared" si="1"/>
        <v>324.2598475750549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22.24163192759493</v>
      </c>
      <c r="L29" s="5">
        <f t="shared" si="3"/>
        <v>53.98849346295781</v>
      </c>
      <c r="N29" s="11">
        <f>IF(+B29=Title_RESULTS!$H$9,'Value of Defferal'!$O$16,+'Value of Defferal'!N28*(1+'Value of Defferal'!$F$7))</f>
        <v>0.11126402236600604</v>
      </c>
      <c r="O29" s="5">
        <f t="shared" si="7"/>
        <v>19.833829919028396</v>
      </c>
      <c r="P29" s="48">
        <f t="shared" si="4"/>
        <v>48.143886222681104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368.8277937855041</v>
      </c>
      <c r="E30" s="11">
        <f>IF(B30=Title_RESULTS!$H$8,$F$16,+E29*(1+$F$7))</f>
        <v>0.10865627184180277</v>
      </c>
      <c r="F30" s="9">
        <f t="shared" si="1"/>
        <v>332.0420839168562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21.51479131689651</v>
      </c>
      <c r="L30" s="5">
        <f t="shared" si="3"/>
        <v>52.22418814188027</v>
      </c>
      <c r="N30" s="11">
        <f>IF(+B30=Title_RESULTS!$H$9,'Value of Defferal'!$O$16,+'Value of Defferal'!N29*(1+'Value of Defferal'!$F$7))</f>
        <v>0.11393435890279018</v>
      </c>
      <c r="O30" s="5">
        <f t="shared" si="7"/>
        <v>20.309841837085077</v>
      </c>
      <c r="P30" s="48">
        <f t="shared" si="4"/>
        <v>49.299339492025446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356.89969237235664</v>
      </c>
      <c r="E31" s="11">
        <f>IF(B31=Title_RESULTS!$H$8,$F$16,+E30*(1+$F$7))</f>
        <v>0.11126402236600604</v>
      </c>
      <c r="F31" s="9">
        <f t="shared" si="1"/>
        <v>340.0110939308608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20.818990683010735</v>
      </c>
      <c r="L31" s="5">
        <f t="shared" si="3"/>
        <v>50.53522808281836</v>
      </c>
      <c r="N31" s="11">
        <f>IF(+B31=Title_RESULTS!$H$9,'Value of Defferal'!$O$16,+'Value of Defferal'!N30*(1+'Value of Defferal'!$F$7))</f>
        <v>0.11666878351645714</v>
      </c>
      <c r="O31" s="5">
        <f t="shared" si="7"/>
        <v>20.79727804117512</v>
      </c>
      <c r="P31" s="48">
        <f t="shared" si="4"/>
        <v>50.482523639834056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345.34294598587803</v>
      </c>
      <c r="E32" s="11">
        <f>IF(B32=Title_RESULTS!$H$8,$F$16,+E31*(1+$F$7))</f>
        <v>0.11393435890279018</v>
      </c>
      <c r="F32" s="9">
        <f t="shared" si="1"/>
        <v>348.1713601852014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20.144852261240967</v>
      </c>
      <c r="L32" s="5">
        <f t="shared" si="3"/>
        <v>48.898850055552735</v>
      </c>
      <c r="N32" s="11">
        <f>IF(+B32=Title_RESULTS!$H$9,'Value of Defferal'!$O$16,+'Value of Defferal'!N31*(1+'Value of Defferal'!$F$7))</f>
        <v>0.11946883432085212</v>
      </c>
      <c r="O32" s="5">
        <f t="shared" si="7"/>
        <v>21.296412714163324</v>
      </c>
      <c r="P32" s="48">
        <f t="shared" si="4"/>
        <v>51.69410420719008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333.90513504868517</v>
      </c>
      <c r="E33" s="11">
        <f>IF(B33=Title_RESULTS!$H$8,$F$16,+E32*(1+$F$7))</f>
        <v>0.11666878351645714</v>
      </c>
      <c r="F33" s="9">
        <f t="shared" si="1"/>
        <v>356.52747282964623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19.47765168801374</v>
      </c>
      <c r="L33" s="5">
        <f t="shared" si="3"/>
        <v>47.279312698607775</v>
      </c>
      <c r="N33" s="11">
        <f>IF(+B33=Title_RESULTS!$H$9,'Value of Defferal'!$O$16,+'Value of Defferal'!N32*(1+'Value of Defferal'!$F$7))</f>
        <v>0.12233608634455258</v>
      </c>
      <c r="O33" s="5">
        <f t="shared" si="7"/>
        <v>21.807526619303246</v>
      </c>
      <c r="P33" s="48">
        <f t="shared" si="4"/>
        <v>52.934762708162644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322.4673241114922</v>
      </c>
      <c r="E34" s="11">
        <f>IF(B34=Title_RESULTS!$H$8,$F$16,+E33*(1+$F$7))</f>
        <v>0.11946883432085212</v>
      </c>
      <c r="F34" s="9">
        <f t="shared" si="1"/>
        <v>365.08413217755776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18.81045111478651</v>
      </c>
      <c r="L34" s="5">
        <f t="shared" si="3"/>
        <v>45.6597753416628</v>
      </c>
      <c r="N34" s="11">
        <f>IF(+B34=Title_RESULTS!$H$9,'Value of Defferal'!$O$16,+'Value of Defferal'!N33*(1+'Value of Defferal'!$F$7))</f>
        <v>0.12527215241682185</v>
      </c>
      <c r="O34" s="5">
        <f t="shared" si="7"/>
        <v>22.330907258166526</v>
      </c>
      <c r="P34" s="48">
        <f t="shared" si="4"/>
        <v>54.20519701315855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311.02951317429927</v>
      </c>
      <c r="E35" s="11">
        <f>IF(B35=Title_RESULTS!$H$8,$F$16,+E34*(1+$F$7))</f>
        <v>0.12233608634455258</v>
      </c>
      <c r="F35" s="9">
        <f t="shared" si="1"/>
        <v>373.8461513498192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18.143250541559283</v>
      </c>
      <c r="L35" s="5">
        <f t="shared" si="3"/>
        <v>44.040237984717834</v>
      </c>
      <c r="N35" s="11">
        <f>IF(+B35=Title_RESULTS!$H$9,'Value of Defferal'!$O$16,+'Value of Defferal'!N34*(1+'Value of Defferal'!$F$7))</f>
        <v>0.12827868407482557</v>
      </c>
      <c r="O35" s="5">
        <f t="shared" si="7"/>
        <v>22.86684903236252</v>
      </c>
      <c r="P35" s="48">
        <f t="shared" si="4"/>
        <v>55.50612174147435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299.5917022371064</v>
      </c>
      <c r="E36" s="11">
        <f>IF(B36=Title_RESULTS!$H$8,$F$16,+E35*(1+$F$7))</f>
        <v>0.12527215241682185</v>
      </c>
      <c r="F36" s="9">
        <f t="shared" si="1"/>
        <v>382.8184589822149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17.47604996833206</v>
      </c>
      <c r="L36" s="5">
        <f t="shared" si="3"/>
        <v>42.420700627772874</v>
      </c>
      <c r="N36" s="11">
        <f>IF(+B36=Title_RESULTS!$H$9,'Value of Defferal'!$O$16,+'Value of Defferal'!N35*(1+'Value of Defferal'!$F$7))</f>
        <v>0.1313573724926214</v>
      </c>
      <c r="O36" s="5">
        <f t="shared" si="7"/>
        <v>23.41565340913922</v>
      </c>
      <c r="P36" s="48">
        <f t="shared" si="4"/>
        <v>56.838268663269744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288.1538912999134</v>
      </c>
      <c r="E37" s="11">
        <f>IF(B37&gt;Title_RESULTS!$H$8-1+Title_RESULTS!$C$18,0,+E36*(1+$F$7))</f>
        <v>0.12827868407482557</v>
      </c>
      <c r="F37" s="9">
        <f t="shared" si="1"/>
        <v>392.00610199778805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16.80884939510483</v>
      </c>
      <c r="L37" s="5">
        <f t="shared" si="3"/>
        <v>40.8011632708279</v>
      </c>
      <c r="N37" s="11">
        <f>IF(+B37=Title_RESULTS!$H$9,'Value of Defferal'!$O$16,+'Value of Defferal'!N36*(1+'Value of Defferal'!$F$7))</f>
        <v>0.1345099494324443</v>
      </c>
      <c r="O37" s="5">
        <f t="shared" si="7"/>
        <v>23.977629090958562</v>
      </c>
      <c r="P37" s="48">
        <f t="shared" si="4"/>
        <v>58.20238711118821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276.7160803627205</v>
      </c>
      <c r="E38" s="11">
        <f>IF(B38&gt;Title_RESULTS!$H$8-1+Title_RESULTS!$C$18,0,+E37*(1+$F$7))</f>
        <v>0.1313573724926214</v>
      </c>
      <c r="F38" s="9">
        <f t="shared" si="1"/>
        <v>401.414248445735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16.1416488218776</v>
      </c>
      <c r="L38" s="5">
        <f t="shared" si="3"/>
        <v>39.181625913882925</v>
      </c>
      <c r="N38" s="11">
        <f>IF(+B38=Title_RESULTS!$H$9,'Value of Defferal'!$O$16,+'Value of Defferal'!N37*(1+'Value of Defferal'!$F$7))</f>
        <v>0.13773818821882297</v>
      </c>
      <c r="O38" s="5">
        <f t="shared" si="7"/>
        <v>24.55309218914157</v>
      </c>
      <c r="P38" s="48">
        <f t="shared" si="4"/>
        <v>59.59924440185674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265.2782694255275</v>
      </c>
      <c r="E39" s="11">
        <f>IF(B39&gt;Title_RESULTS!$H$8-1+Title_RESULTS!$C$18,0,+E38*(1+$F$7))</f>
        <v>0.1345099494324443</v>
      </c>
      <c r="F39" s="9">
        <f t="shared" si="1"/>
        <v>411.04819040843256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15.474448248650367</v>
      </c>
      <c r="L39" s="5">
        <f t="shared" si="3"/>
        <v>37.56208855693795</v>
      </c>
      <c r="N39" s="11">
        <f>IF(+B39&gt;Title_RESULTS!$H$9+Title_RESULTS!$C$19-1,0,+'Value of Defferal'!N38*(1+'Value of Defferal'!$F$7))</f>
        <v>0.14104390473607473</v>
      </c>
      <c r="O39" s="5">
        <f t="shared" si="7"/>
        <v>25.142366401680967</v>
      </c>
      <c r="P39" s="48">
        <f t="shared" si="4"/>
        <v>61.0296262675013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253.84045848833472</v>
      </c>
      <c r="E40" s="11">
        <f>IF(B40&gt;Title_RESULTS!$H$8-1+Title_RESULTS!$C$18,0,+E39*(1+$F$7))</f>
        <v>0.13773818821882297</v>
      </c>
      <c r="F40" s="9">
        <f t="shared" si="1"/>
        <v>420.913346978235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14.807247675423145</v>
      </c>
      <c r="L40" s="5">
        <f t="shared" si="3"/>
        <v>35.942551199993</v>
      </c>
      <c r="N40" s="11">
        <f>IF(+B40&gt;Title_RESULTS!$H$9+Title_RESULTS!$C$19-1,0,+'Value of Defferal'!N39*(1+'Value of Defferal'!$F$7))</f>
        <v>0.14442895844974052</v>
      </c>
      <c r="O40" s="5">
        <f t="shared" si="7"/>
        <v>25.745783195321312</v>
      </c>
      <c r="P40" s="48">
        <f t="shared" si="4"/>
        <v>62.49433729792133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243.4767037644159</v>
      </c>
      <c r="E41" s="11">
        <f>IF(B41&gt;Title_RESULTS!$H$8-1+Title_RESULTS!$C$18,0,+E40*(1+$F$7))</f>
        <v>0.14104390473607473</v>
      </c>
      <c r="F41" s="9">
        <f t="shared" si="1"/>
        <v>431.01526730571265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14.20269990570087</v>
      </c>
      <c r="L41" s="5">
        <f t="shared" si="3"/>
        <v>34.47509488114247</v>
      </c>
      <c r="N41" s="11">
        <f>IF(+B41&gt;Title_RESULTS!$H$9+Title_RESULTS!$C$19-1,0,+'Value of Defferal'!N40*(1+'Value of Defferal'!$F$7))</f>
        <v>0.1478952534525343</v>
      </c>
      <c r="O41" s="5">
        <f t="shared" si="7"/>
        <v>26.363681992009024</v>
      </c>
      <c r="P41" s="48">
        <f t="shared" si="4"/>
        <v>63.99420139307144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235.26069775007514</v>
      </c>
      <c r="E42" s="11">
        <f>IF(B42&gt;Title_RESULTS!$H$8-1+Title_RESULTS!$C$18,0,+E41*(1+$F$7))</f>
        <v>0.14442895844974052</v>
      </c>
      <c r="F42" s="9">
        <f t="shared" si="1"/>
        <v>441.35963372104976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13.7234365263263</v>
      </c>
      <c r="L42" s="5">
        <f t="shared" si="3"/>
        <v>33.31174913795999</v>
      </c>
      <c r="N42" s="11">
        <f>IF(+B42&gt;Title_RESULTS!$H$9+Title_RESULTS!$C$19-1,0,+'Value of Defferal'!N41*(1+'Value of Defferal'!$F$7))</f>
        <v>0.1514447395353951</v>
      </c>
      <c r="O42" s="5">
        <f t="shared" si="7"/>
        <v>26.99641035981724</v>
      </c>
      <c r="P42" s="48">
        <f t="shared" si="4"/>
        <v>65.53006222650515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228.11838423203824</v>
      </c>
      <c r="E43" s="11">
        <f>IF(B43&gt;Title_RESULTS!$H$8-1+Title_RESULTS!$C$18,0,+E42*(1+$F$7))</f>
        <v>0.1478952534525343</v>
      </c>
      <c r="F43" s="9">
        <f t="shared" si="1"/>
        <v>451.95226493035494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13.306804733794475</v>
      </c>
      <c r="L43" s="5">
        <f t="shared" si="3"/>
        <v>32.30043293235111</v>
      </c>
      <c r="N43" s="11">
        <f>IF(+B43&gt;Title_RESULTS!$H$9+Title_RESULTS!$C$19-1,0,+'Value of Defferal'!N42*(1+'Value of Defferal'!$F$7))</f>
        <v>0.1550794132842446</v>
      </c>
      <c r="O43" s="5">
        <f t="shared" si="7"/>
        <v>27.644324208452854</v>
      </c>
      <c r="P43" s="48">
        <f t="shared" si="4"/>
        <v>67.10278371994129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220.97607071400142</v>
      </c>
      <c r="E44" s="11">
        <f>IF(B44&gt;Title_RESULTS!$H$8-1+Title_RESULTS!$C$18,0,+E43*(1+$F$7))</f>
        <v>0.1514447395353951</v>
      </c>
      <c r="F44" s="9">
        <f t="shared" si="1"/>
        <v>462.79911928868347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12.890172941262653</v>
      </c>
      <c r="L44" s="5">
        <f t="shared" si="3"/>
        <v>31.289116726742225</v>
      </c>
      <c r="N44" s="11">
        <f>IF(+B44&gt;Title_RESULTS!$H$9+Title_RESULTS!$C$19-1,0,+'Value of Defferal'!N43*(1+'Value of Defferal'!$F$7))</f>
        <v>0.15880131920306648</v>
      </c>
      <c r="O44" s="5">
        <f t="shared" si="7"/>
        <v>28.307787989455722</v>
      </c>
      <c r="P44" s="48">
        <f t="shared" si="4"/>
        <v>68.71325052921988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213.83375719596444</v>
      </c>
      <c r="E45" s="11">
        <f>IF(B45&gt;Title_RESULTS!$H$8-1+Title_RESULTS!$C$18,0,+E44*(1+$F$7))</f>
        <v>0.1550794132842446</v>
      </c>
      <c r="F45" s="9">
        <f t="shared" si="1"/>
        <v>473.90629815161185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12.473541148730824</v>
      </c>
      <c r="L45" s="5">
        <f t="shared" si="3"/>
        <v>30.277800521133326</v>
      </c>
      <c r="N45" s="11">
        <f>IF(+B45&gt;Title_RESULTS!$H$9+Title_RESULTS!$C$19-1,0,+'Value of Defferal'!N44*(1+'Value of Defferal'!$F$7))</f>
        <v>0.16261255086394008</v>
      </c>
      <c r="O45" s="5">
        <f t="shared" si="7"/>
        <v>28.98717490120266</v>
      </c>
      <c r="P45" s="48">
        <f t="shared" si="4"/>
        <v>70.36236854192116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206.69144367792757</v>
      </c>
      <c r="E46" s="11">
        <f>IF(B46&gt;Title_RESULTS!$H$8-1+Title_RESULTS!$C$18,0,+E45*(1+$F$7))</f>
        <v>0.15880131920306648</v>
      </c>
      <c r="F46" s="9">
        <f t="shared" si="1"/>
        <v>485.2800493072506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12.056909356199</v>
      </c>
      <c r="L46" s="5">
        <f t="shared" si="3"/>
        <v>29.26648431552444</v>
      </c>
      <c r="N46" s="11">
        <f>IF(+B46&gt;Title_RESULTS!$H$9+Title_RESULTS!$C$19-1,0,+'Value of Defferal'!N45*(1+'Value of Defferal'!$F$7))</f>
        <v>0.16651525208467466</v>
      </c>
      <c r="O46" s="5">
        <f t="shared" si="7"/>
        <v>29.68286709883153</v>
      </c>
      <c r="P46" s="48">
        <f t="shared" si="4"/>
        <v>72.05106538692726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199.54913015989072</v>
      </c>
      <c r="E47" s="11">
        <f>IF(B47&gt;Title_RESULTS!$H$8-1+Title_RESULTS!$C$18,0,+E46*(1+$F$7))</f>
        <v>0.16261255086394008</v>
      </c>
      <c r="F47" s="9">
        <f t="shared" si="1"/>
        <v>496.9267704906246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11.64027756366718</v>
      </c>
      <c r="L47" s="5">
        <f t="shared" si="3"/>
        <v>28.25516810991556</v>
      </c>
      <c r="N47" s="11">
        <f>IF(+B47&gt;Title_RESULTS!$H$9+Title_RESULTS!$C$19-1,0,+'Value of Defferal'!N46*(1+'Value of Defferal'!$F$7))</f>
        <v>0.17051161813470686</v>
      </c>
      <c r="O47" s="5">
        <f t="shared" si="7"/>
        <v>30.395255909203488</v>
      </c>
      <c r="P47" s="48">
        <f t="shared" si="4"/>
        <v>73.78029095621353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192.40681664185385</v>
      </c>
      <c r="E48" s="11">
        <f>IF(B48&gt;Title_RESULTS!$H$8-1+Title_RESULTS!$C$18,0,+E47*(1+$F$7))</f>
        <v>0.16651525208467466</v>
      </c>
      <c r="F48" s="9">
        <f t="shared" si="1"/>
        <v>508.85301298239966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11.223645771135356</v>
      </c>
      <c r="L48" s="5">
        <f t="shared" si="3"/>
        <v>27.243851904306673</v>
      </c>
      <c r="N48" s="11">
        <f>IF(+B48&gt;Title_RESULTS!$H$9+Title_RESULTS!$C$19-1,0,+'Value of Defferal'!N47*(1+'Value of Defferal'!$F$7))</f>
        <v>0.17460389696993983</v>
      </c>
      <c r="O48" s="5">
        <f t="shared" si="7"/>
        <v>31.124742051024374</v>
      </c>
      <c r="P48" s="48">
        <f t="shared" si="4"/>
        <v>75.55101793916266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185.2645031238169</v>
      </c>
      <c r="E49" s="11">
        <f>IF(B49&gt;Title_RESULTS!$H$8-1+Title_RESULTS!$C$18,0,+E48*(1+$F$7))</f>
        <v>0.17051161813470686</v>
      </c>
      <c r="F49" s="9">
        <f t="shared" si="1"/>
        <v>521.0654852939773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10.807013978603528</v>
      </c>
      <c r="L49" s="5">
        <f t="shared" si="3"/>
        <v>26.232535698697777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178.12218960578002</v>
      </c>
      <c r="E50" s="11">
        <f>IF(B50&gt;Title_RESULTS!$H$8-1+Title_RESULTS!$C$18,0,+E49*(1+$F$7))</f>
        <v>0.17460389696993983</v>
      </c>
      <c r="F50" s="9">
        <f t="shared" si="1"/>
        <v>533.5710569410328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10.390382186071704</v>
      </c>
      <c r="L50" s="5">
        <f t="shared" si="3"/>
        <v>25.221219493088892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170.97987608774318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9.973750393539882</v>
      </c>
      <c r="L51" s="5">
        <f t="shared" si="3"/>
        <v>24.20990328748001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7300.868138102324</v>
      </c>
      <c r="F63" s="9">
        <f>SUM(F23:F61)</f>
        <v>10182.760259149774</v>
      </c>
      <c r="J63" t="s">
        <v>87</v>
      </c>
      <c r="K63" s="9">
        <f>SUM(K23:K61)</f>
        <v>425.88074182608904</v>
      </c>
      <c r="O63" s="9">
        <f>SUM(O23:O61)</f>
        <v>593.9898394235515</v>
      </c>
    </row>
    <row r="64" spans="3:15" ht="12.75">
      <c r="C64" t="s">
        <v>89</v>
      </c>
      <c r="D64" s="9">
        <f>NPV(+Title_RESULTS!$C$37,'Value of Defferal'!D24:D61)+'Value of Defferal'!D23</f>
        <v>3259.8817785590113</v>
      </c>
      <c r="F64" s="9">
        <f>NPV(+Title_RESULTS!$C$37,'Value of Defferal'!F24:F61)+'Value of Defferal'!F23</f>
        <v>3786.414101822856</v>
      </c>
      <c r="J64" t="s">
        <v>89</v>
      </c>
      <c r="K64" s="9">
        <f>NPV(+Title_RESULTS!$C$37,'Value of Defferal'!K24:K61)+'Value of Defferal'!K23</f>
        <v>190.15832690808213</v>
      </c>
      <c r="O64" s="9">
        <f>NPV(+Title_RESULTS!$C$37,'Value of Defferal'!O24:O61)+'Value of Defferal'!O23</f>
        <v>253.2551765683976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1.6679888596309027</v>
      </c>
      <c r="C25" t="s">
        <v>372</v>
      </c>
    </row>
    <row r="26" spans="2:3" ht="18">
      <c r="B26" s="15">
        <f>+((Input!$C$6*'EUE_Line Losses'!C4)+(Input!$C$7*'EUE_Line Losses'!C3))/'EUE_Line Losses'!C22</f>
        <v>1.662608250406287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0.65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1.71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571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15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249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144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Smart Thermostats - BYOT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43599.31802546296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1.71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1.662608250406287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571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15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249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+'Sheet7(F_23)'!H36</f>
        <v>1.5601206160448964</v>
      </c>
      <c r="I39" s="10"/>
    </row>
    <row r="40" spans="1:17" ht="18">
      <c r="A40" s="14" t="s">
        <v>7</v>
      </c>
      <c r="B40" s="13" t="s">
        <v>322</v>
      </c>
      <c r="C40" s="74">
        <f>+Input!C41</f>
        <v>144</v>
      </c>
      <c r="D40" s="13" t="s">
        <v>190</v>
      </c>
      <c r="G40" s="18" t="s">
        <v>347</v>
      </c>
      <c r="H40" s="41">
        <f>+'Sheet8(F_24)'!K34</f>
        <v>2853.3208255795753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0.771367870852334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2019-05-14T11:37:59Z</dcterms:created>
  <dcterms:modified xsi:type="dcterms:W3CDTF">2019-05-14T11:38:01Z</dcterms:modified>
  <cp:category/>
  <cp:version/>
  <cp:contentType/>
  <cp:contentStatus/>
</cp:coreProperties>
</file>