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8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'Sheet2(F_12)'!$A$1:$K$47</definedName>
    <definedName name="_xlnm.Print_Area" localSheetId="11">'Sheet3(F_21)'!$A$1:$J$36</definedName>
    <definedName name="_xlnm.Print_Area" localSheetId="14">'Sheet4(F_22)'!$A$1:$J$36</definedName>
    <definedName name="_xlnm.Print_Area" localSheetId="12">'Sheet5(p_5)'!$A$1:$H$36</definedName>
    <definedName name="_xlnm.Print_Area" localSheetId="15">'Sheet6(p_6)'!$A$1:$R$36</definedName>
    <definedName name="_xlnm.Print_Area" localSheetId="16">'Sheet7(F_23)'!$A$1:$M$36</definedName>
    <definedName name="_xlnm.Print_Area" localSheetId="17">'Sheet8(F_24)'!$A$1:$M$36</definedName>
    <definedName name="_xlnm.Print_Area" localSheetId="18">'Sheet9(F_25)'!$A$1:$N$36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<sst xmlns="http://schemas.openxmlformats.org/spreadsheetml/2006/main" count="1258" uniqueCount="468">
  <si>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</si>
  <si>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</si>
  <si>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</si>
  <si>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</si>
  <si>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</si>
  <si>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</si>
  <si>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</si>
  <si>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</si>
  <si>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</si>
  <si>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</si>
  <si>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</si>
  <si>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</si>
  <si>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</si>
  <si>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</si>
  <si>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</si>
  <si>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</si>
  <si>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</si>
  <si>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</si>
  <si>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</si>
  <si>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</si>
  <si>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</si>
  <si>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</si>
  <si>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</si>
  <si>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</si>
  <si>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</si>
  <si>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</si>
  <si>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</si>
  <si>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</si>
  <si>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</si>
  <si>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</si>
  <si>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</si>
  <si>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</si>
  <si>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</si>
  <si>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</si>
  <si>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</si>
  <si>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</si>
  <si>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</si>
  <si>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</si>
  <si>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</si>
  <si>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</si>
  <si>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</si>
  <si>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</si>
  <si>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</si>
  <si>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</si>
  <si>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</si>
  <si>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</si>
  <si>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</si>
  <si>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</si>
  <si>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</si>
  <si>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</si>
  <si>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</si>
  <si>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</si>
  <si>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</si>
  <si>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</si>
  <si>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</si>
  <si>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</si>
  <si>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</si>
  <si>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</si>
  <si>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</si>
  <si>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</si>
  <si>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</si>
  <si>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</si>
  <si>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</si>
  <si>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</si>
  <si>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</si>
  <si>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</si>
  <si>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</si>
  <si>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</si>
  <si>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</si>
  <si>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</si>
  <si>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</si>
  <si>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</si>
  <si>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</si>
  <si>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</si>
  <si>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</si>
  <si>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</si>
  <si>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</si>
  <si>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</si>
  <si>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</si>
  <si>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</si>
  <si>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</si>
  <si>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</si>
  <si>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</si>
  <si>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</si>
  <si>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</si>
  <si>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</si>
  <si>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</si>
  <si>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</si>
  <si>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</si>
  <si>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</si>
  <si>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</si>
  <si>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</si>
  <si>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</si>
  <si>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</si>
  <si>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</si>
  <si>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</si>
  <si>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</si>
  <si>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</si>
  <si>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</si>
  <si>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</si>
  <si>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</si>
  <si>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</si>
  <si>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</si>
  <si>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</si>
  <si>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</si>
  <si>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</si>
  <si>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</si>
  <si>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</si>
  <si>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</si>
  <si>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</si>
  <si>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</si>
  <si>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</si>
  <si>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</si>
  <si>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</si>
  <si>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</si>
  <si>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</si>
  <si>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</si>
  <si>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</si>
  <si>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</si>
  <si>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</si>
  <si>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</si>
  <si>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</si>
  <si>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</si>
  <si>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</si>
  <si>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</si>
  <si>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</si>
  <si>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</si>
  <si>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</si>
  <si>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</si>
  <si>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</si>
  <si>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</si>
  <si>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</si>
  <si>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</si>
  <si>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</si>
  <si>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</si>
  <si>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</si>
  <si>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</si>
  <si>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</si>
  <si>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</si>
  <si>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</si>
  <si>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</si>
  <si>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</si>
  <si>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</si>
  <si>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</si>
  <si>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</si>
  <si>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</si>
  <si>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</si>
  <si>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</si>
  <si>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</si>
  <si>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</si>
  <si>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</si>
  <si>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</si>
  <si>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</si>
  <si>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</si>
  <si>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</si>
  <si>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</si>
  <si>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</si>
  <si>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</si>
  <si>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</si>
  <si>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</si>
  <si>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</si>
  <si>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</si>
  <si>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</si>
  <si>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</si>
  <si>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</si>
  <si>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</si>
  <si>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</si>
  <si>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</si>
  <si>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</si>
  <si>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</si>
  <si>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</si>
  <si>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</si>
  <si>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</si>
  <si>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</si>
  <si>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</si>
  <si>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</si>
  <si>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</si>
  <si>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</si>
  <si>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</si>
  <si>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</si>
  <si>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</si>
  <si>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</si>
  <si>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</si>
  <si>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</si>
  <si>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</si>
  <si>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</si>
  <si>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</si>
  <si>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</si>
  <si>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</si>
  <si>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</si>
  <si>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</si>
  <si>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</si>
  <si>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</si>
  <si>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</si>
  <si>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</si>
  <si>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</si>
  <si>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</si>
  <si>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</si>
  <si>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</si>
  <si>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</si>
  <si>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</si>
  <si>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</si>
  <si>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</si>
  <si>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</si>
  <si>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</si>
  <si>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</si>
  <si>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</si>
  <si>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</si>
  <si>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</si>
  <si>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</si>
  <si>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</si>
  <si>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</si>
  <si>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</si>
  <si>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</si>
  <si>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</si>
  <si>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</si>
  <si>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</si>
  <si>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</si>
  <si>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</si>
  <si>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</si>
  <si>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</si>
  <si>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</si>
  <si>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</si>
  <si>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</si>
  <si>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</si>
  <si>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</si>
  <si>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</si>
  <si>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</si>
  <si>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</si>
  <si>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</si>
  <si>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</si>
  <si>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</si>
  <si>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</si>
  <si>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</si>
  <si>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</si>
  <si>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</si>
  <si>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</si>
  <si>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</si>
  <si>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</si>
  <si>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</si>
  <si>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</si>
  <si>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</si>
  <si>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</si>
  <si>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</si>
  <si>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</si>
  <si>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</si>
  <si>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</si>
  <si>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</si>
  <si>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</si>
  <si>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</si>
  <si>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</si>
  <si>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</si>
  <si>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</si>
  <si>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</si>
  <si>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</si>
  <si>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</si>
  <si>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</si>
  <si>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</si>
  <si>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</si>
  <si>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</si>
  <si>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</si>
  <si>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</si>
  <si>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</si>
  <si>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</si>
  <si>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</si>
  <si>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</si>
  <si>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</si>
  <si>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</si>
  <si>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</si>
  <si>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</si>
  <si>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</si>
  <si>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</si>
  <si>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</si>
  <si>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</si>
  <si>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</si>
  <si>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</si>
  <si>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</si>
  <si>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</si>
  <si>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</si>
  <si>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</si>
  <si>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</si>
  <si>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</si>
  <si>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</si>
  <si>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</si>
  <si>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</si>
  <si>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</si>
  <si>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</si>
  <si>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</si>
  <si>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</si>
  <si>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</si>
  <si>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</si>
  <si>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</si>
  <si>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</si>
  <si>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</si>
  <si>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</si>
  <si>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</si>
  <si>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</si>
  <si>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</si>
  <si>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</si>
  <si>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</si>
  <si>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</si>
  <si>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</si>
  <si>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</si>
  <si>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</si>
  <si>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</si>
  <si>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</si>
  <si>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</si>
  <si>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</si>
  <si>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</si>
  <si>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</si>
  <si>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</si>
  <si>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</si>
  <si>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</si>
  <si>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</si>
  <si>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</si>
  <si>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</si>
  <si>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</si>
  <si>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</si>
  <si>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</si>
  <si>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</si>
  <si>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</si>
  <si>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</si>
  <si>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</si>
  <si>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</si>
  <si>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</si>
  <si>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</si>
  <si>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</si>
  <si>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</si>
  <si>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</si>
  <si>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</si>
  <si>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</si>
  <si>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</si>
  <si>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</si>
  <si>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</si>
  <si>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</si>
  <si>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</si>
  <si>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</si>
  <si>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</si>
  <si>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</si>
  <si>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</si>
  <si>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</si>
  <si>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</si>
  <si>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</si>
  <si>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</si>
  <si>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</si>
  <si>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</si>
  <si>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</si>
  <si>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</si>
  <si>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</si>
  <si>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</si>
  <si>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</si>
  <si>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</si>
  <si>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</si>
  <si>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</si>
  <si>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</si>
  <si>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</si>
  <si>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</si>
  <si>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</si>
  <si>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</si>
  <si>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</si>
  <si>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</si>
  <si>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</si>
  <si>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</si>
  <si>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</si>
  <si>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</si>
  <si>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</si>
  <si>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</si>
  <si>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</si>
  <si>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</si>
  <si>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</si>
  <si>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</si>
  <si>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</si>
  <si>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</si>
  <si>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</si>
  <si>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</si>
  <si>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</si>
  <si>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</si>
  <si>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</si>
  <si>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</si>
  <si>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</si>
  <si>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</si>
  <si>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</si>
  <si>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</si>
  <si>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</si>
  <si>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</si>
  <si>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</si>
  <si>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</si>
  <si>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</si>
  <si>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</si>
  <si>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</si>
  <si>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</si>
  <si>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</si>
  <si>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</si>
  <si>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</si>
  <si>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</si>
  <si>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</si>
  <si>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</si>
  <si>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</si>
  <si>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</si>
  <si>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</si>
  <si>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</si>
  <si>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</si>
  <si>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</si>
  <si>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</si>
  <si>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</si>
  <si>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</si>
  <si>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</si>
  <si>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</si>
  <si>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</si>
  <si>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</si>
  <si>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</si>
  <si>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</si>
  <si>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</si>
  <si>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</si>
  <si>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</si>
  <si>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</si>
  <si>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</si>
  <si>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</si>
  <si>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</si>
  <si>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</si>
  <si>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</si>
  <si>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</si>
  <si>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</si>
  <si>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</si>
  <si>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</si>
  <si>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</si>
  <si>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</si>
  <si>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</si>
  <si>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</si>
  <si>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</si>
  <si>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</si>
  <si>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</si>
  <si>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</si>
  <si>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</si>
  <si>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</si>
  <si>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</si>
  <si>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</si>
  <si>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</si>
  <si>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</si>
  <si>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</si>
  <si>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</si>
  <si>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</si>
  <si>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</si>
  <si>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</si>
  <si>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</si>
  <si>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</si>
  <si>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</si>
  <si>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</si>
  <si>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</si>
  <si>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</si>
  <si>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</si>
  <si>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</si>
  <si>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</si>
  <si>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</si>
  <si>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</si>
  <si>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</si>
  <si>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</si>
  <si>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</si>
  <si>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</si>
  <si>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</si>
  <si>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</si>
  <si>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</si>
  <si>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</si>
  <si>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</si>
  <si>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</si>
  <si>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</si>
  <si>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</si>
  <si>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Compressed Air Equipment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</si>
</sst>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43599.32267337963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82106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43599.32267337963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Compressed Air Equipment</v>
      </c>
      <c r="J2" t="s">
        <v>55</v>
      </c>
    </row>
    <row r="3" ht="12.75">
      <c r="J3" s="35">
        <f>+Title_RESULTS!I4</f>
        <v>43599.32267337963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82106</v>
      </c>
      <c r="H5" t="s">
        <v>59</v>
      </c>
    </row>
    <row r="6" spans="3:7" ht="12.75">
      <c r="C6" t="s">
        <v>61</v>
      </c>
      <c r="G6" s="36">
        <f>+'Value of Defferal'!E3</f>
        <v>50302.17702687411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30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4970.977007602886</v>
      </c>
      <c r="D19" s="5">
        <f>IF((Title_RESULTS!$H$8-Title_RESULTS!$H$7)&lt;=('Sheet3(F_21)'!A19-Title_RESULTS!$H$7),((Title_RESULTS!$C$8*Partcipation!$C$26*8760*Title_RESULTS!$H$21/100000)),0)</f>
        <v>65451.278863955136</v>
      </c>
      <c r="E19" s="5">
        <f>IF($G19=0,0,((Title_RESULTS!$H$14*((1+Title_RESULTS!$H$15/100)^($A19-Title_RESULTS!$H$7))*'EUE_Line Losses'!$B$25*Partcipation!$C$26))/1000)</f>
        <v>515.6372426013938</v>
      </c>
      <c r="F19" s="5">
        <f>IF($G19=0,0,(Title_RESULTS!$H$19/100*((1+Title_RESULTS!$H$20/100)^($A19-Title_RESULTS!$H$7))*$D19*1000)/1000)</f>
        <v>147.58332865608324</v>
      </c>
      <c r="G19" s="5">
        <f>(+Title_RESULTS!$H$22/100*((1+Title_RESULTS!$H$23/100)^(+'Sheet4(F_22)'!A19-Title_RESULTS!$H$7)))*'Sheet3(F_21)'!D19</f>
        <v>2804.121916176981</v>
      </c>
      <c r="H19" s="5">
        <f>IF($G19=0,0,(($D19))*(Partcipation!$G19/100))</f>
        <v>2076.5253233416984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6361.794171695645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5090.280455785355</v>
      </c>
      <c r="D20" s="5">
        <f>IF((Title_RESULTS!$H$8-Title_RESULTS!$H$7)&lt;=('Sheet3(F_21)'!A20-Title_RESULTS!$H$7),((Title_RESULTS!$C$8*Partcipation!$C$26*8760*Title_RESULTS!$H$21/100000)),0)</f>
        <v>65451.278863955136</v>
      </c>
      <c r="E20" s="5">
        <f>IF($G20=0,0,((Title_RESULTS!$H$14*((1+Title_RESULTS!$H$15/100)^($A20-Title_RESULTS!$H$7))*'EUE_Line Losses'!$B$25*Partcipation!$C$26))/1000)</f>
        <v>528.0125364238272</v>
      </c>
      <c r="F20" s="5">
        <f>IF($G20=0,0,(Title_RESULTS!$H$19/100*((1+Title_RESULTS!$H$20/100)^($A20-Title_RESULTS!$H$7))*$D20*1000)/1000)</f>
        <v>151.12532854382923</v>
      </c>
      <c r="G20" s="5">
        <f>(+Title_RESULTS!$H$22/100*((1+Title_RESULTS!$H$23/100)^(+'Sheet4(F_22)'!A20-Title_RESULTS!$H$7)))*'Sheet3(F_21)'!D20</f>
        <v>2931.429051171416</v>
      </c>
      <c r="H20" s="5">
        <f>IF($G20=0,0,(($D20))*(Partcipation!$G20/100))</f>
        <v>2169.4174434279344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6531.429928496493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5212.447186724205</v>
      </c>
      <c r="D21" s="5">
        <f>IF((Title_RESULTS!$H$8-Title_RESULTS!$H$7)&lt;=('Sheet3(F_21)'!A21-Title_RESULTS!$H$7),((Title_RESULTS!$C$8*Partcipation!$C$26*8760*Title_RESULTS!$H$21/100000)),0)</f>
        <v>65451.278863955136</v>
      </c>
      <c r="E21" s="5">
        <f>IF($G21=0,0,((Title_RESULTS!$H$14*((1+Title_RESULTS!$H$15/100)^($A21-Title_RESULTS!$H$7))*'EUE_Line Losses'!$B$25*Partcipation!$C$26))/1000)</f>
        <v>540.684837297999</v>
      </c>
      <c r="F21" s="5">
        <f>IF($G21=0,0,(Title_RESULTS!$H$19/100*((1+Title_RESULTS!$H$20/100)^($A21-Title_RESULTS!$H$7))*$D21*1000)/1000)</f>
        <v>154.75233642888116</v>
      </c>
      <c r="G21" s="5">
        <f>(+Title_RESULTS!$H$22/100*((1+Title_RESULTS!$H$23/100)^(+'Sheet4(F_22)'!A21-Title_RESULTS!$H$7)))*'Sheet3(F_21)'!D21</f>
        <v>3064.515930094599</v>
      </c>
      <c r="H21" s="5">
        <f>IF($G21=0,0,(($D21))*(Partcipation!$G21/100))</f>
        <v>2255.387797595291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6717.012492950391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5337.545919205585</v>
      </c>
      <c r="D22" s="5">
        <f>IF((Title_RESULTS!$H$8-Title_RESULTS!$H$7)&lt;=('Sheet3(F_21)'!A22-Title_RESULTS!$H$7),((Title_RESULTS!$C$8*Partcipation!$C$26*8760*Title_RESULTS!$H$21/100000)),0)</f>
        <v>65451.278863955136</v>
      </c>
      <c r="E22" s="5">
        <f>IF($G22=0,0,((Title_RESULTS!$H$14*((1+Title_RESULTS!$H$15/100)^($A22-Title_RESULTS!$H$7))*'EUE_Line Losses'!$B$25*Partcipation!$C$26))/1000)</f>
        <v>553.6612733931509</v>
      </c>
      <c r="F22" s="5">
        <f>IF($G22=0,0,(Title_RESULTS!$H$19/100*((1+Title_RESULTS!$H$20/100)^($A22-Title_RESULTS!$H$7))*$D22*1000)/1000)</f>
        <v>158.4663925031743</v>
      </c>
      <c r="G22" s="5">
        <f>(+Title_RESULTS!$H$22/100*((1+Title_RESULTS!$H$23/100)^(+'Sheet4(F_22)'!A22-Title_RESULTS!$H$7)))*'Sheet3(F_21)'!D22</f>
        <v>3203.644953320894</v>
      </c>
      <c r="H22" s="5">
        <f>IF($G22=0,0,(($D22))*(Partcipation!$G22/100))</f>
        <v>2328.463168389531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6924.855370033272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5465.647021266519</v>
      </c>
      <c r="D23" s="5">
        <f>IF((Title_RESULTS!$H$8-Title_RESULTS!$H$7)&lt;=('Sheet3(F_21)'!A23-Title_RESULTS!$H$7),((Title_RESULTS!$C$8*Partcipation!$C$26*8760*Title_RESULTS!$H$21/100000)),0)</f>
        <v>65451.278863955136</v>
      </c>
      <c r="E23" s="5">
        <f>IF($G23=0,0,((Title_RESULTS!$H$14*((1+Title_RESULTS!$H$15/100)^($A23-Title_RESULTS!$H$7))*'EUE_Line Losses'!$B$25*Partcipation!$C$26))/1000)</f>
        <v>566.9491439545867</v>
      </c>
      <c r="F23" s="5">
        <f>IF($G23=0,0,(Title_RESULTS!$H$19/100*((1+Title_RESULTS!$H$20/100)^($A23-Title_RESULTS!$H$7))*$D23*1000)/1000)</f>
        <v>162.26958592325047</v>
      </c>
      <c r="G23" s="5">
        <f>(+Title_RESULTS!$H$22/100*((1+Title_RESULTS!$H$23/100)^(+'Sheet4(F_22)'!A23-Title_RESULTS!$H$7)))*'Sheet3(F_21)'!D23</f>
        <v>3349.090434201663</v>
      </c>
      <c r="H23" s="5">
        <f>IF($G23=0,0,(($D23))*(Partcipation!$G23/100))</f>
        <v>2432.684408864495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7111.271776481523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5596.822549776916</v>
      </c>
      <c r="D24" s="5">
        <f>IF((Title_RESULTS!$H$8-Title_RESULTS!$H$7)&lt;=('Sheet3(F_21)'!A24-Title_RESULTS!$H$7),((Title_RESULTS!$C$8*Partcipation!$C$26*8760*Title_RESULTS!$H$21/100000)),0)</f>
        <v>65451.278863955136</v>
      </c>
      <c r="E24" s="5">
        <f>IF($G24=0,0,((Title_RESULTS!$H$14*((1+Title_RESULTS!$H$15/100)^($A24-Title_RESULTS!$H$7))*'EUE_Line Losses'!$B$25*Partcipation!$C$26))/1000)</f>
        <v>580.5559234094967</v>
      </c>
      <c r="F24" s="5">
        <f>IF($G24=0,0,(Title_RESULTS!$H$19/100*((1+Title_RESULTS!$H$20/100)^($A24-Title_RESULTS!$H$7))*$D24*1000)/1000)</f>
        <v>166.16405598540848</v>
      </c>
      <c r="G24" s="5">
        <f>(+Title_RESULTS!$H$22/100*((1+Title_RESULTS!$H$23/100)^(+'Sheet4(F_22)'!A24-Title_RESULTS!$H$7)))*'Sheet3(F_21)'!D24</f>
        <v>3501.1391399144186</v>
      </c>
      <c r="H24" s="5">
        <f>IF($G24=0,0,(($D24))*(Partcipation!$G24/100))</f>
        <v>2618.2116016130853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7226.470067473154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5731.146290971562</v>
      </c>
      <c r="D25" s="5">
        <f>IF((Title_RESULTS!$H$8-Title_RESULTS!$H$7)&lt;=('Sheet3(F_21)'!A25-Title_RESULTS!$H$7),((Title_RESULTS!$C$8*Partcipation!$C$26*8760*Title_RESULTS!$H$21/100000)),0)</f>
        <v>65451.278863955136</v>
      </c>
      <c r="E25" s="5">
        <f>IF($G25=0,0,((Title_RESULTS!$H$14*((1+Title_RESULTS!$H$15/100)^($A25-Title_RESULTS!$H$7))*'EUE_Line Losses'!$B$25*Partcipation!$C$26))/1000)</f>
        <v>594.4892655713246</v>
      </c>
      <c r="F25" s="5">
        <f>IF($G25=0,0,(Title_RESULTS!$H$19/100*((1+Title_RESULTS!$H$20/100)^($A25-Title_RESULTS!$H$7))*$D25*1000)/1000)</f>
        <v>170.15199332905826</v>
      </c>
      <c r="G25" s="5">
        <f>(+Title_RESULTS!$H$22/100*((1+Title_RESULTS!$H$23/100)^(+'Sheet4(F_22)'!A25-Title_RESULTS!$H$7)))*'Sheet3(F_21)'!D25</f>
        <v>3660.0908568665336</v>
      </c>
      <c r="H25" s="5">
        <f>IF($G25=0,0,(($D25))*(Partcipation!$G25/100))</f>
        <v>2733.1135288767928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7422.764877861686</v>
      </c>
    </row>
    <row r="26" spans="1:10" ht="12.75">
      <c r="A26">
        <f t="shared" si="0"/>
        <v>2030</v>
      </c>
      <c r="B26" s="43">
        <f>VLOOKUP(A26,'Value of Defferal'!$B33:$F$61,'Value of Defferal'!$C$10)</f>
        <v>0.11666878351645714</v>
      </c>
      <c r="C26" s="44">
        <f>VLOOKUP(A26,'Value of Defferal'!$B33:$F$61,'Value of Defferal'!$C$9)</f>
        <v>5868.693801954879</v>
      </c>
      <c r="D26" s="5">
        <f>IF((Title_RESULTS!$H$8-Title_RESULTS!$H$7)&lt;=('Sheet3(F_21)'!A26-Title_RESULTS!$H$7),((Title_RESULTS!$C$8*Partcipation!$C$26*8760*Title_RESULTS!$H$21/100000)),0)</f>
        <v>65451.278863955136</v>
      </c>
      <c r="E26" s="5">
        <f>IF($G26=0,0,((Title_RESULTS!$H$14*((1+Title_RESULTS!$H$15/100)^($A26-Title_RESULTS!$H$7))*'EUE_Line Losses'!$B$25*Partcipation!$C$26))/1000)</f>
        <v>608.7570079450364</v>
      </c>
      <c r="F26" s="5">
        <f>IF($G26=0,0,(Title_RESULTS!$H$19/100*((1+Title_RESULTS!$H$20/100)^($A26-Title_RESULTS!$H$7))*$D26*1000)/1000)</f>
        <v>174.23564116895565</v>
      </c>
      <c r="G26" s="5">
        <f>(+Title_RESULTS!$H$22/100*((1+Title_RESULTS!$H$23/100)^(+'Sheet4(F_22)'!A26-Title_RESULTS!$H$7)))*'Sheet3(F_21)'!D26</f>
        <v>3826.2589817682747</v>
      </c>
      <c r="H26" s="5">
        <f>IF($G26=0,0,(($D26))*(Partcipation!$G26/100))</f>
        <v>2936.328464061902</v>
      </c>
      <c r="I26" s="5">
        <f>IF($A26&gt;=+Title_RESULTS!$H$8,+Partcipation!$C$60*Title_RESULTS!$H$24/1000*(1+Title_RESULTS!$H$25/100)^($A26-Title_RESULTS!$H$7),0)</f>
        <v>0</v>
      </c>
      <c r="J26" s="5">
        <f>(+C26+G26+E26+F26-H26+I26)*Partcipation!H26</f>
        <v>7541.6169687752445</v>
      </c>
    </row>
    <row r="27" spans="1:10" ht="12.75">
      <c r="A27">
        <f t="shared" si="0"/>
        <v>2031</v>
      </c>
      <c r="B27" s="43">
        <f>VLOOKUP(A27,'Value of Defferal'!$B34:$F$61,'Value of Defferal'!$C$10)</f>
        <v>0.11946883432085212</v>
      </c>
      <c r="C27" s="44">
        <f>VLOOKUP(A27,'Value of Defferal'!$B34:$F$61,'Value of Defferal'!$C$9)</f>
        <v>6009.542453201797</v>
      </c>
      <c r="D27" s="5">
        <f>IF((Title_RESULTS!$H$8-Title_RESULTS!$H$7)&lt;=('Sheet3(F_21)'!A27-Title_RESULTS!$H$7),((Title_RESULTS!$C$8*Partcipation!$C$26*8760*Title_RESULTS!$H$21/100000)),0)</f>
        <v>65451.278863955136</v>
      </c>
      <c r="E27" s="5">
        <f>IF($G27=0,0,((Title_RESULTS!$H$14*((1+Title_RESULTS!$H$15/100)^($A27-Title_RESULTS!$H$7))*'EUE_Line Losses'!$B$25*Partcipation!$C$26))/1000)</f>
        <v>623.3671761357174</v>
      </c>
      <c r="F27" s="5">
        <f>IF($G27=0,0,(Title_RESULTS!$H$19/100*((1+Title_RESULTS!$H$20/100)^($A27-Title_RESULTS!$H$7))*$D27*1000)/1000)</f>
        <v>178.41729655701064</v>
      </c>
      <c r="G27" s="5">
        <f>(+Title_RESULTS!$H$22/100*((1+Title_RESULTS!$H$23/100)^(+'Sheet4(F_22)'!A27-Title_RESULTS!$H$7)))*'Sheet3(F_21)'!D27</f>
        <v>3999.9711395405548</v>
      </c>
      <c r="H27" s="5">
        <f>IF($G27=0,0,(($D27))*(Partcipation!$G27/100))</f>
        <v>3009.346310420429</v>
      </c>
      <c r="I27" s="5">
        <f>IF($A27&gt;=+Title_RESULTS!$H$8,+Partcipation!$C$60*Title_RESULTS!$H$24/1000*(1+Title_RESULTS!$H$25/100)^($A27-Title_RESULTS!$H$7),0)</f>
        <v>0</v>
      </c>
      <c r="J27" s="5">
        <f>(+C27+G27+E27+F27-H27+I27)*Partcipation!H27</f>
        <v>7801.95175501465</v>
      </c>
    </row>
    <row r="28" spans="1:10" ht="12.75">
      <c r="A28">
        <f t="shared" si="0"/>
        <v>2032</v>
      </c>
      <c r="B28" s="43">
        <f>VLOOKUP(A28,'Value of Defferal'!$B35:$F$61,'Value of Defferal'!$C$10)</f>
        <v>0.12233608634455258</v>
      </c>
      <c r="C28" s="44">
        <f>VLOOKUP(A28,'Value of Defferal'!$B35:$F$61,'Value of Defferal'!$C$9)</f>
        <v>6153.77147207864</v>
      </c>
      <c r="D28" s="5">
        <f>IF((Title_RESULTS!$H$8-Title_RESULTS!$H$7)&lt;=('Sheet3(F_21)'!A28-Title_RESULTS!$H$7),((Title_RESULTS!$C$8*Partcipation!$C$26*8760*Title_RESULTS!$H$21/100000)),0)</f>
        <v>65451.278863955136</v>
      </c>
      <c r="E28" s="5">
        <f>IF($G28=0,0,((Title_RESULTS!$H$14*((1+Title_RESULTS!$H$15/100)^($A28-Title_RESULTS!$H$7))*'EUE_Line Losses'!$B$25*Partcipation!$C$26))/1000)</f>
        <v>638.3279883629746</v>
      </c>
      <c r="F28" s="5">
        <f>IF($G28=0,0,(Title_RESULTS!$H$19/100*((1+Title_RESULTS!$H$20/100)^($A28-Title_RESULTS!$H$7))*$D28*1000)/1000)</f>
        <v>182.69931167437886</v>
      </c>
      <c r="G28" s="5">
        <f>(+Title_RESULTS!$H$22/100*((1+Title_RESULTS!$H$23/100)^(+'Sheet4(F_22)'!A28-Title_RESULTS!$H$7)))*'Sheet3(F_21)'!D28</f>
        <v>4181.569829275696</v>
      </c>
      <c r="H28" s="5">
        <f>IF($G28=0,0,(($D28))*(Partcipation!$G28/100))</f>
        <v>3189.93691614126</v>
      </c>
      <c r="I28" s="5">
        <f>IF($A28&gt;=+Title_RESULTS!$H$8,+Partcipation!$C$60*Title_RESULTS!$H$24/1000*(1+Title_RESULTS!$H$25/100)^($A28-Title_RESULTS!$H$7),0)</f>
        <v>0</v>
      </c>
      <c r="J28" s="5">
        <f>(+C28+G28+E28+F28-H28+I28)*Partcipation!H28</f>
        <v>7966.431685250431</v>
      </c>
    </row>
    <row r="29" spans="1:10" ht="12.75">
      <c r="A29">
        <f t="shared" si="0"/>
        <v>2033</v>
      </c>
      <c r="B29" s="43">
        <f>VLOOKUP(A29,'Value of Defferal'!$B36:$F$61,'Value of Defferal'!$C$10)</f>
        <v>0.12527215241682185</v>
      </c>
      <c r="C29" s="44">
        <f>VLOOKUP(A29,'Value of Defferal'!$B36:$F$61,'Value of Defferal'!$C$9)</f>
        <v>6301.461987408528</v>
      </c>
      <c r="D29" s="5">
        <f>IF((Title_RESULTS!$H$8-Title_RESULTS!$H$7)&lt;=('Sheet3(F_21)'!A29-Title_RESULTS!$H$7),((Title_RESULTS!$C$8*Partcipation!$C$26*8760*Title_RESULTS!$H$21/100000)),0)</f>
        <v>65451.278863955136</v>
      </c>
      <c r="E29" s="5">
        <f>IF($G29=0,0,((Title_RESULTS!$H$14*((1+Title_RESULTS!$H$15/100)^($A29-Title_RESULTS!$H$7))*'EUE_Line Losses'!$B$25*Partcipation!$C$26))/1000)</f>
        <v>653.6478600836859</v>
      </c>
      <c r="F29" s="5">
        <f>IF($G29=0,0,(Title_RESULTS!$H$19/100*((1+Title_RESULTS!$H$20/100)^($A29-Title_RESULTS!$H$7))*$D29*1000)/1000)</f>
        <v>187.08409515456395</v>
      </c>
      <c r="G29" s="5">
        <f>(+Title_RESULTS!$H$22/100*((1+Title_RESULTS!$H$23/100)^(+'Sheet4(F_22)'!A29-Title_RESULTS!$H$7)))*'Sheet3(F_21)'!D29</f>
        <v>4371.413099524813</v>
      </c>
      <c r="H29" s="5">
        <f>IF($G29=0,0,(($D29))*(Partcipation!$G29/100))</f>
        <v>3262.691271049019</v>
      </c>
      <c r="I29" s="5">
        <f>IF($A29&gt;=+Title_RESULTS!$H$8,+Partcipation!$C$60*Title_RESULTS!$H$24/1000*(1+Title_RESULTS!$H$25/100)^($A29-Title_RESULTS!$H$7),0)</f>
        <v>0</v>
      </c>
      <c r="J29" s="5">
        <f>(+C29+G29+E29+F29-H29+I29)*Partcipation!H29</f>
        <v>8250.91577112257</v>
      </c>
    </row>
    <row r="30" spans="1:10" ht="12.75">
      <c r="A30">
        <f t="shared" si="0"/>
        <v>2034</v>
      </c>
      <c r="B30" s="43">
        <f>VLOOKUP(A30,'Value of Defferal'!$B37:$F$61,'Value of Defferal'!$C$10)</f>
        <v>0.12827868407482557</v>
      </c>
      <c r="C30" s="44">
        <f>VLOOKUP(A30,'Value of Defferal'!$B37:$F$61,'Value of Defferal'!$C$9)</f>
        <v>6452.697075106333</v>
      </c>
      <c r="D30" s="5">
        <f>IF((Title_RESULTS!$H$8-Title_RESULTS!$H$7)&lt;=('Sheet3(F_21)'!A30-Title_RESULTS!$H$7),((Title_RESULTS!$C$8*Partcipation!$C$26*8760*Title_RESULTS!$H$21/100000)),0)</f>
        <v>65451.278863955136</v>
      </c>
      <c r="E30" s="5">
        <f>IF($G30=0,0,((Title_RESULTS!$H$14*((1+Title_RESULTS!$H$15/100)^($A30-Title_RESULTS!$H$7))*'EUE_Line Losses'!$B$25*Partcipation!$C$26))/1000)</f>
        <v>669.3354087256943</v>
      </c>
      <c r="F30" s="5">
        <f>IF($G30=0,0,(Title_RESULTS!$H$19/100*((1+Title_RESULTS!$H$20/100)^($A30-Title_RESULTS!$H$7))*$D30*1000)/1000)</f>
        <v>191.57411343827349</v>
      </c>
      <c r="G30" s="5">
        <f>(+Title_RESULTS!$H$22/100*((1+Title_RESULTS!$H$23/100)^(+'Sheet4(F_22)'!A30-Title_RESULTS!$H$7)))*'Sheet3(F_21)'!D30</f>
        <v>4569.87525424324</v>
      </c>
      <c r="H30" s="5">
        <f>IF($G30=0,0,(($D30))*(Partcipation!$G30/100))</f>
        <v>3473.223270663264</v>
      </c>
      <c r="I30" s="5">
        <f>IF($A30&gt;=+Title_RESULTS!$H$8,+Partcipation!$C$60*Title_RESULTS!$H$24/1000*(1+Title_RESULTS!$H$25/100)^($A30-Title_RESULTS!$H$7),0)</f>
        <v>0</v>
      </c>
      <c r="J30" s="5">
        <f>(+C30+G30+E30+F30-H30+I30)*Partcipation!H30</f>
        <v>8410.258580850275</v>
      </c>
    </row>
    <row r="31" spans="3:10" ht="12.75">
      <c r="C31" s="5"/>
      <c r="D31" s="5"/>
      <c r="E31" s="5"/>
      <c r="F31" s="5"/>
      <c r="G31" s="5"/>
      <c r="H31" s="5"/>
      <c r="I31" s="5"/>
      <c r="J31" s="5"/>
    </row>
    <row r="32" spans="1:10" ht="12.75">
      <c r="A32" t="s">
        <v>87</v>
      </c>
      <c r="B32" s="9"/>
      <c r="C32" s="9">
        <f aca="true" t="shared" si="1" ref="C32:J32">SUM(C16:C31)</f>
        <v>68191.0332210832</v>
      </c>
      <c r="D32" s="9">
        <f t="shared" si="1"/>
        <v>785415.3463674617</v>
      </c>
      <c r="E32" s="9">
        <f t="shared" si="1"/>
        <v>7073.425663904887</v>
      </c>
      <c r="F32" s="9">
        <f t="shared" si="1"/>
        <v>2024.5234793628679</v>
      </c>
      <c r="G32" s="9">
        <f t="shared" si="1"/>
        <v>43463.12058609908</v>
      </c>
      <c r="H32" s="9">
        <f t="shared" si="1"/>
        <v>32485.329504444704</v>
      </c>
      <c r="I32" s="9">
        <f t="shared" si="1"/>
        <v>0</v>
      </c>
      <c r="J32" s="9">
        <f t="shared" si="1"/>
        <v>88266.77344600533</v>
      </c>
    </row>
    <row r="33" spans="3:10" ht="12.75">
      <c r="C33" s="5"/>
      <c r="D33" s="5"/>
      <c r="E33" s="5"/>
      <c r="F33" s="5"/>
      <c r="G33" s="5"/>
      <c r="H33" s="5"/>
      <c r="I33" s="5"/>
      <c r="J33" s="5"/>
    </row>
    <row r="34" spans="1:10" ht="12.75">
      <c r="A34" t="s">
        <v>89</v>
      </c>
      <c r="C34" s="5">
        <f>NPV(Title_RESULTS!$C$37,C17:C31)+'Sheet3(F_21)'!C16</f>
        <v>38450.96453670318</v>
      </c>
      <c r="D34" s="5"/>
      <c r="E34" s="5">
        <f>NPV(Title_RESULTS!$C$37,E17:E31)+'Sheet3(F_21)'!E16</f>
        <v>3988.501515646819</v>
      </c>
      <c r="F34" s="5">
        <f>NPV(Title_RESULTS!$C$37,F17:F31)+'Sheet3(F_21)'!F16</f>
        <v>1141.5706263948582</v>
      </c>
      <c r="G34" s="5">
        <f>NPV(Title_RESULTS!$C$37,G17:G31)+'Sheet3(F_21)'!G16</f>
        <v>24099.112290751276</v>
      </c>
      <c r="H34" s="5">
        <f>NPV(Title_RESULTS!$C$37,H17:H31)+'Sheet3(F_21)'!H16</f>
        <v>17963.560855889096</v>
      </c>
      <c r="I34" s="5">
        <f>NPV(Title_RESULTS!$C$37,I17:I31)+'Sheet3(F_21)'!I16</f>
        <v>0</v>
      </c>
      <c r="J34" s="5">
        <f>NPV(Title_RESULTS!$C$37,J17:J31)+'Sheet3(F_21)'!J16</f>
        <v>49716.588113607024</v>
      </c>
    </row>
    <row r="36" ht="12.75">
      <c r="A36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Compressed Air Equipment</v>
      </c>
      <c r="F2" t="s">
        <v>55</v>
      </c>
    </row>
    <row r="3" spans="6:7" ht="12.75">
      <c r="F3" s="35">
        <f>+Title_RESULTS!I4</f>
        <v>43599.32267337963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96829.11392405063</v>
      </c>
      <c r="C16" s="5">
        <f>$B16*'Sheet2(F_12)'!$E16/100</f>
        <v>2808.731426000861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2808.731426000861</v>
      </c>
      <c r="G16" s="5">
        <f>+$F16*'Sheet2(F_12)'!$I16</f>
        <v>2808.731426000861</v>
      </c>
    </row>
    <row r="17" spans="1:7" ht="12.75">
      <c r="A17">
        <f>+A16+1</f>
        <v>2021</v>
      </c>
      <c r="B17" s="5">
        <f>(+Partcipation!$C16+(Partcipation!$C17-Partcipation!$C16)/2)*Title_RESULTS!$C$10/1000</f>
        <v>290487.3417721519</v>
      </c>
      <c r="C17" s="5">
        <f>$B17*'Sheet2(F_12)'!$E17/100</f>
        <v>8357.656850760071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8357.656850760071</v>
      </c>
      <c r="G17" s="5">
        <f>+$F17*'Sheet2(F_12)'!$I17</f>
        <v>8357.656850760071</v>
      </c>
    </row>
    <row r="18" spans="1:7" ht="12.75">
      <c r="A18">
        <f>+A17+1</f>
        <v>2022</v>
      </c>
      <c r="B18" s="5">
        <f>(+Partcipation!$C17+(Partcipation!$C18-Partcipation!$C17)/2)*Title_RESULTS!$C$10/1000</f>
        <v>484145.56962025317</v>
      </c>
      <c r="C18" s="5">
        <f>$B18*'Sheet2(F_12)'!$E18/100</f>
        <v>14376.102113557985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14376.102113557985</v>
      </c>
      <c r="G18" s="5">
        <f>+$F18*'Sheet2(F_12)'!$I18</f>
        <v>14376.102113557985</v>
      </c>
    </row>
    <row r="19" spans="1:7" ht="12.75">
      <c r="A19">
        <f aca="true" t="shared" si="0" ref="A19:A30">+A18+1</f>
        <v>2023</v>
      </c>
      <c r="B19" s="5">
        <f>(+Partcipation!$C18+(Partcipation!$C19-Partcipation!$C18)/2)*Title_RESULTS!$C$10/1000</f>
        <v>580974.6835443038</v>
      </c>
      <c r="C19" s="5">
        <f>$B19*'Sheet2(F_12)'!$E19/100</f>
        <v>17959.03724495694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30">+C19-E19</f>
        <v>17959.03724495694</v>
      </c>
      <c r="G19" s="5">
        <f>+$F19*'Sheet2(F_12)'!$I19</f>
        <v>17959.03724495694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580974.6835443038</v>
      </c>
      <c r="C20" s="5">
        <f>$B20*'Sheet2(F_12)'!$E20/100</f>
        <v>18664.759717034423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18664.759717034423</v>
      </c>
      <c r="G20" s="5">
        <f>+$F20*'Sheet2(F_12)'!$I20</f>
        <v>18664.759717034423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580974.6835443038</v>
      </c>
      <c r="C21" s="5">
        <f>$B21*'Sheet2(F_12)'!$E21/100</f>
        <v>20040.33262383677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20040.33262383677</v>
      </c>
      <c r="G21" s="5">
        <f>+$F21*'Sheet2(F_12)'!$I21</f>
        <v>20040.33262383677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580974.6835443038</v>
      </c>
      <c r="C22" s="5">
        <f>$B22*'Sheet2(F_12)'!$E22/100</f>
        <v>20683.118769146287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20683.118769146287</v>
      </c>
      <c r="G22" s="5">
        <f>+$F22*'Sheet2(F_12)'!$I22</f>
        <v>20683.118769146287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580974.6835443038</v>
      </c>
      <c r="C23" s="5">
        <f>$B23*'Sheet2(F_12)'!$E23/100</f>
        <v>21975.72111872146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21975.72111872146</v>
      </c>
      <c r="G23" s="5">
        <f>+$F23*'Sheet2(F_12)'!$I23</f>
        <v>21975.72111872146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580974.6835443038</v>
      </c>
      <c r="C24" s="5">
        <f>$B24*'Sheet2(F_12)'!$E24/100</f>
        <v>24351.640283830202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24351.640283830202</v>
      </c>
      <c r="G24" s="5">
        <f>+$F24*'Sheet2(F_12)'!$I24</f>
        <v>24351.640283830202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580974.6835443038</v>
      </c>
      <c r="C25" s="5">
        <f>$B25*'Sheet2(F_12)'!$E25/100</f>
        <v>26089.47728455002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26089.47728455002</v>
      </c>
      <c r="G25" s="5">
        <f>+$F25*'Sheet2(F_12)'!$I25</f>
        <v>26089.47728455002</v>
      </c>
    </row>
    <row r="26" spans="1:7" ht="12.75">
      <c r="A26">
        <f t="shared" si="0"/>
        <v>2030</v>
      </c>
      <c r="B26" s="5">
        <f>(+Partcipation!$C25+(Partcipation!$C26-Partcipation!$C25)/2)*Title_RESULTS!$C$10/1000</f>
        <v>580974.6835443038</v>
      </c>
      <c r="C26" s="5">
        <f>$B26*'Sheet2(F_12)'!$E26/100</f>
        <v>29140.50076440669</v>
      </c>
      <c r="D26" s="5">
        <f>(+Partcipation!$C25+(Partcipation!$C26-Partcipation!$C25)/2)*(+Title_RESULTS!$C$31/(1-Title_RESULTS!$C$11/100))/1000</f>
        <v>0</v>
      </c>
      <c r="E26" s="5">
        <f>+$D26*'Sheet2(F_12)'!$F26/100</f>
        <v>0</v>
      </c>
      <c r="F26" s="5">
        <f t="shared" si="1"/>
        <v>29140.50076440669</v>
      </c>
      <c r="G26" s="5">
        <f>+$F26*'Sheet2(F_12)'!$I26</f>
        <v>29140.50076440669</v>
      </c>
    </row>
    <row r="27" spans="1:7" ht="12.75">
      <c r="A27">
        <f t="shared" si="0"/>
        <v>2031</v>
      </c>
      <c r="B27" s="5">
        <f>(+Partcipation!$C26+(Partcipation!$C27-Partcipation!$C26)/2)*Title_RESULTS!$C$10/1000</f>
        <v>580974.6835443038</v>
      </c>
      <c r="C27" s="5">
        <f>$B27*'Sheet2(F_12)'!$E27/100</f>
        <v>29032.131742384834</v>
      </c>
      <c r="D27" s="5">
        <f>(+Partcipation!$C26+(Partcipation!$C27-Partcipation!$C26)/2)*(+Title_RESULTS!$C$31/(1-Title_RESULTS!$C$11/100))/1000</f>
        <v>0</v>
      </c>
      <c r="E27" s="5">
        <f>+$D27*'Sheet2(F_12)'!$F27/100</f>
        <v>0</v>
      </c>
      <c r="F27" s="5">
        <f t="shared" si="1"/>
        <v>29032.131742384834</v>
      </c>
      <c r="G27" s="5">
        <f>+$F27*'Sheet2(F_12)'!$I27</f>
        <v>29032.131742384834</v>
      </c>
    </row>
    <row r="28" spans="1:7" ht="12.75">
      <c r="A28">
        <f t="shared" si="0"/>
        <v>2032</v>
      </c>
      <c r="B28" s="5">
        <f>(+Partcipation!$C27+(Partcipation!$C28-Partcipation!$C27)/2)*Title_RESULTS!$C$10/1000</f>
        <v>580974.6835443038</v>
      </c>
      <c r="C28" s="5">
        <f>$B28*'Sheet2(F_12)'!$E28/100</f>
        <v>31729.43673191762</v>
      </c>
      <c r="D28" s="5">
        <f>(+Partcipation!$C27+(Partcipation!$C28-Partcipation!$C27)/2)*(+Title_RESULTS!$C$31/(1-Title_RESULTS!$C$11/100))/1000</f>
        <v>0</v>
      </c>
      <c r="E28" s="5">
        <f>+$D28*'Sheet2(F_12)'!$F28/100</f>
        <v>0</v>
      </c>
      <c r="F28" s="5">
        <f t="shared" si="1"/>
        <v>31729.43673191762</v>
      </c>
      <c r="G28" s="5">
        <f>+$F28*'Sheet2(F_12)'!$I28</f>
        <v>31729.43673191762</v>
      </c>
    </row>
    <row r="29" spans="1:7" ht="12.75">
      <c r="A29">
        <f t="shared" si="0"/>
        <v>2033</v>
      </c>
      <c r="B29" s="5">
        <f>(+Partcipation!$C28+(Partcipation!$C29-Partcipation!$C28)/2)*Title_RESULTS!$C$10/1000</f>
        <v>580974.6835443038</v>
      </c>
      <c r="C29" s="5">
        <f>$B29*'Sheet2(F_12)'!$E29/100</f>
        <v>33836.55803999768</v>
      </c>
      <c r="D29" s="5">
        <f>(+Partcipation!$C28+(Partcipation!$C29-Partcipation!$C28)/2)*(+Title_RESULTS!$C$31/(1-Title_RESULTS!$C$11/100))/1000</f>
        <v>0</v>
      </c>
      <c r="E29" s="5">
        <f>+$D29*'Sheet2(F_12)'!$F29/100</f>
        <v>0</v>
      </c>
      <c r="F29" s="5">
        <f t="shared" si="1"/>
        <v>33836.55803999768</v>
      </c>
      <c r="G29" s="5">
        <f>+$F29*'Sheet2(F_12)'!$I29</f>
        <v>33836.55803999768</v>
      </c>
    </row>
    <row r="30" spans="1:7" ht="12.75">
      <c r="A30">
        <f t="shared" si="0"/>
        <v>2034</v>
      </c>
      <c r="B30" s="5">
        <f>(+Partcipation!$C29+(Partcipation!$C30-Partcipation!$C29)/2)*Title_RESULTS!$C$10/1000</f>
        <v>580974.6835443038</v>
      </c>
      <c r="C30" s="5">
        <f>$B30*'Sheet2(F_12)'!$E30/100</f>
        <v>35412.064994797984</v>
      </c>
      <c r="D30" s="5">
        <f>(+Partcipation!$C29+(Partcipation!$C30-Partcipation!$C29)/2)*(+Title_RESULTS!$C$31/(1-Title_RESULTS!$C$11/100))/1000</f>
        <v>0</v>
      </c>
      <c r="E30" s="5">
        <f>+$D30*'Sheet2(F_12)'!$F30/100</f>
        <v>0</v>
      </c>
      <c r="F30" s="5">
        <f t="shared" si="1"/>
        <v>35412.064994797984</v>
      </c>
      <c r="G30" s="5">
        <f>+$F30*'Sheet2(F_12)'!$I30</f>
        <v>35412.064994797984</v>
      </c>
    </row>
    <row r="31" spans="2:7" ht="12.75">
      <c r="B31" s="5"/>
      <c r="C31" s="5"/>
      <c r="D31" s="5"/>
      <c r="E31" s="5"/>
      <c r="F31" s="5"/>
      <c r="G31" s="5"/>
    </row>
    <row r="32" spans="1:7" ht="12.75">
      <c r="A32" t="s">
        <v>87</v>
      </c>
      <c r="B32" s="5">
        <f aca="true" t="shared" si="2" ref="B32:G32">SUM(B16:B31)</f>
        <v>7843158.227848103</v>
      </c>
      <c r="C32" s="5">
        <f t="shared" si="2"/>
        <v>334457.2697058999</v>
      </c>
      <c r="D32" s="5">
        <f t="shared" si="2"/>
        <v>0</v>
      </c>
      <c r="E32" s="5">
        <f t="shared" si="2"/>
        <v>0</v>
      </c>
      <c r="F32" s="5">
        <f t="shared" si="2"/>
        <v>334457.2697058999</v>
      </c>
      <c r="G32" s="5">
        <f t="shared" si="2"/>
        <v>334457.2697058999</v>
      </c>
    </row>
    <row r="33" spans="2:7" ht="12.75">
      <c r="B33" s="5"/>
      <c r="C33" s="5"/>
      <c r="D33" s="5"/>
      <c r="E33" s="5"/>
      <c r="F33" s="5"/>
      <c r="G33" s="5"/>
    </row>
    <row r="34" spans="1:7" ht="12.75">
      <c r="A34" t="s">
        <v>118</v>
      </c>
      <c r="B34" s="5"/>
      <c r="C34" s="5">
        <f>NPV(+Title_RESULTS!$C$37,C17:C31)+C16</f>
        <v>191570.6497901002</v>
      </c>
      <c r="D34" s="5"/>
      <c r="E34" s="5">
        <f>NPV(+Title_RESULTS!$C$37,E17:E31)+E16</f>
        <v>0</v>
      </c>
      <c r="F34" s="5">
        <f>NPV(+Title_RESULTS!$C$37,F17:F31)+F16</f>
        <v>191570.6497901002</v>
      </c>
      <c r="G34" s="5">
        <f>NPV(+Title_RESULTS!$C$37,G17:G31)+G16</f>
        <v>191570.6497901002</v>
      </c>
    </row>
    <row r="35" spans="6:7" ht="12.75">
      <c r="F35" s="9"/>
      <c r="G35" s="9"/>
    </row>
    <row r="36" ht="12.75">
      <c r="A36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Compressed Air Equipment</v>
      </c>
      <c r="J2" t="s">
        <v>42</v>
      </c>
    </row>
    <row r="3" spans="9:10" ht="12.75">
      <c r="I3" s="4"/>
      <c r="J3" s="35">
        <f>+Title_RESULTS!I4</f>
        <v>43599.32267337963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30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1:16" ht="15">
      <c r="A26">
        <f t="shared" si="0"/>
        <v>2030</v>
      </c>
      <c r="B26" s="28">
        <f>+Partcipation!B26</f>
        <v>3000</v>
      </c>
      <c r="C26" s="28">
        <f>+Partcipation!C26</f>
        <v>3000</v>
      </c>
      <c r="D26" s="10">
        <f>+Partcipation!D26</f>
        <v>4.0656592081591345</v>
      </c>
      <c r="E26" s="10">
        <f>+Partcipation!E26</f>
        <v>5.015795281582955</v>
      </c>
      <c r="F26">
        <v>0</v>
      </c>
      <c r="G26" s="10">
        <f>+Partcipation!G26</f>
        <v>4.486281269102866</v>
      </c>
      <c r="H26">
        <v>1</v>
      </c>
      <c r="I26">
        <v>1</v>
      </c>
      <c r="J26">
        <v>0</v>
      </c>
      <c r="K26" s="10">
        <f>+Partcipation!L26</f>
        <v>0</v>
      </c>
      <c r="N26" s="64"/>
      <c r="P26" s="65"/>
    </row>
    <row r="27" spans="1:16" ht="15">
      <c r="A27">
        <f t="shared" si="0"/>
        <v>2031</v>
      </c>
      <c r="B27" s="28">
        <f>+Partcipation!B27</f>
        <v>3000</v>
      </c>
      <c r="C27" s="28">
        <f>+Partcipation!C27</f>
        <v>3000</v>
      </c>
      <c r="D27" s="10">
        <f>+Partcipation!D27</f>
        <v>4.205810946168665</v>
      </c>
      <c r="E27" s="10">
        <f>+Partcipation!E27</f>
        <v>4.997142313546424</v>
      </c>
      <c r="F27">
        <v>0</v>
      </c>
      <c r="G27" s="10">
        <f>+Partcipation!G27</f>
        <v>4.597841879721795</v>
      </c>
      <c r="H27">
        <v>1</v>
      </c>
      <c r="I27">
        <v>1</v>
      </c>
      <c r="J27">
        <v>0</v>
      </c>
      <c r="K27" s="10">
        <f>+Partcipation!L27</f>
        <v>0</v>
      </c>
      <c r="N27" s="64"/>
      <c r="P27" s="65"/>
    </row>
    <row r="28" spans="1:16" ht="15">
      <c r="A28">
        <f t="shared" si="0"/>
        <v>2032</v>
      </c>
      <c r="B28" s="28">
        <f>+Partcipation!B28</f>
        <v>3000</v>
      </c>
      <c r="C28" s="28">
        <f>+Partcipation!C28</f>
        <v>3000</v>
      </c>
      <c r="D28" s="10">
        <f>+Partcipation!D28</f>
        <v>4.5058999642058986</v>
      </c>
      <c r="E28" s="10">
        <f>+Partcipation!E28</f>
        <v>5.461414693381903</v>
      </c>
      <c r="F28">
        <v>0</v>
      </c>
      <c r="G28" s="10">
        <f>+Partcipation!G28</f>
        <v>4.873757963953245</v>
      </c>
      <c r="H28">
        <v>1</v>
      </c>
      <c r="I28">
        <v>1</v>
      </c>
      <c r="J28">
        <v>0</v>
      </c>
      <c r="K28" s="10">
        <f>+Partcipation!L28</f>
        <v>0</v>
      </c>
      <c r="N28" s="64"/>
      <c r="P28" s="65"/>
    </row>
    <row r="29" spans="1:16" ht="15">
      <c r="A29">
        <f t="shared" si="0"/>
        <v>2033</v>
      </c>
      <c r="B29" s="28">
        <f>+Partcipation!B29</f>
        <v>3000</v>
      </c>
      <c r="C29" s="28">
        <f>+Partcipation!C29</f>
        <v>3000</v>
      </c>
      <c r="D29" s="10">
        <f>+Partcipation!D29</f>
        <v>4.600412945356765</v>
      </c>
      <c r="E29" s="10">
        <f>+Partcipation!E29</f>
        <v>5.8241019786910195</v>
      </c>
      <c r="F29">
        <v>0</v>
      </c>
      <c r="G29" s="10">
        <f>+Partcipation!G29</f>
        <v>4.984915998097977</v>
      </c>
      <c r="H29">
        <v>1</v>
      </c>
      <c r="I29">
        <v>1</v>
      </c>
      <c r="J29">
        <v>0</v>
      </c>
      <c r="K29" s="10">
        <f>+Partcipation!L29</f>
        <v>0</v>
      </c>
      <c r="N29" s="64"/>
      <c r="P29" s="65"/>
    </row>
    <row r="30" spans="1:16" ht="15">
      <c r="A30">
        <f t="shared" si="0"/>
        <v>2034</v>
      </c>
      <c r="B30" s="28">
        <f>+Partcipation!B30</f>
        <v>3000</v>
      </c>
      <c r="C30" s="28">
        <f>+Partcipation!C30</f>
        <v>3000</v>
      </c>
      <c r="D30" s="10">
        <f>+Partcipation!D30</f>
        <v>4.904246138242304</v>
      </c>
      <c r="E30" s="10">
        <f>+Partcipation!E30</f>
        <v>6.095285388127853</v>
      </c>
      <c r="F30">
        <v>0</v>
      </c>
      <c r="G30" s="10">
        <f>+Partcipation!G30</f>
        <v>5.306578161570519</v>
      </c>
      <c r="H30">
        <v>1</v>
      </c>
      <c r="I30">
        <v>1</v>
      </c>
      <c r="J30">
        <v>0</v>
      </c>
      <c r="K30" s="10">
        <f>+Partcipation!L30</f>
        <v>0</v>
      </c>
      <c r="N30" s="64"/>
      <c r="P30" s="65"/>
    </row>
    <row r="31" spans="2:14" ht="15">
      <c r="B31" s="28"/>
      <c r="C31" s="28"/>
      <c r="D31" s="10"/>
      <c r="E31" s="10"/>
      <c r="N31" s="64"/>
    </row>
    <row r="32" spans="2:14" ht="15">
      <c r="B32" s="28"/>
      <c r="C32" s="28"/>
      <c r="D32" s="10"/>
      <c r="E32" s="10"/>
      <c r="N32" s="64"/>
    </row>
    <row r="33" spans="2:14" ht="15">
      <c r="B33" s="28"/>
      <c r="C33" s="28"/>
      <c r="D33" s="10"/>
      <c r="E33" s="10"/>
      <c r="N33" s="64"/>
    </row>
    <row r="34" spans="2:14" ht="15">
      <c r="B34" s="28"/>
      <c r="C34" s="28"/>
      <c r="D34" s="10"/>
      <c r="E34" s="10"/>
      <c r="N34" s="64"/>
    </row>
    <row r="35" spans="2:14" ht="15">
      <c r="B35" s="28"/>
      <c r="C35" s="28"/>
      <c r="D35" s="10"/>
      <c r="E35" s="10"/>
      <c r="N35" s="64"/>
    </row>
    <row r="36" spans="2:5" ht="12.75">
      <c r="B36" s="28"/>
      <c r="C36" s="28"/>
      <c r="D36" s="10"/>
      <c r="E36" s="10"/>
    </row>
    <row r="37" spans="2:5" ht="12.75">
      <c r="B37" s="28"/>
      <c r="C37" s="28"/>
      <c r="D37" s="10"/>
      <c r="E37" s="10"/>
    </row>
    <row r="38" spans="2:5" ht="12.75">
      <c r="B38" s="28"/>
      <c r="C38" s="28"/>
      <c r="D38" s="10"/>
      <c r="E38" s="10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  <row r="41" spans="2:5" ht="12.75">
      <c r="B41" s="28"/>
      <c r="C41" s="28"/>
      <c r="D41" s="10"/>
      <c r="E41" s="10"/>
    </row>
    <row r="42" spans="2:5" ht="12.75">
      <c r="B42" s="28"/>
      <c r="C42" s="28"/>
      <c r="D42" s="10"/>
      <c r="E42" s="10"/>
    </row>
    <row r="43" spans="2:5" ht="12.75">
      <c r="B43" s="28"/>
      <c r="C43" s="28"/>
      <c r="D43" s="10"/>
      <c r="E43" s="10"/>
    </row>
    <row r="44" spans="2:5" ht="12.75">
      <c r="B44" s="28"/>
      <c r="C44" s="28"/>
      <c r="D44" s="10"/>
      <c r="E44" s="10"/>
    </row>
    <row r="45" spans="2:5" ht="12.75">
      <c r="B45" s="28"/>
      <c r="C45" s="28"/>
      <c r="D45" s="10"/>
      <c r="E45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Compressed Air Equipment</v>
      </c>
      <c r="H2" t="s">
        <v>108</v>
      </c>
    </row>
    <row r="3" ht="12.75">
      <c r="H3" s="35">
        <f>+Title_RESULTS!I4</f>
        <v>43599.32267337963</v>
      </c>
    </row>
    <row r="5" spans="3:6" ht="12.75">
      <c r="C5" t="s">
        <v>60</v>
      </c>
      <c r="F5" s="38">
        <f>+'Value of Defferal'!L4</f>
        <v>2934.2713855999996</v>
      </c>
    </row>
    <row r="6" spans="3:6" ht="12.75">
      <c r="C6" t="s">
        <v>62</v>
      </c>
      <c r="F6" s="38">
        <f>+'Value of Defferal'!L5</f>
        <v>6255.164620800001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2808.731426000861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289.9714575791011</v>
      </c>
      <c r="C17" s="5">
        <f>IF(+Title_RESULTS!$H$9&lt;='Sheet4(F_22)'!$A17,(+Title_RESULTS!$H$16*((1+Title_RESULTS!$H$18/100)^('Sheet4(F_22)'!$A17-Title_RESULTS!$H$7))*Title_RESULTS!$C$8*Partcipation!$C$26/1000),0)</f>
        <v>233.731577810726</v>
      </c>
      <c r="D17" s="5">
        <f>(+B17+C17)*+Partcipation!$H17</f>
        <v>523.7030353898272</v>
      </c>
      <c r="E17" s="5">
        <f>VLOOKUP(A17,'Value of Defferal'!$I24:$P$58,'Value of Defferal'!$K$13)</f>
        <v>618.1497769401831</v>
      </c>
      <c r="F17" s="5">
        <f>IF(+'Value of Defferal'!P24=0,0,Title_RESULTS!$H$17*Title_RESULTS!$C$7*Partcipation!$C$26*(1+Title_RESULTS!$H$18/100)^('Sheet4(F_22)'!A17-Title_RESULTS!$H$7))/1000</f>
        <v>861.1577855999999</v>
      </c>
      <c r="G17" s="5">
        <f>(+E17+F17)*Partcipation!$H17</f>
        <v>1479.307562540183</v>
      </c>
      <c r="H17" s="5">
        <f>+'Sheet5(p_5)'!$F17*'Sheet2(F_12)'!$I17</f>
        <v>8357.656850760071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296.93077256099957</v>
      </c>
      <c r="C18" s="5">
        <f>IF(+Title_RESULTS!$H$9&lt;='Sheet4(F_22)'!$A18,(+Title_RESULTS!$H$16*((1+Title_RESULTS!$H$18/100)^('Sheet4(F_22)'!$A18-Title_RESULTS!$H$7))*Title_RESULTS!$C$8*Partcipation!$C$26/1000),0)</f>
        <v>239.34113567818343</v>
      </c>
      <c r="D18" s="5">
        <f>(+B18+C18)*+Partcipation!$H18</f>
        <v>536.271908239183</v>
      </c>
      <c r="E18" s="5">
        <f>VLOOKUP(A18,'Value of Defferal'!$I25:$P$58,'Value of Defferal'!$K$13)</f>
        <v>632.9853715867474</v>
      </c>
      <c r="F18" s="5">
        <f>IF(+'Value of Defferal'!P25=0,0,Title_RESULTS!$H$17*Title_RESULTS!$C$7*Partcipation!$C$26*(1+Title_RESULTS!$H$18/100)^('Sheet4(F_22)'!A18-Title_RESULTS!$H$7))/1000</f>
        <v>881.8255724543999</v>
      </c>
      <c r="G18" s="5">
        <f>(+E18+F18)*Partcipation!$H18</f>
        <v>1514.8109440411472</v>
      </c>
      <c r="H18" s="5">
        <f>+'Sheet5(p_5)'!$F18*'Sheet2(F_12)'!$I18</f>
        <v>14376.102113557985</v>
      </c>
      <c r="I18" s="5"/>
      <c r="J18" s="5"/>
    </row>
    <row r="19" spans="1:10" ht="12.75">
      <c r="A19">
        <f aca="true" t="shared" si="0" ref="A19:A30">+A18+1</f>
        <v>2023</v>
      </c>
      <c r="B19" s="5">
        <f>VLOOKUP(A19,'Value of Defferal'!$I26:$P$58,'Value of Defferal'!$K$9)</f>
        <v>304.0571111024635</v>
      </c>
      <c r="C19" s="5">
        <f>IF(+Title_RESULTS!$H$9&lt;='Sheet4(F_22)'!$A19,(+Title_RESULTS!$H$16*((1+Title_RESULTS!$H$18/100)^('Sheet4(F_22)'!$A19-Title_RESULTS!$H$7))*Title_RESULTS!$C$8*Partcipation!$C$26/1000),0)</f>
        <v>245.08532293445984</v>
      </c>
      <c r="D19" s="5">
        <f>(+B19+C19)*+Partcipation!$H19</f>
        <v>549.1424340369233</v>
      </c>
      <c r="E19" s="5">
        <f>VLOOKUP(A19,'Value of Defferal'!$I26:$P$58,'Value of Defferal'!$K$13)</f>
        <v>648.1770205048294</v>
      </c>
      <c r="F19" s="5">
        <f>IF(+'Value of Defferal'!P26=0,0,Title_RESULTS!$H$17*Title_RESULTS!$C$7*Partcipation!$C$26*(1+Title_RESULTS!$H$18/100)^('Sheet4(F_22)'!A19-Title_RESULTS!$H$7))/1000</f>
        <v>902.9893861933056</v>
      </c>
      <c r="G19" s="5">
        <f>(+E19+F19)*Partcipation!$H19</f>
        <v>1551.166406698135</v>
      </c>
      <c r="H19" s="5">
        <f>+'Sheet5(p_5)'!$F19*'Sheet2(F_12)'!$I19</f>
        <v>17959.03724495694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311.35448176892265</v>
      </c>
      <c r="C20" s="5">
        <f>IF(+Title_RESULTS!$H$9&lt;='Sheet4(F_22)'!$A20,(+Title_RESULTS!$H$16*((1+Title_RESULTS!$H$18/100)^('Sheet4(F_22)'!$A20-Title_RESULTS!$H$7))*Title_RESULTS!$C$8*Partcipation!$C$26/1000),0)</f>
        <v>250.96737068488687</v>
      </c>
      <c r="D20" s="5">
        <f>(+B20+C20)*+Partcipation!$H20</f>
        <v>562.3218524538095</v>
      </c>
      <c r="E20" s="5">
        <f>VLOOKUP(A20,'Value of Defferal'!$I27:$P$58,'Value of Defferal'!$K$13)</f>
        <v>663.7332689969453</v>
      </c>
      <c r="F20" s="5">
        <f>IF(+'Value of Defferal'!P27=0,0,Title_RESULTS!$H$17*Title_RESULTS!$C$7*Partcipation!$C$26*(1+Title_RESULTS!$H$18/100)^('Sheet4(F_22)'!A20-Title_RESULTS!$H$7))/1000</f>
        <v>924.6611314619448</v>
      </c>
      <c r="G20" s="5">
        <f>(+E20+F20)*Partcipation!$H20</f>
        <v>1588.3944004588902</v>
      </c>
      <c r="H20" s="5">
        <f>+'Sheet5(p_5)'!$F20*'Sheet2(F_12)'!$I20</f>
        <v>18664.759717034423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318.8269893313768</v>
      </c>
      <c r="C21" s="5">
        <f>IF(+Title_RESULTS!$H$9&lt;='Sheet4(F_22)'!$A21,(+Title_RESULTS!$H$16*((1+Title_RESULTS!$H$18/100)^('Sheet4(F_22)'!$A21-Title_RESULTS!$H$7))*Title_RESULTS!$C$8*Partcipation!$C$26/1000),0)</f>
        <v>256.99058758132423</v>
      </c>
      <c r="D21" s="5">
        <f>(+B21+C21)*+Partcipation!$H21</f>
        <v>575.817576912701</v>
      </c>
      <c r="E21" s="5">
        <f>VLOOKUP(A21,'Value of Defferal'!$I28:$P$58,'Value of Defferal'!$K$13)</f>
        <v>679.662867452872</v>
      </c>
      <c r="F21" s="5">
        <f>IF(+'Value of Defferal'!P28=0,0,Title_RESULTS!$H$17*Title_RESULTS!$C$7*Partcipation!$C$26*(1+Title_RESULTS!$H$18/100)^('Sheet4(F_22)'!A21-Title_RESULTS!$H$7))/1000</f>
        <v>946.8529986170316</v>
      </c>
      <c r="G21" s="5">
        <f>(+E21+F21)*Partcipation!$H21</f>
        <v>1626.5158660699035</v>
      </c>
      <c r="H21" s="5">
        <f>+'Sheet5(p_5)'!$F21*'Sheet2(F_12)'!$I21</f>
        <v>20040.33262383677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326.47883707532986</v>
      </c>
      <c r="C22" s="5">
        <f>IF(+Title_RESULTS!$H$9&lt;='Sheet4(F_22)'!$A22,(+Title_RESULTS!$H$16*((1+Title_RESULTS!$H$18/100)^('Sheet4(F_22)'!$A22-Title_RESULTS!$H$7))*Title_RESULTS!$C$8*Partcipation!$C$26/1000),0)</f>
        <v>263.1583616832759</v>
      </c>
      <c r="D22" s="5">
        <f>(+B22+C22)*+Partcipation!$H22</f>
        <v>589.6371987586058</v>
      </c>
      <c r="E22" s="5">
        <f>VLOOKUP(A22,'Value of Defferal'!$I29:$P$58,'Value of Defferal'!$K$13)</f>
        <v>695.974776271741</v>
      </c>
      <c r="F22" s="5">
        <f>IF(+'Value of Defferal'!P29=0,0,Title_RESULTS!$H$17*Title_RESULTS!$C$7*Partcipation!$C$26*(1+Title_RESULTS!$H$18/100)^('Sheet4(F_22)'!A22-Title_RESULTS!$H$7))/1000</f>
        <v>969.5774705838402</v>
      </c>
      <c r="G22" s="5">
        <f>(+E22+F22)*Partcipation!$H22</f>
        <v>1665.5522468555812</v>
      </c>
      <c r="H22" s="5">
        <f>+'Sheet5(p_5)'!$F22*'Sheet2(F_12)'!$I22</f>
        <v>20683.118769146287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334.3143291651378</v>
      </c>
      <c r="C23" s="5">
        <f>IF(+Title_RESULTS!$H$9&lt;='Sheet4(F_22)'!$A23,(+Title_RESULTS!$H$16*((1+Title_RESULTS!$H$18/100)^('Sheet4(F_22)'!$A23-Title_RESULTS!$H$7))*Title_RESULTS!$C$8*Partcipation!$C$26/1000),0)</f>
        <v>269.47416236367457</v>
      </c>
      <c r="D23" s="5">
        <f>(+B23+C23)*+Partcipation!$H23</f>
        <v>603.7884915288123</v>
      </c>
      <c r="E23" s="5">
        <f>VLOOKUP(A23,'Value of Defferal'!$I30:$P$58,'Value of Defferal'!$K$13)</f>
        <v>712.6781709022628</v>
      </c>
      <c r="F23" s="5">
        <f>IF(+'Value of Defferal'!P30=0,0,Title_RESULTS!$H$17*Title_RESULTS!$C$7*Partcipation!$C$26*(1+Title_RESULTS!$H$18/100)^('Sheet4(F_22)'!A23-Title_RESULTS!$H$7))/1000</f>
        <v>992.8473298778525</v>
      </c>
      <c r="G23" s="5">
        <f>(+E23+F23)*Partcipation!$H23</f>
        <v>1705.5255007801152</v>
      </c>
      <c r="H23" s="5">
        <f>+'Sheet5(p_5)'!$F23*'Sheet2(F_12)'!$I23</f>
        <v>21975.72111872146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342.33787306510106</v>
      </c>
      <c r="C24" s="5">
        <f>IF(+Title_RESULTS!$H$9&lt;='Sheet4(F_22)'!$A24,(+Title_RESULTS!$H$16*((1+Title_RESULTS!$H$18/100)^('Sheet4(F_22)'!$A24-Title_RESULTS!$H$7))*Title_RESULTS!$C$8*Partcipation!$C$26/1000),0)</f>
        <v>275.94154226040274</v>
      </c>
      <c r="D24" s="5">
        <f>(+B24+C24)*+Partcipation!$H24</f>
        <v>618.2794153255038</v>
      </c>
      <c r="E24" s="5">
        <f>VLOOKUP(A24,'Value of Defferal'!$I31:$P$58,'Value of Defferal'!$K$13)</f>
        <v>729.782447003917</v>
      </c>
      <c r="F24" s="5">
        <f>IF(+'Value of Defferal'!P31=0,0,Title_RESULTS!$H$17*Title_RESULTS!$C$7*Partcipation!$C$26*(1+Title_RESULTS!$H$18/100)^('Sheet4(F_22)'!A24-Title_RESULTS!$H$7))/1000</f>
        <v>1016.6756657949207</v>
      </c>
      <c r="G24" s="5">
        <f>(+E24+F24)*Partcipation!$H24</f>
        <v>1746.4581127988376</v>
      </c>
      <c r="H24" s="5">
        <f>+'Sheet5(p_5)'!$F24*'Sheet2(F_12)'!$I24</f>
        <v>24351.640283830202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350.55398201866353</v>
      </c>
      <c r="C25" s="5">
        <f>IF(+Title_RESULTS!$H$9&lt;='Sheet4(F_22)'!$A25,(+Title_RESULTS!$H$16*((1+Title_RESULTS!$H$18/100)^('Sheet4(F_22)'!$A25-Title_RESULTS!$H$7))*Title_RESULTS!$C$8*Partcipation!$C$26/1000),0)</f>
        <v>282.56413927465235</v>
      </c>
      <c r="D25" s="5">
        <f>(+B25+C25)*+Partcipation!$H25</f>
        <v>633.1181212933159</v>
      </c>
      <c r="E25" s="5">
        <f>VLOOKUP(A25,'Value of Defferal'!$I32:$P$58,'Value of Defferal'!$K$13)</f>
        <v>747.2972257320112</v>
      </c>
      <c r="F25" s="5">
        <f>IF(+'Value of Defferal'!P32=0,0,Title_RESULTS!$H$17*Title_RESULTS!$C$7*Partcipation!$C$26*(1+Title_RESULTS!$H$18/100)^('Sheet4(F_22)'!A25-Title_RESULTS!$H$7))/1000</f>
        <v>1041.0758817739988</v>
      </c>
      <c r="G25" s="5">
        <f>(+E25+F25)*Partcipation!$H25</f>
        <v>1788.37310750601</v>
      </c>
      <c r="H25" s="5">
        <f>+'Sheet5(p_5)'!$F25*'Sheet2(F_12)'!$I25</f>
        <v>26089.47728455002</v>
      </c>
      <c r="I25" s="5"/>
      <c r="J25" s="5"/>
    </row>
    <row r="26" spans="1:10" ht="12.75">
      <c r="A26">
        <f t="shared" si="0"/>
        <v>2030</v>
      </c>
      <c r="B26" s="5">
        <f>VLOOKUP(A26,'Value of Defferal'!$I33:$P$58,'Value of Defferal'!$K$9)</f>
        <v>358.9672775871115</v>
      </c>
      <c r="C26" s="5">
        <f>IF(+Title_RESULTS!$H$9&lt;='Sheet4(F_22)'!$A26,(+Title_RESULTS!$H$16*((1+Title_RESULTS!$H$18/100)^('Sheet4(F_22)'!$A26-Title_RESULTS!$H$7))*Title_RESULTS!$C$8*Partcipation!$C$26/1000),0)</f>
        <v>289.34567861724406</v>
      </c>
      <c r="D26" s="5">
        <f>(+B26+C26)*+Partcipation!$H26</f>
        <v>648.3129562043555</v>
      </c>
      <c r="E26" s="5">
        <f>VLOOKUP(A26,'Value of Defferal'!$I33:$P$58,'Value of Defferal'!$K$13)</f>
        <v>765.2323591495795</v>
      </c>
      <c r="F26" s="5">
        <f>IF(+'Value of Defferal'!P33=0,0,Title_RESULTS!$H$17*Title_RESULTS!$C$7*Partcipation!$C$26*(1+Title_RESULTS!$H$18/100)^('Sheet4(F_22)'!A26-Title_RESULTS!$H$7))/1000</f>
        <v>1066.0617029365749</v>
      </c>
      <c r="G26" s="5">
        <f>(+E26+F26)*Partcipation!$H26</f>
        <v>1831.2940620861543</v>
      </c>
      <c r="H26" s="5">
        <f>+'Sheet5(p_5)'!$F26*'Sheet2(F_12)'!$I26</f>
        <v>29140.50076440669</v>
      </c>
      <c r="I26" s="5"/>
      <c r="J26" s="5"/>
    </row>
    <row r="27" spans="1:10" ht="12.75">
      <c r="A27">
        <f t="shared" si="0"/>
        <v>2031</v>
      </c>
      <c r="B27" s="5">
        <f>VLOOKUP(A27,'Value of Defferal'!$I34:$P$58,'Value of Defferal'!$K$9)</f>
        <v>367.5824922492022</v>
      </c>
      <c r="C27" s="5">
        <f>IF(+Title_RESULTS!$H$9&lt;='Sheet4(F_22)'!$A27,(+Title_RESULTS!$H$16*((1+Title_RESULTS!$H$18/100)^('Sheet4(F_22)'!$A27-Title_RESULTS!$H$7))*Title_RESULTS!$C$8*Partcipation!$C$26/1000),0)</f>
        <v>296.289974904058</v>
      </c>
      <c r="D27" s="5">
        <f>(+B27+C27)*+Partcipation!$H27</f>
        <v>663.8724671532602</v>
      </c>
      <c r="E27" s="5">
        <f>VLOOKUP(A27,'Value of Defferal'!$I34:$P$58,'Value of Defferal'!$K$13)</f>
        <v>783.5979357691695</v>
      </c>
      <c r="F27" s="5">
        <f>IF(+'Value of Defferal'!P34=0,0,Title_RESULTS!$H$17*Title_RESULTS!$C$7*Partcipation!$C$26*(1+Title_RESULTS!$H$18/100)^('Sheet4(F_22)'!A27-Title_RESULTS!$H$7))/1000</f>
        <v>1091.647183807053</v>
      </c>
      <c r="G27" s="5">
        <f>(+E27+F27)*Partcipation!$H27</f>
        <v>1875.2451195762224</v>
      </c>
      <c r="H27" s="5">
        <f>+'Sheet5(p_5)'!$F27*'Sheet2(F_12)'!$I27</f>
        <v>29032.131742384834</v>
      </c>
      <c r="I27" s="5"/>
      <c r="J27" s="5"/>
    </row>
    <row r="28" spans="1:10" ht="12.75">
      <c r="A28">
        <f t="shared" si="0"/>
        <v>2032</v>
      </c>
      <c r="B28" s="5">
        <f>VLOOKUP(A28,'Value of Defferal'!$I35:$P$58,'Value of Defferal'!$K$9)</f>
        <v>376.404472063183</v>
      </c>
      <c r="C28" s="5">
        <f>IF(+Title_RESULTS!$H$9&lt;='Sheet4(F_22)'!$A28,(+Title_RESULTS!$H$16*((1+Title_RESULTS!$H$18/100)^('Sheet4(F_22)'!$A28-Title_RESULTS!$H$7))*Title_RESULTS!$C$8*Partcipation!$C$26/1000),0)</f>
        <v>303.4009343017553</v>
      </c>
      <c r="D28" s="5">
        <f>(+B28+C28)*+Partcipation!$H28</f>
        <v>679.8054063649383</v>
      </c>
      <c r="E28" s="5">
        <f>VLOOKUP(A28,'Value of Defferal'!$I35:$P$58,'Value of Defferal'!$K$13)</f>
        <v>802.4042862276294</v>
      </c>
      <c r="F28" s="5">
        <f>IF(+'Value of Defferal'!P35=0,0,Title_RESULTS!$H$17*Title_RESULTS!$C$7*Partcipation!$C$26*(1+Title_RESULTS!$H$18/100)^('Sheet4(F_22)'!A28-Title_RESULTS!$H$7))/1000</f>
        <v>1117.846716218422</v>
      </c>
      <c r="G28" s="5">
        <f>(+E28+F28)*Partcipation!$H28</f>
        <v>1920.2510024460514</v>
      </c>
      <c r="H28" s="5">
        <f>+'Sheet5(p_5)'!$F28*'Sheet2(F_12)'!$I28</f>
        <v>31729.43673191762</v>
      </c>
      <c r="I28" s="5"/>
      <c r="J28" s="5"/>
    </row>
    <row r="29" spans="1:10" ht="12.75">
      <c r="A29">
        <f t="shared" si="0"/>
        <v>2033</v>
      </c>
      <c r="B29" s="5">
        <f>VLOOKUP(A29,'Value of Defferal'!$I36:$P$58,'Value of Defferal'!$K$9)</f>
        <v>385.43817939269945</v>
      </c>
      <c r="C29" s="5">
        <f>IF(+Title_RESULTS!$H$9&lt;='Sheet4(F_22)'!$A29,(+Title_RESULTS!$H$16*((1+Title_RESULTS!$H$18/100)^('Sheet4(F_22)'!$A29-Title_RESULTS!$H$7))*Title_RESULTS!$C$8*Partcipation!$C$26/1000),0)</f>
        <v>310.6825567249974</v>
      </c>
      <c r="D29" s="5">
        <f>(+B29+C29)*+Partcipation!$H29</f>
        <v>696.1207361176969</v>
      </c>
      <c r="E29" s="5">
        <f>VLOOKUP(A29,'Value of Defferal'!$I36:$P$58,'Value of Defferal'!$K$13)</f>
        <v>821.6619890970926</v>
      </c>
      <c r="F29" s="5">
        <f>IF(+'Value of Defferal'!P36=0,0,Title_RESULTS!$H$17*Title_RESULTS!$C$7*Partcipation!$C$26*(1+Title_RESULTS!$H$18/100)^('Sheet4(F_22)'!A29-Title_RESULTS!$H$7))/1000</f>
        <v>1144.6750374076641</v>
      </c>
      <c r="G29" s="5">
        <f>(+E29+F29)*Partcipation!$H29</f>
        <v>1966.3370265047568</v>
      </c>
      <c r="H29" s="5">
        <f>+'Sheet5(p_5)'!$F29*'Sheet2(F_12)'!$I29</f>
        <v>33836.55803999768</v>
      </c>
      <c r="I29" s="5"/>
      <c r="J29" s="5"/>
    </row>
    <row r="30" spans="1:10" ht="12.75">
      <c r="A30">
        <f t="shared" si="0"/>
        <v>2034</v>
      </c>
      <c r="B30" s="5">
        <f>VLOOKUP(A30,'Value of Defferal'!$I37:$P$58,'Value of Defferal'!$K$9)</f>
        <v>394.6886956981242</v>
      </c>
      <c r="C30" s="5">
        <f>IF(+Title_RESULTS!$H$9&lt;='Sheet4(F_22)'!$A30,(+Title_RESULTS!$H$16*((1+Title_RESULTS!$H$18/100)^('Sheet4(F_22)'!$A30-Title_RESULTS!$H$7))*Title_RESULTS!$C$8*Partcipation!$C$26/1000),0)</f>
        <v>318.1389380863974</v>
      </c>
      <c r="D30" s="5">
        <f>(+B30+C30)*+Partcipation!$H30</f>
        <v>712.8276337845216</v>
      </c>
      <c r="E30" s="5">
        <f>VLOOKUP(A30,'Value of Defferal'!$I37:$P$58,'Value of Defferal'!$K$13)</f>
        <v>841.3818768354228</v>
      </c>
      <c r="F30" s="5">
        <f>IF(+'Value of Defferal'!P37=0,0,Title_RESULTS!$H$17*Title_RESULTS!$C$7*Partcipation!$C$26*(1+Title_RESULTS!$H$18/100)^('Sheet4(F_22)'!A30-Title_RESULTS!$H$7))/1000</f>
        <v>1172.147238305448</v>
      </c>
      <c r="G30" s="5">
        <f>(+E30+F30)*Partcipation!$H30</f>
        <v>2013.5291151408705</v>
      </c>
      <c r="H30" s="5">
        <f>+'Sheet5(p_5)'!$F30*'Sheet2(F_12)'!$I30</f>
        <v>35412.064994797984</v>
      </c>
      <c r="I30" s="5"/>
      <c r="J30" s="5"/>
    </row>
    <row r="31" spans="2:10" ht="12.75"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t="s">
        <v>88</v>
      </c>
      <c r="B32" s="5">
        <f aca="true" t="shared" si="1" ref="B32:H32">SUM(B16:B31)</f>
        <v>4757.906950657416</v>
      </c>
      <c r="C32" s="5">
        <f t="shared" si="1"/>
        <v>3835.112282906038</v>
      </c>
      <c r="D32" s="5">
        <f t="shared" si="1"/>
        <v>8593.019233563455</v>
      </c>
      <c r="E32" s="5">
        <f t="shared" si="1"/>
        <v>10142.719372470403</v>
      </c>
      <c r="F32" s="5">
        <f t="shared" si="1"/>
        <v>14130.041101032455</v>
      </c>
      <c r="G32" s="5">
        <f t="shared" si="1"/>
        <v>24272.760473502858</v>
      </c>
      <c r="H32" s="5">
        <f t="shared" si="1"/>
        <v>334457.2697058999</v>
      </c>
      <c r="I32" s="5"/>
      <c r="J32" s="5"/>
    </row>
    <row r="33" spans="2:10" ht="12.75"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t="s">
        <v>90</v>
      </c>
      <c r="B34" s="5">
        <f>NPV(Title_RESULTS!$C$37,'Sheet4(F_22)'!B17:B31)+'Sheet4(F_22)'!B16</f>
        <v>2881.6720831684543</v>
      </c>
      <c r="C34" s="5">
        <f>NPV(Title_RESULTS!$C$37,'Sheet4(F_22)'!C17:C31)+'Sheet4(F_22)'!C16</f>
        <v>2322.772621675533</v>
      </c>
      <c r="D34" s="5">
        <f>NPV(Title_RESULTS!$C$37,'Sheet4(F_22)'!D17:D31)+'Sheet4(F_22)'!D16</f>
        <v>5204.444704843988</v>
      </c>
      <c r="E34" s="5">
        <f>NPV(Title_RESULTS!$C$37,'Sheet4(F_22)'!E17:E31)+'Sheet4(F_22)'!E16</f>
        <v>6143.0354914825075</v>
      </c>
      <c r="F34" s="5">
        <f>NPV(Title_RESULTS!$C$37,'Sheet4(F_22)'!F17:F31)+'Sheet4(F_22)'!F16</f>
        <v>8557.995227132786</v>
      </c>
      <c r="G34" s="5">
        <f>NPV(Title_RESULTS!$C$37,'Sheet4(F_22)'!G17:G31)+'Sheet4(F_22)'!G16</f>
        <v>14701.030718615295</v>
      </c>
      <c r="H34" s="5">
        <f>NPV(Title_RESULTS!$C$37,'Sheet4(F_22)'!H17:H31)+'Sheet4(F_22)'!H16</f>
        <v>191570.6497901002</v>
      </c>
      <c r="I34" s="5"/>
      <c r="J34" s="5"/>
    </row>
    <row r="35" spans="2:10" ht="12.75">
      <c r="B35" s="5"/>
      <c r="C35" s="5"/>
      <c r="D35" s="5"/>
      <c r="E35" s="5"/>
      <c r="F35" s="5"/>
      <c r="G35" s="5"/>
      <c r="H35" s="5"/>
      <c r="I35" s="5"/>
      <c r="J35" s="5"/>
    </row>
    <row r="36" ht="12.75">
      <c r="A36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Compressed Air Equipment</v>
      </c>
      <c r="P2" t="s">
        <v>121</v>
      </c>
    </row>
    <row r="3" ht="12.75">
      <c r="P3" s="35">
        <f>+Title_RESULTS!I4</f>
        <v>43599.32267337963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125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125</v>
      </c>
      <c r="E16" s="5">
        <f>IF(+'Sheet9(F_25)'!$A16&gt;=Title_RESULTS!$H$8,0,((Partcipation!$B16-Partcipation!$B15)*(Title_RESULTS!$C$39*((1+Title_RESULTS!$C$41/100)^('Sheet9(F_25)'!$A16-Title_RESULTS!$H$7)))/1000))</f>
        <v>4843.16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4843.16</v>
      </c>
      <c r="H16" s="5">
        <f>IF(Partcipation!$B17&lt;Partcipation!$B16,0,IF(Partcipation!$B16=0,0,(Partcipation!$B16-Partcipation!$B15)*(+Title_RESULTS!$C$29*(1+Title_RESULTS!$C$30/100)^(+'Sheet8(F_24)'!$A16-Title_RESULTS!$H$7))/1000))</f>
        <v>28467.01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28467.01</v>
      </c>
      <c r="K16" s="5">
        <f>(+Partcipation!$B15+(Partcipation!$B16-Partcipation!$B15)/2)*(+Title_RESULTS!$C$14)/1000</f>
        <v>91794</v>
      </c>
      <c r="L16" s="5">
        <f>($K16)*Partcipation!$E73*Title_RESULTS!$C$12/100</f>
        <v>2234.828236401129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3429.37332</v>
      </c>
      <c r="N16" s="5">
        <f>'Sheet2(F_12)'!$I16*('Sheet6(p_6)'!$L16+'Sheet6(p_6)'!$M16)</f>
        <v>5664.201556401129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128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128</v>
      </c>
      <c r="E17" s="5">
        <f>IF(+'Sheet9(F_25)'!$A17&gt;=Title_RESULTS!$H$8,0,((Partcipation!$B17-Partcipation!$B16)*(Title_RESULTS!$C$39*((1+Title_RESULTS!$C$41/100)^('Sheet9(F_25)'!$A17-Title_RESULTS!$H$7)))/1000))</f>
        <v>4843.16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4843.16</v>
      </c>
      <c r="H17" s="5">
        <f>IF(Partcipation!$B18&lt;Partcipation!$B17,0,IF(Partcipation!$B17=0,0,(Partcipation!$B17-Partcipation!$B16)*(+Title_RESULTS!$C$29*(1+Title_RESULTS!$C$30/100)^(+'Sheet8(F_24)'!$A17-Title_RESULTS!$H$7))/1000))</f>
        <v>29121.751229999994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29121.751229999994</v>
      </c>
      <c r="K17" s="5">
        <f>(+Partcipation!$B16+(Partcipation!$B17-Partcipation!$B16)/2)*(+Title_RESULTS!$C$14)/1000</f>
        <v>275382</v>
      </c>
      <c r="L17" s="5">
        <f>($K17)*Partcipation!$E74*Title_RESULTS!$C$12/100</f>
        <v>7023.574493596069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10391.0011596</v>
      </c>
      <c r="N17" s="5">
        <f>'Sheet2(F_12)'!$I17*('Sheet6(p_6)'!$L17+'Sheet6(p_6)'!$M17)</f>
        <v>17414.57565319607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131.072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131.072</v>
      </c>
      <c r="E18" s="5">
        <f>IF(+'Sheet9(F_25)'!$A18&gt;=Title_RESULTS!$H$8,0,((Partcipation!$B18-Partcipation!$B17)*(Title_RESULTS!$C$39*((1+Title_RESULTS!$C$41/100)^('Sheet9(F_25)'!$A18-Title_RESULTS!$H$7)))/1000))</f>
        <v>4843.16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4843.16</v>
      </c>
      <c r="H18" s="5">
        <f>IF(Partcipation!$B19&lt;Partcipation!$B18,0,IF(Partcipation!$B18=0,0,(Partcipation!$B18-Partcipation!$B17)*(+Title_RESULTS!$C$29*(1+Title_RESULTS!$C$30/100)^(+'Sheet8(F_24)'!$A18-Title_RESULTS!$H$7))/1000))</f>
        <v>29791.55150828999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29791.55150828999</v>
      </c>
      <c r="K18" s="5">
        <f>(+Partcipation!$B17+(Partcipation!$B18-Partcipation!$B17)/2)*(+Title_RESULTS!$C$14)/1000</f>
        <v>458970</v>
      </c>
      <c r="L18" s="5">
        <f>($K18)*Partcipation!$E75*Title_RESULTS!$C$12/100</f>
        <v>12137.150976291765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17491.518618659997</v>
      </c>
      <c r="N18" s="5">
        <f>'Sheet2(F_12)'!$I18*('Sheet6(p_6)'!$L18+'Sheet6(p_6)'!$M18)</f>
        <v>29628.66959495176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30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30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30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30">SUM(H19:I19)</f>
        <v>0</v>
      </c>
      <c r="K19" s="5">
        <f>(+Partcipation!$B18+(Partcipation!$B19-Partcipation!$B18)/2)*(+Title_RESULTS!$C$14)/1000</f>
        <v>550764</v>
      </c>
      <c r="L19" s="5">
        <f>($K19)*Partcipation!$E76*Title_RESULTS!$C$12/100</f>
        <v>14445.189641668254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21199.72056581592</v>
      </c>
      <c r="N19" s="5">
        <f>'Sheet2(F_12)'!$I19*('Sheet6(p_6)'!$L19+'Sheet6(p_6)'!$M19)</f>
        <v>35644.91020748417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550764</v>
      </c>
      <c r="L20" s="5">
        <f>($K20)*Partcipation!$E77*Title_RESULTS!$C$12/100</f>
        <v>15264.51694915403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21411.71777147408</v>
      </c>
      <c r="N20" s="5">
        <f>'Sheet2(F_12)'!$I20*('Sheet6(p_6)'!$L20+'Sheet6(p_6)'!$M20)</f>
        <v>36676.23472062811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550764</v>
      </c>
      <c r="L21" s="5">
        <f>($K21)*Partcipation!$E78*Title_RESULTS!$C$12/100</f>
        <v>16140.680026085094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21625.83494918882</v>
      </c>
      <c r="N21" s="5">
        <f>'Sheet2(F_12)'!$I21*('Sheet6(p_6)'!$L21+'Sheet6(p_6)'!$M21)</f>
        <v>37766.51497527391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550764</v>
      </c>
      <c r="L22" s="5">
        <f>($K22)*Partcipation!$E79*Title_RESULTS!$C$12/100</f>
        <v>16870.46741959017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21842.09329868071</v>
      </c>
      <c r="N22" s="5">
        <f>'Sheet2(F_12)'!$I22*('Sheet6(p_6)'!$L22+'Sheet6(p_6)'!$M22)</f>
        <v>38712.56071827088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550764</v>
      </c>
      <c r="L23" s="5">
        <f>($K23)*Partcipation!$E80*Title_RESULTS!$C$12/100</f>
        <v>17863.81687062704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22060.514231667512</v>
      </c>
      <c r="N23" s="5">
        <f>'Sheet2(F_12)'!$I23*('Sheet6(p_6)'!$L23+'Sheet6(p_6)'!$M23)</f>
        <v>39924.331102294556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550764</v>
      </c>
      <c r="L24" s="5">
        <f>($K24)*Partcipation!$E81*Title_RESULTS!$C$12/100</f>
        <v>19555.432999986464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22281.11937398419</v>
      </c>
      <c r="N24" s="5">
        <f>'Sheet2(F_12)'!$I24*('Sheet6(p_6)'!$L24+'Sheet6(p_6)'!$M24)</f>
        <v>41836.552373970655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550764</v>
      </c>
      <c r="L25" s="5">
        <f>($K25)*Partcipation!$E82*Title_RESULTS!$C$12/100</f>
        <v>20551.73827763182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22503.930567724034</v>
      </c>
      <c r="N25" s="5">
        <f>'Sheet2(F_12)'!$I25*('Sheet6(p_6)'!$L25+'Sheet6(p_6)'!$M25)</f>
        <v>43055.66884535585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1:18" ht="12.75">
      <c r="A26">
        <f t="shared" si="0"/>
        <v>2030</v>
      </c>
      <c r="B26" s="5">
        <f>IF(+'Sheet9(F_25)'!$A26&gt;=Title_RESULTS!$H$8,0,((Partcipation!$B26-Partcipation!$B25)*(Title_RESULTS!$C$26*((1+Title_RESULTS!$C$28/100)^('Sheet9(F_25)'!$A26-Title_RESULTS!$H$7)))/1000))</f>
        <v>0</v>
      </c>
      <c r="C26" s="5">
        <f>(Partcipation!$C25+(Partcipation!$C26-Partcipation!$C25)/2)*(Title_RESULTS!$C$27*((1+Title_RESULTS!$C$28/100)^('Sheet9(F_25)'!$A26-Title_RESULTS!$H$7)))/1000</f>
        <v>0</v>
      </c>
      <c r="D26" s="5">
        <f t="shared" si="1"/>
        <v>0</v>
      </c>
      <c r="E26" s="5">
        <f>IF(+'Sheet9(F_25)'!$A26&gt;=Title_RESULTS!$H$8,0,((Partcipation!$B26-Partcipation!$B25)*(Title_RESULTS!$C$39*((1+Title_RESULTS!$C$41/100)^('Sheet9(F_25)'!$A26-Title_RESULTS!$H$7)))/1000))</f>
        <v>0</v>
      </c>
      <c r="F26" s="5">
        <f>(Partcipation!$C25+(Partcipation!$C26-Partcipation!$C25)/2)*(Title_RESULTS!$C$40*((1+Title_RESULTS!$C$41/100)^('Sheet9(F_25)'!$A26-Title_RESULTS!$H$7)))/1000</f>
        <v>0</v>
      </c>
      <c r="G26" s="5">
        <f t="shared" si="2"/>
        <v>0</v>
      </c>
      <c r="H26" s="5">
        <f>IF(Partcipation!$B27&lt;Partcipation!$B26,0,IF(Partcipation!$B26=0,0,(Partcipation!$B26-Partcipation!$B25)*(+Title_RESULTS!$C$29*(1+Title_RESULTS!$C$30/100)^(+'Sheet8(F_24)'!$A26-Title_RESULTS!$H$7))/1000))</f>
        <v>0</v>
      </c>
      <c r="I26" s="5">
        <f>IF(+Title_RESULTS!$C$31&lt;0,0,(+Partcipation!$B25+(Partcipation!$B26-Partcipation!$B25)/2)*(+Title_RESULTS!$C$31*(1+Title_RESULTS!$C$32/100)^(+'Sheet6(p_6)'!$A26-Title_RESULTS!$H$7))/1000)</f>
        <v>0</v>
      </c>
      <c r="J26" s="5">
        <f t="shared" si="3"/>
        <v>0</v>
      </c>
      <c r="K26" s="5">
        <f>(+Partcipation!$B25+(Partcipation!$B26-Partcipation!$B25)/2)*(+Title_RESULTS!$C$14)/1000</f>
        <v>550764</v>
      </c>
      <c r="L26" s="5">
        <f>($K26)*Partcipation!$E83*Title_RESULTS!$C$12/100</f>
        <v>22392.187281225575</v>
      </c>
      <c r="M26" s="5">
        <f>((+$K26*(Title_RESULTS!$H$30/100)*((1+Title_RESULTS!$H$31/100)^('Sheet9(F_25)'!$A26-Title_RESULTS!$H$7)))+((Title_RESULTS!$H$32*Title_RESULTS!$H$35*12*Title_RESULTS!$C$7/1000)*(Partcipation!$B25+(Partcipation!$B26-Partcipation!$B25)/2))*((1+Title_RESULTS!$H$33/100)^('Sheet9(F_25)'!$A26-Title_RESULTS!$H$7)))</f>
        <v>22728.969873401278</v>
      </c>
      <c r="N26" s="5">
        <f>'Sheet2(F_12)'!$I26*('Sheet6(p_6)'!$L26+'Sheet6(p_6)'!$M26)</f>
        <v>45121.15715462685</v>
      </c>
      <c r="O26" s="5">
        <f>(Partcipation!$B25+(Partcipation!$B26-Partcipation!$B25)/2)*(Title_RESULTS!$C$13)/1000</f>
        <v>0</v>
      </c>
      <c r="P26" s="5">
        <f>($O26)*'Sheet2(F_12)'!$D26*Title_RESULTS!$C$12/100</f>
        <v>0</v>
      </c>
      <c r="Q26" s="5">
        <f>+$O26*((Title_RESULTS!$H$30/100)*((1+Title_RESULTS!$H$31/100)^('Sheet9(F_25)'!$A26-Title_RESULTS!$H$7)))</f>
        <v>0</v>
      </c>
      <c r="R26" s="5">
        <f>+Partcipation!$I26*('Sheet6(p_6)'!$P26-'Sheet6(p_6)'!$Q26)</f>
        <v>0</v>
      </c>
    </row>
    <row r="27" spans="1:18" ht="12.75">
      <c r="A27">
        <f t="shared" si="0"/>
        <v>2031</v>
      </c>
      <c r="B27" s="5">
        <f>IF(+'Sheet9(F_25)'!$A27&gt;=Title_RESULTS!$H$8,0,((Partcipation!$B27-Partcipation!$B26)*(Title_RESULTS!$C$26*((1+Title_RESULTS!$C$28/100)^('Sheet9(F_25)'!$A27-Title_RESULTS!$H$7)))/1000))</f>
        <v>0</v>
      </c>
      <c r="C27" s="5">
        <f>(Partcipation!$C26+(Partcipation!$C27-Partcipation!$C26)/2)*(Title_RESULTS!$C$27*((1+Title_RESULTS!$C$28/100)^('Sheet9(F_25)'!$A27-Title_RESULTS!$H$7)))/1000</f>
        <v>0</v>
      </c>
      <c r="D27" s="5">
        <f t="shared" si="1"/>
        <v>0</v>
      </c>
      <c r="E27" s="5">
        <f>IF(+'Sheet9(F_25)'!$A27&gt;=Title_RESULTS!$H$8,0,((Partcipation!$B27-Partcipation!$B26)*(Title_RESULTS!$C$39*((1+Title_RESULTS!$C$41/100)^('Sheet9(F_25)'!$A27-Title_RESULTS!$H$7)))/1000))</f>
        <v>0</v>
      </c>
      <c r="F27" s="5">
        <f>(Partcipation!$C26+(Partcipation!$C27-Partcipation!$C26)/2)*(Title_RESULTS!$C$40*((1+Title_RESULTS!$C$41/100)^('Sheet9(F_25)'!$A27-Title_RESULTS!$H$7)))/1000</f>
        <v>0</v>
      </c>
      <c r="G27" s="5">
        <f t="shared" si="2"/>
        <v>0</v>
      </c>
      <c r="H27" s="5">
        <f>IF(Partcipation!$B28&lt;Partcipation!$B27,0,IF(Partcipation!$B27=0,0,(Partcipation!$B27-Partcipation!$B26)*(+Title_RESULTS!$C$29*(1+Title_RESULTS!$C$30/100)^(+'Sheet8(F_24)'!$A27-Title_RESULTS!$H$7))/1000))</f>
        <v>0</v>
      </c>
      <c r="I27" s="5">
        <f>IF(+Title_RESULTS!$C$31&lt;0,0,(+Partcipation!$B26+(Partcipation!$B27-Partcipation!$B26)/2)*(+Title_RESULTS!$C$31*(1+Title_RESULTS!$C$32/100)^(+'Sheet6(p_6)'!$A27-Title_RESULTS!$H$7))/1000)</f>
        <v>0</v>
      </c>
      <c r="J27" s="5">
        <f t="shared" si="3"/>
        <v>0</v>
      </c>
      <c r="K27" s="5">
        <f>(+Partcipation!$B26+(Partcipation!$B27-Partcipation!$B26)/2)*(+Title_RESULTS!$C$14)/1000</f>
        <v>550764</v>
      </c>
      <c r="L27" s="5">
        <f>($K27)*Partcipation!$E84*Title_RESULTS!$C$12/100</f>
        <v>23164.092599556385</v>
      </c>
      <c r="M27" s="5">
        <f>((+$K27*(Title_RESULTS!$H$30/100)*((1+Title_RESULTS!$H$31/100)^('Sheet9(F_25)'!$A27-Title_RESULTS!$H$7)))+((Title_RESULTS!$H$32*Title_RESULTS!$H$35*12*Title_RESULTS!$C$7/1000)*(Partcipation!$B26+(Partcipation!$B27-Partcipation!$B26)/2))*((1+Title_RESULTS!$H$33/100)^('Sheet9(F_25)'!$A27-Title_RESULTS!$H$7)))</f>
        <v>22956.259572135285</v>
      </c>
      <c r="N27" s="5">
        <f>'Sheet2(F_12)'!$I27*('Sheet6(p_6)'!$L27+'Sheet6(p_6)'!$M27)</f>
        <v>46120.35217169167</v>
      </c>
      <c r="O27" s="5">
        <f>(Partcipation!$B26+(Partcipation!$B27-Partcipation!$B26)/2)*(Title_RESULTS!$C$13)/1000</f>
        <v>0</v>
      </c>
      <c r="P27" s="5">
        <f>($O27)*'Sheet2(F_12)'!$D27*Title_RESULTS!$C$12/100</f>
        <v>0</v>
      </c>
      <c r="Q27" s="5">
        <f>+$O27*((Title_RESULTS!$H$30/100)*((1+Title_RESULTS!$H$31/100)^('Sheet9(F_25)'!$A27-Title_RESULTS!$H$7)))</f>
        <v>0</v>
      </c>
      <c r="R27" s="5">
        <f>+Partcipation!$I27*('Sheet6(p_6)'!$P27-'Sheet6(p_6)'!$Q27)</f>
        <v>0</v>
      </c>
    </row>
    <row r="28" spans="1:18" ht="12.75">
      <c r="A28">
        <f t="shared" si="0"/>
        <v>2032</v>
      </c>
      <c r="B28" s="5">
        <f>IF(+'Sheet9(F_25)'!$A28&gt;=Title_RESULTS!$H$8,0,((Partcipation!$B28-Partcipation!$B27)*(Title_RESULTS!$C$26*((1+Title_RESULTS!$C$28/100)^('Sheet9(F_25)'!$A28-Title_RESULTS!$H$7)))/1000))</f>
        <v>0</v>
      </c>
      <c r="C28" s="5">
        <f>(Partcipation!$C27+(Partcipation!$C28-Partcipation!$C27)/2)*(Title_RESULTS!$C$27*((1+Title_RESULTS!$C$28/100)^('Sheet9(F_25)'!$A28-Title_RESULTS!$H$7)))/1000</f>
        <v>0</v>
      </c>
      <c r="D28" s="5">
        <f t="shared" si="1"/>
        <v>0</v>
      </c>
      <c r="E28" s="5">
        <f>IF(+'Sheet9(F_25)'!$A28&gt;=Title_RESULTS!$H$8,0,((Partcipation!$B28-Partcipation!$B27)*(Title_RESULTS!$C$39*((1+Title_RESULTS!$C$41/100)^('Sheet9(F_25)'!$A28-Title_RESULTS!$H$7)))/1000))</f>
        <v>0</v>
      </c>
      <c r="F28" s="5">
        <f>(Partcipation!$C27+(Partcipation!$C28-Partcipation!$C27)/2)*(Title_RESULTS!$C$40*((1+Title_RESULTS!$C$41/100)^('Sheet9(F_25)'!$A28-Title_RESULTS!$H$7)))/1000</f>
        <v>0</v>
      </c>
      <c r="G28" s="5">
        <f t="shared" si="2"/>
        <v>0</v>
      </c>
      <c r="H28" s="5">
        <f>IF(Partcipation!$B29&lt;Partcipation!$B28,0,IF(Partcipation!$B28=0,0,(Partcipation!$B28-Partcipation!$B27)*(+Title_RESULTS!$C$29*(1+Title_RESULTS!$C$30/100)^(+'Sheet8(F_24)'!$A28-Title_RESULTS!$H$7))/1000))</f>
        <v>0</v>
      </c>
      <c r="I28" s="5">
        <f>IF(+Title_RESULTS!$C$31&lt;0,0,(+Partcipation!$B27+(Partcipation!$B28-Partcipation!$B27)/2)*(+Title_RESULTS!$C$31*(1+Title_RESULTS!$C$32/100)^(+'Sheet6(p_6)'!$A28-Title_RESULTS!$H$7))/1000)</f>
        <v>0</v>
      </c>
      <c r="J28" s="5">
        <f t="shared" si="3"/>
        <v>0</v>
      </c>
      <c r="K28" s="5">
        <f>(+Partcipation!$B27+(Partcipation!$B28-Partcipation!$B27)/2)*(+Title_RESULTS!$C$14)/1000</f>
        <v>550764</v>
      </c>
      <c r="L28" s="5">
        <f>($K28)*Partcipation!$E85*Title_RESULTS!$C$12/100</f>
        <v>24816.874878858976</v>
      </c>
      <c r="M28" s="5">
        <f>((+$K28*(Title_RESULTS!$H$30/100)*((1+Title_RESULTS!$H$31/100)^('Sheet9(F_25)'!$A28-Title_RESULTS!$H$7)))+((Title_RESULTS!$H$32*Title_RESULTS!$H$35*12*Title_RESULTS!$C$7/1000)*(Partcipation!$B27+(Partcipation!$B28-Partcipation!$B27)/2))*((1+Title_RESULTS!$H$33/100)^('Sheet9(F_25)'!$A28-Title_RESULTS!$H$7)))</f>
        <v>23185.82216785664</v>
      </c>
      <c r="N28" s="5">
        <f>'Sheet2(F_12)'!$I28*('Sheet6(p_6)'!$L28+'Sheet6(p_6)'!$M28)</f>
        <v>48002.69704671562</v>
      </c>
      <c r="O28" s="5">
        <f>(Partcipation!$B27+(Partcipation!$B28-Partcipation!$B27)/2)*(Title_RESULTS!$C$13)/1000</f>
        <v>0</v>
      </c>
      <c r="P28" s="5">
        <f>($O28)*'Sheet2(F_12)'!$D28*Title_RESULTS!$C$12/100</f>
        <v>0</v>
      </c>
      <c r="Q28" s="5">
        <f>+$O28*((Title_RESULTS!$H$30/100)*((1+Title_RESULTS!$H$31/100)^('Sheet9(F_25)'!$A28-Title_RESULTS!$H$7)))</f>
        <v>0</v>
      </c>
      <c r="R28" s="5">
        <f>+Partcipation!$I28*('Sheet6(p_6)'!$P28-'Sheet6(p_6)'!$Q28)</f>
        <v>0</v>
      </c>
    </row>
    <row r="29" spans="1:18" ht="12.75">
      <c r="A29">
        <f t="shared" si="0"/>
        <v>2033</v>
      </c>
      <c r="B29" s="5">
        <f>IF(+'Sheet9(F_25)'!$A29&gt;=Title_RESULTS!$H$8,0,((Partcipation!$B29-Partcipation!$B28)*(Title_RESULTS!$C$26*((1+Title_RESULTS!$C$28/100)^('Sheet9(F_25)'!$A29-Title_RESULTS!$H$7)))/1000))</f>
        <v>0</v>
      </c>
      <c r="C29" s="5">
        <f>(Partcipation!$C28+(Partcipation!$C29-Partcipation!$C28)/2)*(Title_RESULTS!$C$27*((1+Title_RESULTS!$C$28/100)^('Sheet9(F_25)'!$A29-Title_RESULTS!$H$7)))/1000</f>
        <v>0</v>
      </c>
      <c r="D29" s="5">
        <f t="shared" si="1"/>
        <v>0</v>
      </c>
      <c r="E29" s="5">
        <f>IF(+'Sheet9(F_25)'!$A29&gt;=Title_RESULTS!$H$8,0,((Partcipation!$B29-Partcipation!$B28)*(Title_RESULTS!$C$39*((1+Title_RESULTS!$C$41/100)^('Sheet9(F_25)'!$A29-Title_RESULTS!$H$7)))/1000))</f>
        <v>0</v>
      </c>
      <c r="F29" s="5">
        <f>(Partcipation!$C28+(Partcipation!$C29-Partcipation!$C28)/2)*(Title_RESULTS!$C$40*((1+Title_RESULTS!$C$41/100)^('Sheet9(F_25)'!$A29-Title_RESULTS!$H$7)))/1000</f>
        <v>0</v>
      </c>
      <c r="G29" s="5">
        <f t="shared" si="2"/>
        <v>0</v>
      </c>
      <c r="H29" s="5">
        <f>IF(Partcipation!$B30&lt;Partcipation!$B29,0,IF(Partcipation!$B29=0,0,(Partcipation!$B29-Partcipation!$B28)*(+Title_RESULTS!$C$29*(1+Title_RESULTS!$C$30/100)^(+'Sheet8(F_24)'!$A29-Title_RESULTS!$H$7))/1000))</f>
        <v>0</v>
      </c>
      <c r="I29" s="5">
        <f>IF(+Title_RESULTS!$C$31&lt;0,0,(+Partcipation!$B28+(Partcipation!$B29-Partcipation!$B28)/2)*(+Title_RESULTS!$C$31*(1+Title_RESULTS!$C$32/100)^(+'Sheet6(p_6)'!$A29-Title_RESULTS!$H$7))/1000)</f>
        <v>0</v>
      </c>
      <c r="J29" s="5">
        <f t="shared" si="3"/>
        <v>0</v>
      </c>
      <c r="K29" s="5">
        <f>(+Partcipation!$B28+(Partcipation!$B29-Partcipation!$B28)/2)*(+Title_RESULTS!$C$14)/1000</f>
        <v>550764</v>
      </c>
      <c r="L29" s="5">
        <f>($K29)*Partcipation!$E86*Title_RESULTS!$C$12/100</f>
        <v>25337.41835436473</v>
      </c>
      <c r="M29" s="5">
        <f>((+$K29*(Title_RESULTS!$H$30/100)*((1+Title_RESULTS!$H$31/100)^('Sheet9(F_25)'!$A29-Title_RESULTS!$H$7)))+((Title_RESULTS!$H$32*Title_RESULTS!$H$35*12*Title_RESULTS!$C$7/1000)*(Partcipation!$B28+(Partcipation!$B29-Partcipation!$B28)/2))*((1+Title_RESULTS!$H$33/100)^('Sheet9(F_25)'!$A29-Title_RESULTS!$H$7)))</f>
        <v>23417.680389535206</v>
      </c>
      <c r="N29" s="5">
        <f>'Sheet2(F_12)'!$I29*('Sheet6(p_6)'!$L29+'Sheet6(p_6)'!$M29)</f>
        <v>48755.09874389994</v>
      </c>
      <c r="O29" s="5">
        <f>(Partcipation!$B28+(Partcipation!$B29-Partcipation!$B28)/2)*(Title_RESULTS!$C$13)/1000</f>
        <v>0</v>
      </c>
      <c r="P29" s="5">
        <f>($O29)*'Sheet2(F_12)'!$D29*Title_RESULTS!$C$12/100</f>
        <v>0</v>
      </c>
      <c r="Q29" s="5">
        <f>+$O29*((Title_RESULTS!$H$30/100)*((1+Title_RESULTS!$H$31/100)^('Sheet9(F_25)'!$A29-Title_RESULTS!$H$7)))</f>
        <v>0</v>
      </c>
      <c r="R29" s="5">
        <f>+Partcipation!$I29*('Sheet6(p_6)'!$P29-'Sheet6(p_6)'!$Q29)</f>
        <v>0</v>
      </c>
    </row>
    <row r="30" spans="1:18" ht="12.75">
      <c r="A30">
        <f t="shared" si="0"/>
        <v>2034</v>
      </c>
      <c r="B30" s="5">
        <f>IF(+'Sheet9(F_25)'!$A30&gt;=Title_RESULTS!$H$8,0,((Partcipation!$B30-Partcipation!$B29)*(Title_RESULTS!$C$26*((1+Title_RESULTS!$C$28/100)^('Sheet9(F_25)'!$A30-Title_RESULTS!$H$7)))/1000))</f>
        <v>0</v>
      </c>
      <c r="C30" s="5">
        <f>(Partcipation!$C29+(Partcipation!$C30-Partcipation!$C29)/2)*(Title_RESULTS!$C$27*((1+Title_RESULTS!$C$28/100)^('Sheet9(F_25)'!$A30-Title_RESULTS!$H$7)))/1000</f>
        <v>0</v>
      </c>
      <c r="D30" s="5">
        <f t="shared" si="1"/>
        <v>0</v>
      </c>
      <c r="E30" s="5">
        <f>IF(+'Sheet9(F_25)'!$A30&gt;=Title_RESULTS!$H$8,0,((Partcipation!$B30-Partcipation!$B29)*(Title_RESULTS!$C$39*((1+Title_RESULTS!$C$41/100)^('Sheet9(F_25)'!$A30-Title_RESULTS!$H$7)))/1000))</f>
        <v>0</v>
      </c>
      <c r="F30" s="5">
        <f>(Partcipation!$C29+(Partcipation!$C30-Partcipation!$C29)/2)*(Title_RESULTS!$C$40*((1+Title_RESULTS!$C$41/100)^('Sheet9(F_25)'!$A30-Title_RESULTS!$H$7)))/1000</f>
        <v>0</v>
      </c>
      <c r="G30" s="5">
        <f t="shared" si="2"/>
        <v>0</v>
      </c>
      <c r="H30" s="5">
        <f>IF(Partcipation!$B31&lt;Partcipation!$B30,0,IF(Partcipation!$B30=0,0,(Partcipation!$B30-Partcipation!$B29)*(+Title_RESULTS!$C$29*(1+Title_RESULTS!$C$30/100)^(+'Sheet8(F_24)'!$A30-Title_RESULTS!$H$7))/1000))</f>
        <v>0</v>
      </c>
      <c r="I30" s="5">
        <f>IF(+Title_RESULTS!$C$31&lt;0,0,(+Partcipation!$B29+(Partcipation!$B30-Partcipation!$B29)/2)*(+Title_RESULTS!$C$31*(1+Title_RESULTS!$C$32/100)^(+'Sheet6(p_6)'!$A30-Title_RESULTS!$H$7))/1000)</f>
        <v>0</v>
      </c>
      <c r="J30" s="5">
        <f t="shared" si="3"/>
        <v>0</v>
      </c>
      <c r="K30" s="5">
        <f>(+Partcipation!$B29+(Partcipation!$B30-Partcipation!$B29)/2)*(+Title_RESULTS!$C$14)/1000</f>
        <v>550764</v>
      </c>
      <c r="L30" s="5">
        <f>($K30)*Partcipation!$E87*Title_RESULTS!$C$12/100</f>
        <v>27010.822200828847</v>
      </c>
      <c r="M30" s="5">
        <f>((+$K30*(Title_RESULTS!$H$30/100)*((1+Title_RESULTS!$H$31/100)^('Sheet9(F_25)'!$A30-Title_RESULTS!$H$7)))+((Title_RESULTS!$H$32*Title_RESULTS!$H$35*12*Title_RESULTS!$C$7/1000)*(Partcipation!$B29+(Partcipation!$B30-Partcipation!$B29)/2))*((1+Title_RESULTS!$H$33/100)^('Sheet9(F_25)'!$A30-Title_RESULTS!$H$7)))</f>
        <v>23651.85719343056</v>
      </c>
      <c r="N30" s="5">
        <f>'Sheet2(F_12)'!$I30*('Sheet6(p_6)'!$L30+'Sheet6(p_6)'!$M30)</f>
        <v>50662.67939425941</v>
      </c>
      <c r="O30" s="5">
        <f>(Partcipation!$B29+(Partcipation!$B30-Partcipation!$B29)/2)*(Title_RESULTS!$C$13)/1000</f>
        <v>0</v>
      </c>
      <c r="P30" s="5">
        <f>($O30)*'Sheet2(F_12)'!$D30*Title_RESULTS!$C$12/100</f>
        <v>0</v>
      </c>
      <c r="Q30" s="5">
        <f>+$O30*((Title_RESULTS!$H$30/100)*((1+Title_RESULTS!$H$31/100)^('Sheet9(F_25)'!$A30-Title_RESULTS!$H$7)))</f>
        <v>0</v>
      </c>
      <c r="R30" s="5">
        <f>+Partcipation!$I30*('Sheet6(p_6)'!$P30-'Sheet6(p_6)'!$Q30)</f>
        <v>0</v>
      </c>
    </row>
    <row r="31" spans="2:18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t="s">
        <v>87</v>
      </c>
      <c r="B32" s="5">
        <f aca="true" t="shared" si="4" ref="B32:R32">SUM(B16:B31)</f>
        <v>384.072</v>
      </c>
      <c r="C32" s="5">
        <f t="shared" si="4"/>
        <v>0</v>
      </c>
      <c r="D32" s="5">
        <f t="shared" si="4"/>
        <v>384.072</v>
      </c>
      <c r="E32" s="5">
        <f t="shared" si="4"/>
        <v>14529.48</v>
      </c>
      <c r="F32" s="5">
        <f t="shared" si="4"/>
        <v>0</v>
      </c>
      <c r="G32" s="5">
        <f t="shared" si="4"/>
        <v>14529.48</v>
      </c>
      <c r="H32" s="5">
        <f t="shared" si="4"/>
        <v>87380.31273828998</v>
      </c>
      <c r="I32" s="5">
        <f t="shared" si="4"/>
        <v>0</v>
      </c>
      <c r="J32" s="5">
        <f t="shared" si="4"/>
        <v>87380.31273828998</v>
      </c>
      <c r="K32" s="5">
        <f t="shared" si="4"/>
        <v>7435314</v>
      </c>
      <c r="L32" s="5">
        <f t="shared" si="4"/>
        <v>264808.7912058663</v>
      </c>
      <c r="M32" s="5">
        <f t="shared" si="4"/>
        <v>300177.41305315425</v>
      </c>
      <c r="N32" s="5">
        <f t="shared" si="4"/>
        <v>564986.2042590207</v>
      </c>
      <c r="O32" s="5">
        <f t="shared" si="4"/>
        <v>0</v>
      </c>
      <c r="P32" s="5">
        <f t="shared" si="4"/>
        <v>0</v>
      </c>
      <c r="Q32" s="5">
        <f t="shared" si="4"/>
        <v>0</v>
      </c>
      <c r="R32" s="5">
        <f t="shared" si="4"/>
        <v>0</v>
      </c>
    </row>
    <row r="33" spans="2:18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t="s">
        <v>89</v>
      </c>
      <c r="B34" s="5">
        <f>NPV(Title_RESULTS!$C$37,'Sheet6(p_6)'!B17:B31)+'Sheet6(p_6)'!B16</f>
        <v>358.8491576370552</v>
      </c>
      <c r="C34" s="5">
        <f>NPV(Title_RESULTS!$C$37,'Sheet6(p_6)'!C17:C31)+'Sheet6(p_6)'!C16</f>
        <v>0</v>
      </c>
      <c r="D34" s="5">
        <f>NPV(Title_RESULTS!$C$37,'Sheet6(p_6)'!D17:D31)+'Sheet6(p_6)'!D16</f>
        <v>358.8491576370552</v>
      </c>
      <c r="E34" s="5">
        <f>NPV(Title_RESULTS!$C$37,'Sheet6(p_6)'!E17:E31)+'Sheet6(p_6)'!E16</f>
        <v>13589.9811827841</v>
      </c>
      <c r="F34" s="5">
        <f>NPV(Title_RESULTS!$C$37,'Sheet6(p_6)'!F17:F31)+'Sheet6(p_6)'!F16</f>
        <v>0</v>
      </c>
      <c r="G34" s="5">
        <f>NPV(Title_RESULTS!$C$37,'Sheet6(p_6)'!G17:G31)+'Sheet6(p_6)'!G16</f>
        <v>13589.9811827841</v>
      </c>
      <c r="H34" s="5">
        <f>NPV(Title_RESULTS!$C$37,'Sheet6(p_6)'!H17:H31)+'Sheet6(p_6)'!H16</f>
        <v>81645.494693291</v>
      </c>
      <c r="I34" s="5">
        <f>NPV(Title_RESULTS!$C$37,'Sheet6(p_6)'!I17:I31)+'Sheet6(p_6)'!I16</f>
        <v>0</v>
      </c>
      <c r="J34" s="5">
        <f>NPV(Title_RESULTS!$C$37,'Sheet6(p_6)'!J17:J31)+'Sheet6(p_6)'!J16</f>
        <v>81645.494693291</v>
      </c>
      <c r="K34" s="5"/>
      <c r="L34" s="5">
        <f>NPV(Title_RESULTS!$C$37,'Sheet6(p_6)'!L17:L31)+'Sheet6(p_6)'!L16</f>
        <v>152807.89217978984</v>
      </c>
      <c r="M34" s="5">
        <f>NPV(Title_RESULTS!$C$37,'Sheet6(p_6)'!M17:M31)+'Sheet6(p_6)'!M16</f>
        <v>181695.9536744854</v>
      </c>
      <c r="N34" s="5">
        <f>NPV(Title_RESULTS!$C$37,'Sheet6(p_6)'!N17:N31)+'Sheet6(p_6)'!N16</f>
        <v>334503.84585427534</v>
      </c>
      <c r="O34" s="5"/>
      <c r="P34" s="5">
        <f>NPV(Title_RESULTS!$C$37,'Sheet6(p_6)'!P17:P31)+'Sheet6(p_6)'!P16</f>
        <v>0</v>
      </c>
      <c r="Q34" s="5">
        <f>NPV(Title_RESULTS!$C$37,'Sheet6(p_6)'!Q17:Q31)+'Sheet6(p_6)'!Q16</f>
        <v>0</v>
      </c>
      <c r="R34" s="5">
        <f>NPV(Title_RESULTS!$C$37,'Sheet6(p_6)'!R17:R31)+'Sheet6(p_6)'!R16</f>
        <v>0</v>
      </c>
    </row>
    <row r="36" ht="12.75">
      <c r="A36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Compressed Air Equipment</v>
      </c>
      <c r="M2" t="s">
        <v>55</v>
      </c>
    </row>
    <row r="3" ht="12.75">
      <c r="M3" s="35">
        <f>+Title_RESULTS!I4</f>
        <v>43599.32267337963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125</v>
      </c>
      <c r="D16" s="5">
        <f>IF(A16&gt;=(Title_RESULTS!$H$7+Title_RESULTS!$C$17),0,(+'Sheet6(p_6)'!$J16))</f>
        <v>28467.01</v>
      </c>
      <c r="E16" s="5">
        <f>IF(A16&gt;=(Title_RESULTS!$H$7+Title_RESULTS!$C$17),0,(+'f-11B'!$N15))</f>
        <v>0</v>
      </c>
      <c r="F16" s="5">
        <f>IF(A16&gt;=(Title_RESULTS!$H$7+Title_RESULTS!$C$17),0,(SUM(B16:E16)))</f>
        <v>28592.01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2808.731426000861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2808.731426000861</v>
      </c>
      <c r="L16" s="23">
        <f>IF(A16&gt;=(Title_RESULTS!$H$7+Title_RESULTS!$C$17),0,(+$K16-$F16))</f>
        <v>-25783.278573999138</v>
      </c>
      <c r="M16" s="23">
        <f>IF(A16&gt;=(Title_RESULTS!$H$7+Title_RESULTS!$C$17),0,(+$L16/(1+Title_RESULTS!$C$37)^('Sheet7(F_23)'!$A16-Title_RESULTS!$H$7)))</f>
        <v>-25783.278573999138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128</v>
      </c>
      <c r="D17" s="5">
        <f>IF(A17&gt;=(Title_RESULTS!$H$7+Title_RESULTS!$C$17),0,(+'Sheet6(p_6)'!$J17))</f>
        <v>29121.751229999994</v>
      </c>
      <c r="E17" s="5">
        <f>IF(A17&gt;=(Title_RESULTS!$H$7+Title_RESULTS!$C$17),0,(+'f-11B'!$N16))</f>
        <v>0</v>
      </c>
      <c r="F17" s="5">
        <f>IF(A17&gt;=(Title_RESULTS!$H$7+Title_RESULTS!$C$17),0,(SUM(B17:E17)))</f>
        <v>29249.751229999994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2003.0105979300101</v>
      </c>
      <c r="I17" s="5">
        <f>IF(A17&gt;=(Title_RESULTS!$H$7+Title_RESULTS!$C$17),0,(+'Sheet4(F_22)'!$H17))</f>
        <v>8357.656850760071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10360.667448690081</v>
      </c>
      <c r="L17" s="23">
        <f>IF(A17&gt;=(Title_RESULTS!$H$7+Title_RESULTS!$C$17),0,(+$K17-$F17))</f>
        <v>-18889.083781309913</v>
      </c>
      <c r="M17" s="23">
        <f>IF(A17&gt;=(Title_RESULTS!$H$7+Title_RESULTS!$C$17),0,(+M16+$L17/(1+Title_RESULTS!$C$37)^('Sheet7(F_23)'!$A17-Title_RESULTS!$H$7)))</f>
        <v>-43423.43899733675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131.072</v>
      </c>
      <c r="D18" s="5">
        <f>IF(A18&gt;=(Title_RESULTS!$H$7+Title_RESULTS!$C$17),0,(+'Sheet6(p_6)'!$J18))</f>
        <v>29791.55150828999</v>
      </c>
      <c r="E18" s="5">
        <f>IF(A18&gt;=(Title_RESULTS!$H$7+Title_RESULTS!$C$17),0,(+'f-11B'!$N17))</f>
        <v>0</v>
      </c>
      <c r="F18" s="5">
        <f>IF(A18&gt;=(Title_RESULTS!$H$7+Title_RESULTS!$C$17),0,(SUM(B18:E18)))</f>
        <v>29922.62350828999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2051.0828522803304</v>
      </c>
      <c r="I18" s="5">
        <f>IF(A18&gt;=(Title_RESULTS!$H$7+Title_RESULTS!$C$17),0,(+'Sheet4(F_22)'!$H18))</f>
        <v>14376.102113557985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16427.184965838314</v>
      </c>
      <c r="L18" s="23">
        <f>IF(A18&gt;=(Title_RESULTS!$H$7+Title_RESULTS!$C$17),0,(+$K18-$F18))</f>
        <v>-13495.438542451677</v>
      </c>
      <c r="M18" s="23">
        <f>IF(A18&gt;=(Title_RESULTS!$H$7+Title_RESULTS!$C$17),0,(+M17+$L18/(1+Title_RESULTS!$C$37)^('Sheet7(F_23)'!$A18-Title_RESULTS!$H$7)))</f>
        <v>-55193.27134669205</v>
      </c>
    </row>
    <row r="19" spans="1:13" ht="12.75">
      <c r="A19">
        <f aca="true" t="shared" si="0" ref="A19:A30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6361.794171695645</v>
      </c>
      <c r="H19" s="5">
        <f>IF(A19&gt;=(Title_RESULTS!$H$7+Title_RESULTS!$C$17),0,(+'Sheet4(F_22)'!$D19+'Sheet4(F_22)'!$G19))</f>
        <v>2100.3088407350583</v>
      </c>
      <c r="I19" s="5">
        <f>IF(A19&gt;=(Title_RESULTS!$H$7+Title_RESULTS!$C$17),0,(+'Sheet4(F_22)'!$H19))</f>
        <v>17959.03724495694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26421.140257387644</v>
      </c>
      <c r="L19" s="23">
        <f>IF(A19&gt;=(Title_RESULTS!$H$7+Title_RESULTS!$C$17),0,(+$K19-$F19))</f>
        <v>26421.140257387644</v>
      </c>
      <c r="M19" s="23">
        <f>IF(A19&gt;=(Title_RESULTS!$H$7+Title_RESULTS!$C$17),0,(+M18+$L19/(1+Title_RESULTS!$C$37)^('Sheet7(F_23)'!$A19-Title_RESULTS!$H$7)))</f>
        <v>-33674.054149382304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6531.429928496493</v>
      </c>
      <c r="H20" s="5">
        <f>IF(A20&gt;=(Title_RESULTS!$H$7+Title_RESULTS!$C$17),0,(+'Sheet4(F_22)'!$D20+'Sheet4(F_22)'!$G20))</f>
        <v>2150.7162529127</v>
      </c>
      <c r="I20" s="5">
        <f>IF(A20&gt;=(Title_RESULTS!$H$7+Title_RESULTS!$C$17),0,(+'Sheet4(F_22)'!$H20))</f>
        <v>18664.759717034423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27346.905898443616</v>
      </c>
      <c r="L20" s="23">
        <f>IF(A20&gt;=(Title_RESULTS!$H$7+Title_RESULTS!$C$17),0,(+$K20-$F20))</f>
        <v>27346.905898443616</v>
      </c>
      <c r="M20" s="23">
        <f>IF(A20&gt;=(Title_RESULTS!$H$7+Title_RESULTS!$C$17),0,(+M19+$L20/(1+Title_RESULTS!$C$37)^('Sheet7(F_23)'!$A20-Title_RESULTS!$H$7)))</f>
        <v>-12873.507617022948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6717.012492950391</v>
      </c>
      <c r="H21" s="5">
        <f>IF(A21&gt;=(Title_RESULTS!$H$7+Title_RESULTS!$C$17),0,(+'Sheet4(F_22)'!$D21+'Sheet4(F_22)'!$G21))</f>
        <v>2202.3334429826045</v>
      </c>
      <c r="I21" s="5">
        <f>IF(A21&gt;=(Title_RESULTS!$H$7+Title_RESULTS!$C$17),0,(+'Sheet4(F_22)'!$H21))</f>
        <v>20040.33262383677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28959.678559769767</v>
      </c>
      <c r="L21" s="23">
        <f>IF(A21&gt;=(Title_RESULTS!$H$7+Title_RESULTS!$C$17),0,(+$K21-$F21))</f>
        <v>28959.678559769767</v>
      </c>
      <c r="M21" s="23">
        <f>IF(A21&gt;=(Title_RESULTS!$H$7+Title_RESULTS!$C$17),0,(+M20+$L21/(1+Title_RESULTS!$C$37)^('Sheet7(F_23)'!$A21-Title_RESULTS!$H$7)))</f>
        <v>7697.327562815921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6924.855370033272</v>
      </c>
      <c r="H22" s="5">
        <f>IF(A22&gt;=(Title_RESULTS!$H$7+Title_RESULTS!$C$17),0,(+'Sheet4(F_22)'!$D22+'Sheet4(F_22)'!$G22))</f>
        <v>2255.189445614187</v>
      </c>
      <c r="I22" s="5">
        <f>IF(A22&gt;=(Title_RESULTS!$H$7+Title_RESULTS!$C$17),0,(+'Sheet4(F_22)'!$H22))</f>
        <v>20683.118769146287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29863.163584793747</v>
      </c>
      <c r="L22" s="23">
        <f>IF(A22&gt;=(Title_RESULTS!$H$7+Title_RESULTS!$C$17),0,(+$K22-$F22))</f>
        <v>29863.163584793747</v>
      </c>
      <c r="M22" s="23">
        <f>IF(A22&gt;=(Title_RESULTS!$H$7+Title_RESULTS!$C$17),0,(+M21+$L22/(1+Title_RESULTS!$C$37)^('Sheet7(F_23)'!$A22-Title_RESULTS!$H$7)))</f>
        <v>27507.380595270257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7111.271776481523</v>
      </c>
      <c r="H23" s="5">
        <f>IF(A23&gt;=(Title_RESULTS!$H$7+Title_RESULTS!$C$17),0,(+'Sheet4(F_22)'!$D23+'Sheet4(F_22)'!$G23))</f>
        <v>2309.3139923089275</v>
      </c>
      <c r="I23" s="5">
        <f>IF(A23&gt;=(Title_RESULTS!$H$7+Title_RESULTS!$C$17),0,(+'Sheet4(F_22)'!$H23))</f>
        <v>21975.72111872146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31396.30688751191</v>
      </c>
      <c r="L23" s="23">
        <f>IF(A23&gt;=(Title_RESULTS!$H$7+Title_RESULTS!$C$17),0,(+$K23-$F23))</f>
        <v>31396.30688751191</v>
      </c>
      <c r="M23" s="23">
        <f>IF(A23&gt;=(Title_RESULTS!$H$7+Title_RESULTS!$C$17),0,(+M22+$L23/(1+Title_RESULTS!$C$37)^('Sheet7(F_23)'!$A23-Title_RESULTS!$H$7)))</f>
        <v>46957.399505284164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7226.470067473154</v>
      </c>
      <c r="H24" s="5">
        <f>IF(A24&gt;=(Title_RESULTS!$H$7+Title_RESULTS!$C$17),0,(+'Sheet4(F_22)'!$D24+'Sheet4(F_22)'!$G24))</f>
        <v>2364.737528124341</v>
      </c>
      <c r="I24" s="5">
        <f>IF(A24&gt;=(Title_RESULTS!$H$7+Title_RESULTS!$C$17),0,(+'Sheet4(F_22)'!$H24))</f>
        <v>24351.640283830202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33942.847879427696</v>
      </c>
      <c r="L24" s="23">
        <f>IF(A24&gt;=(Title_RESULTS!$H$7+Title_RESULTS!$C$17),0,(+$K24-$F24))</f>
        <v>33942.847879427696</v>
      </c>
      <c r="M24" s="23">
        <f>IF(A24&gt;=(Title_RESULTS!$H$7+Title_RESULTS!$C$17),0,(+M23+$L24/(1+Title_RESULTS!$C$37)^('Sheet7(F_23)'!$A24-Title_RESULTS!$H$7)))</f>
        <v>66594.68154254538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7422.764877861686</v>
      </c>
      <c r="H25" s="5">
        <f>IF(A25&gt;=(Title_RESULTS!$H$7+Title_RESULTS!$C$17),0,(+'Sheet4(F_22)'!$D25+'Sheet4(F_22)'!$G25))</f>
        <v>2421.4912287993257</v>
      </c>
      <c r="I25" s="5">
        <f>IF(A25&gt;=(Title_RESULTS!$H$7+Title_RESULTS!$C$17),0,(+'Sheet4(F_22)'!$H25))</f>
        <v>26089.47728455002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35933.73339121103</v>
      </c>
      <c r="L25" s="23">
        <f>IF(A25&gt;=(Title_RESULTS!$H$7+Title_RESULTS!$C$17),0,(+$K25-$F25))</f>
        <v>35933.73339121103</v>
      </c>
      <c r="M25" s="23">
        <f>IF(A25&gt;=(Title_RESULTS!$H$7+Title_RESULTS!$C$17),0,(+M24+$L25/(1+Title_RESULTS!$C$37)^('Sheet7(F_23)'!$A25-Title_RESULTS!$H$7)))</f>
        <v>86009.22036257427</v>
      </c>
    </row>
    <row r="26" spans="1:13" ht="12.75">
      <c r="A26">
        <f t="shared" si="0"/>
        <v>2030</v>
      </c>
      <c r="B26" s="5">
        <f>IF(A26&gt;=(Title_RESULTS!$H$7+Title_RESULTS!$C$17),0,(IF($A26&gt;=Title_RESULTS!$H$8,(Partcipation!$B25+(Partcipation!$B26-Partcipation!$B25)/2)*Title_RESULTS!$C$35*(1+Title_RESULTS!$C$36/100)^('Sheet7(F_23)'!$A26-Title_RESULTS!$H$7),0)))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IF(A26&gt;=(Title_RESULTS!$H$7+Title_RESULTS!$C$17),0,(+'Sheet6(p_6)'!$J26))</f>
        <v>0</v>
      </c>
      <c r="E26" s="5">
        <f>IF(A26&gt;=(Title_RESULTS!$H$7+Title_RESULTS!$C$17),0,(+'f-11B'!$N25))</f>
        <v>0</v>
      </c>
      <c r="F26" s="5">
        <f>IF(A26&gt;=(Title_RESULTS!$H$7+Title_RESULTS!$C$17),0,(SUM(B26:E26)))</f>
        <v>0</v>
      </c>
      <c r="G26" s="5">
        <f>IF(A26&gt;=(Title_RESULTS!$H$7+Title_RESULTS!$C$17),0,('Sheet3(F_21)'!$J26))</f>
        <v>7541.6169687752445</v>
      </c>
      <c r="H26" s="5">
        <f>IF(A26&gt;=(Title_RESULTS!$H$7+Title_RESULTS!$C$17),0,(+'Sheet4(F_22)'!$D26+'Sheet4(F_22)'!$G26))</f>
        <v>2479.6070182905096</v>
      </c>
      <c r="I26" s="5">
        <f>IF(A26&gt;=(Title_RESULTS!$H$7+Title_RESULTS!$C$17),0,(+'Sheet4(F_22)'!$H26))</f>
        <v>29140.50076440669</v>
      </c>
      <c r="J26" s="5">
        <f>IF(A26&gt;=(Title_RESULTS!$H$7+Title_RESULTS!$C$17),0,(IF(Title_RESULTS!$C$31&lt;0,((Partcipation!$B25+(Partcipation!$B26-Partcipation!$B25)/2)*(ABS(Title_RESULTS!$C$31)*(1+Title_RESULTS!$C$32/100)^('Sheet7(F_23)'!$A26-Title_RESULTS!$H$7))/1000)+'f-11B'!$O25,+'f-11B'!$O25)))</f>
        <v>0</v>
      </c>
      <c r="K26" s="5">
        <f>IF(A26&gt;=(Title_RESULTS!$H$7+Title_RESULTS!$C$17),0,(SUM(G26:J26)))</f>
        <v>39161.724751472444</v>
      </c>
      <c r="L26" s="23">
        <f>IF(A26&gt;=(Title_RESULTS!$H$7+Title_RESULTS!$C$17),0,(+$K26-$F26))</f>
        <v>39161.724751472444</v>
      </c>
      <c r="M26" s="23">
        <f>IF(A26&gt;=(Title_RESULTS!$H$7+Title_RESULTS!$C$17),0,(+M25+$L26/(1+Title_RESULTS!$C$37)^('Sheet7(F_23)'!$A26-Title_RESULTS!$H$7)))</f>
        <v>105768.82203337828</v>
      </c>
    </row>
    <row r="27" spans="1:13" ht="12.75">
      <c r="A27">
        <f t="shared" si="0"/>
        <v>2031</v>
      </c>
      <c r="B27" s="5">
        <f>IF(A27&gt;=(Title_RESULTS!$H$7+Title_RESULTS!$C$17),0,(IF($A27&gt;=Title_RESULTS!$H$8,(Partcipation!$B26+(Partcipation!$B27-Partcipation!$B26)/2)*Title_RESULTS!$C$35*(1+Title_RESULTS!$C$36/100)^('Sheet7(F_23)'!$A27-Title_RESULTS!$H$7),0)))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IF(A27&gt;=(Title_RESULTS!$H$7+Title_RESULTS!$C$17),0,(+'Sheet6(p_6)'!$J27))</f>
        <v>0</v>
      </c>
      <c r="E27" s="5">
        <f>IF(A27&gt;=(Title_RESULTS!$H$7+Title_RESULTS!$C$17),0,(+'f-11B'!$N26))</f>
        <v>0</v>
      </c>
      <c r="F27" s="5">
        <f>IF(A27&gt;=(Title_RESULTS!$H$7+Title_RESULTS!$C$17),0,(SUM(B27:E27)))</f>
        <v>0</v>
      </c>
      <c r="G27" s="5">
        <f>IF(A27&gt;=(Title_RESULTS!$H$7+Title_RESULTS!$C$17),0,('Sheet3(F_21)'!$J27))</f>
        <v>7801.95175501465</v>
      </c>
      <c r="H27" s="5">
        <f>IF(A27&gt;=(Title_RESULTS!$H$7+Title_RESULTS!$C$17),0,(+'Sheet4(F_22)'!$D27+'Sheet4(F_22)'!$G27))</f>
        <v>2539.1175867294824</v>
      </c>
      <c r="I27" s="5">
        <f>IF(A27&gt;=(Title_RESULTS!$H$7+Title_RESULTS!$C$17),0,(+'Sheet4(F_22)'!$H27))</f>
        <v>29032.131742384834</v>
      </c>
      <c r="J27" s="5">
        <f>IF(A27&gt;=(Title_RESULTS!$H$7+Title_RESULTS!$C$17),0,(IF(Title_RESULTS!$C$31&lt;0,((Partcipation!$B26+(Partcipation!$B27-Partcipation!$B26)/2)*(ABS(Title_RESULTS!$C$31)*(1+Title_RESULTS!$C$32/100)^('Sheet7(F_23)'!$A27-Title_RESULTS!$H$7))/1000)+'f-11B'!$O26,+'f-11B'!$O26)))</f>
        <v>0</v>
      </c>
      <c r="K27" s="5">
        <f>IF(A27&gt;=(Title_RESULTS!$H$7+Title_RESULTS!$C$17),0,(SUM(G27:J27)))</f>
        <v>39373.20108412897</v>
      </c>
      <c r="L27" s="23">
        <f>IF(A27&gt;=(Title_RESULTS!$H$7+Title_RESULTS!$C$17),0,(+$K27-$F27))</f>
        <v>39373.20108412897</v>
      </c>
      <c r="M27" s="23">
        <f>IF(A27&gt;=(Title_RESULTS!$H$7+Title_RESULTS!$C$17),0,(+M26+$L27/(1+Title_RESULTS!$C$37)^('Sheet7(F_23)'!$A27-Title_RESULTS!$H$7)))</f>
        <v>124321.59103142157</v>
      </c>
    </row>
    <row r="28" spans="1:13" ht="12.75">
      <c r="A28">
        <f t="shared" si="0"/>
        <v>2032</v>
      </c>
      <c r="B28" s="5">
        <f>IF(A28&gt;=(Title_RESULTS!$H$7+Title_RESULTS!$C$17),0,(IF($A28&gt;=Title_RESULTS!$H$8,(Partcipation!$B27+(Partcipation!$B28-Partcipation!$B27)/2)*Title_RESULTS!$C$35*(1+Title_RESULTS!$C$36/100)^('Sheet7(F_23)'!$A28-Title_RESULTS!$H$7),0)))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IF(A28&gt;=(Title_RESULTS!$H$7+Title_RESULTS!$C$17),0,(+'Sheet6(p_6)'!$J28))</f>
        <v>0</v>
      </c>
      <c r="E28" s="5">
        <f>IF(A28&gt;=(Title_RESULTS!$H$7+Title_RESULTS!$C$17),0,(+'f-11B'!$N27))</f>
        <v>0</v>
      </c>
      <c r="F28" s="5">
        <f>IF(A28&gt;=(Title_RESULTS!$H$7+Title_RESULTS!$C$17),0,(SUM(B28:E28)))</f>
        <v>0</v>
      </c>
      <c r="G28" s="5">
        <f>IF(A28&gt;=(Title_RESULTS!$H$7+Title_RESULTS!$C$17),0,('Sheet3(F_21)'!$J28))</f>
        <v>7966.431685250431</v>
      </c>
      <c r="H28" s="5">
        <f>IF(A28&gt;=(Title_RESULTS!$H$7+Title_RESULTS!$C$17),0,(+'Sheet4(F_22)'!$D28+'Sheet4(F_22)'!$G28))</f>
        <v>2600.0564088109895</v>
      </c>
      <c r="I28" s="5">
        <f>IF(A28&gt;=(Title_RESULTS!$H$7+Title_RESULTS!$C$17),0,(+'Sheet4(F_22)'!$H28))</f>
        <v>31729.43673191762</v>
      </c>
      <c r="J28" s="5">
        <f>IF(A28&gt;=(Title_RESULTS!$H$7+Title_RESULTS!$C$17),0,(IF(Title_RESULTS!$C$31&lt;0,((Partcipation!$B27+(Partcipation!$B28-Partcipation!$B27)/2)*(ABS(Title_RESULTS!$C$31)*(1+Title_RESULTS!$C$32/100)^('Sheet7(F_23)'!$A28-Title_RESULTS!$H$7))/1000)+'f-11B'!$O27,+'f-11B'!$O27)))</f>
        <v>0</v>
      </c>
      <c r="K28" s="5">
        <f>IF(A28&gt;=(Title_RESULTS!$H$7+Title_RESULTS!$C$17),0,(SUM(G28:J28)))</f>
        <v>42295.92482597904</v>
      </c>
      <c r="L28" s="23">
        <f>IF(A28&gt;=(Title_RESULTS!$H$7+Title_RESULTS!$C$17),0,(+$K28-$F28))</f>
        <v>42295.92482597904</v>
      </c>
      <c r="M28" s="23">
        <f>IF(A28&gt;=(Title_RESULTS!$H$7+Title_RESULTS!$C$17),0,(+M27+$L28/(1+Title_RESULTS!$C$37)^('Sheet7(F_23)'!$A28-Title_RESULTS!$H$7)))</f>
        <v>142933.81094557547</v>
      </c>
    </row>
    <row r="29" spans="1:13" ht="12.75">
      <c r="A29">
        <f t="shared" si="0"/>
        <v>2033</v>
      </c>
      <c r="B29" s="5">
        <f>IF(A29&gt;=(Title_RESULTS!$H$7+Title_RESULTS!$C$17),0,(IF($A29&gt;=Title_RESULTS!$H$8,(Partcipation!$B28+(Partcipation!$B29-Partcipation!$B28)/2)*Title_RESULTS!$C$35*(1+Title_RESULTS!$C$36/100)^('Sheet7(F_23)'!$A29-Title_RESULTS!$H$7),0)))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IF(A29&gt;=(Title_RESULTS!$H$7+Title_RESULTS!$C$17),0,(+'Sheet6(p_6)'!$J29))</f>
        <v>0</v>
      </c>
      <c r="E29" s="5">
        <f>IF(A29&gt;=(Title_RESULTS!$H$7+Title_RESULTS!$C$17),0,(+'f-11B'!$N28))</f>
        <v>0</v>
      </c>
      <c r="F29" s="5">
        <f>IF(A29&gt;=(Title_RESULTS!$H$7+Title_RESULTS!$C$17),0,(SUM(B29:E29)))</f>
        <v>0</v>
      </c>
      <c r="G29" s="5">
        <f>IF(A29&gt;=(Title_RESULTS!$H$7+Title_RESULTS!$C$17),0,('Sheet3(F_21)'!$J29))</f>
        <v>8250.91577112257</v>
      </c>
      <c r="H29" s="5">
        <f>IF(A29&gt;=(Title_RESULTS!$H$7+Title_RESULTS!$C$17),0,(+'Sheet4(F_22)'!$D29+'Sheet4(F_22)'!$G29))</f>
        <v>2662.4577626224536</v>
      </c>
      <c r="I29" s="5">
        <f>IF(A29&gt;=(Title_RESULTS!$H$7+Title_RESULTS!$C$17),0,(+'Sheet4(F_22)'!$H29))</f>
        <v>33836.55803999768</v>
      </c>
      <c r="J29" s="5">
        <f>IF(A29&gt;=(Title_RESULTS!$H$7+Title_RESULTS!$C$17),0,(IF(Title_RESULTS!$C$31&lt;0,((Partcipation!$B28+(Partcipation!$B29-Partcipation!$B28)/2)*(ABS(Title_RESULTS!$C$31)*(1+Title_RESULTS!$C$32/100)^('Sheet7(F_23)'!$A29-Title_RESULTS!$H$7))/1000)+'f-11B'!$O28,+'f-11B'!$O28)))</f>
        <v>0</v>
      </c>
      <c r="K29" s="5">
        <f>IF(A29&gt;=(Title_RESULTS!$H$7+Title_RESULTS!$C$17),0,(SUM(G29:J29)))</f>
        <v>44749.93157374271</v>
      </c>
      <c r="L29" s="23">
        <f>IF(A29&gt;=(Title_RESULTS!$H$7+Title_RESULTS!$C$17),0,(+$K29-$F29))</f>
        <v>44749.93157374271</v>
      </c>
      <c r="M29" s="23">
        <f>IF(A29&gt;=(Title_RESULTS!$H$7+Title_RESULTS!$C$17),0,(+M28+$L29/(1+Title_RESULTS!$C$37)^('Sheet7(F_23)'!$A29-Title_RESULTS!$H$7)))</f>
        <v>161323.89282525226</v>
      </c>
    </row>
    <row r="30" spans="1:13" ht="12.75">
      <c r="A30">
        <f t="shared" si="0"/>
        <v>2034</v>
      </c>
      <c r="B30" s="5">
        <f>IF(A30&gt;=(Title_RESULTS!$H$7+Title_RESULTS!$C$17),0,(IF($A30&gt;=Title_RESULTS!$H$8,(Partcipation!$B29+(Partcipation!$B30-Partcipation!$B29)/2)*Title_RESULTS!$C$35*(1+Title_RESULTS!$C$36/100)^('Sheet7(F_23)'!$A30-Title_RESULTS!$H$7),0)))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IF(A30&gt;=(Title_RESULTS!$H$7+Title_RESULTS!$C$17),0,(+'Sheet6(p_6)'!$J30))</f>
        <v>0</v>
      </c>
      <c r="E30" s="5">
        <f>IF(A30&gt;=(Title_RESULTS!$H$7+Title_RESULTS!$C$17),0,(+'f-11B'!$N29))</f>
        <v>0</v>
      </c>
      <c r="F30" s="5">
        <f>IF(A30&gt;=(Title_RESULTS!$H$7+Title_RESULTS!$C$17),0,(SUM(B30:E30)))</f>
        <v>0</v>
      </c>
      <c r="G30" s="5">
        <f>IF(A30&gt;=(Title_RESULTS!$H$7+Title_RESULTS!$C$17),0,('Sheet3(F_21)'!$J30))</f>
        <v>8410.258580850275</v>
      </c>
      <c r="H30" s="5">
        <f>IF(A30&gt;=(Title_RESULTS!$H$7+Title_RESULTS!$C$17),0,(+'Sheet4(F_22)'!$D30+'Sheet4(F_22)'!$G30))</f>
        <v>2726.356748925392</v>
      </c>
      <c r="I30" s="5">
        <f>IF(A30&gt;=(Title_RESULTS!$H$7+Title_RESULTS!$C$17),0,(+'Sheet4(F_22)'!$H30))</f>
        <v>35412.064994797984</v>
      </c>
      <c r="J30" s="5">
        <f>IF(A30&gt;=(Title_RESULTS!$H$7+Title_RESULTS!$C$17),0,(IF(Title_RESULTS!$C$31&lt;0,((Partcipation!$B29+(Partcipation!$B30-Partcipation!$B29)/2)*(ABS(Title_RESULTS!$C$31)*(1+Title_RESULTS!$C$32/100)^('Sheet7(F_23)'!$A30-Title_RESULTS!$H$7))/1000)+'f-11B'!$O29,+'f-11B'!$O29)))</f>
        <v>0</v>
      </c>
      <c r="K30" s="5">
        <f>IF(A30&gt;=(Title_RESULTS!$H$7+Title_RESULTS!$C$17),0,(SUM(G30:J30)))</f>
        <v>46548.68032457365</v>
      </c>
      <c r="L30" s="23">
        <f>IF(A30&gt;=(Title_RESULTS!$H$7+Title_RESULTS!$C$17),0,(+$K30-$F30))</f>
        <v>46548.68032457365</v>
      </c>
      <c r="M30" s="23">
        <f>IF(A30&gt;=(Title_RESULTS!$H$7+Title_RESULTS!$C$17),0,(+M29+$L30/(1+Title_RESULTS!$C$37)^('Sheet7(F_23)'!$A30-Title_RESULTS!$H$7)))</f>
        <v>179188.3694762385</v>
      </c>
    </row>
    <row r="31" spans="2:13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t="s">
        <v>87</v>
      </c>
      <c r="B32" s="5">
        <f aca="true" t="shared" si="1" ref="B32:L32">SUM(B16:B31)</f>
        <v>0</v>
      </c>
      <c r="C32" s="5">
        <f t="shared" si="1"/>
        <v>384.072</v>
      </c>
      <c r="D32" s="5">
        <f t="shared" si="1"/>
        <v>87380.31273828998</v>
      </c>
      <c r="E32" s="5">
        <f t="shared" si="1"/>
        <v>0</v>
      </c>
      <c r="F32" s="5">
        <f t="shared" si="1"/>
        <v>87764.38473828998</v>
      </c>
      <c r="G32" s="5">
        <f t="shared" si="1"/>
        <v>88266.77344600533</v>
      </c>
      <c r="H32" s="5">
        <f t="shared" si="1"/>
        <v>32865.779707066315</v>
      </c>
      <c r="I32" s="5">
        <f t="shared" si="1"/>
        <v>334457.2697058999</v>
      </c>
      <c r="J32" s="5">
        <f t="shared" si="1"/>
        <v>0</v>
      </c>
      <c r="K32" s="5">
        <f t="shared" si="1"/>
        <v>455589.82285897154</v>
      </c>
      <c r="L32" s="5">
        <f t="shared" si="1"/>
        <v>367825.4381206815</v>
      </c>
      <c r="M32" s="5"/>
    </row>
    <row r="33" spans="2:13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2.75">
      <c r="A34" t="s">
        <v>118</v>
      </c>
      <c r="B34" s="5">
        <f>NPV(Title_RESULTS!$C$37,'Sheet7(F_23)'!B17:B31)+'Sheet7(F_23)'!B16</f>
        <v>0</v>
      </c>
      <c r="C34" s="5">
        <f>NPV(Title_RESULTS!$C$37,'Sheet7(F_23)'!C17:C31)+'Sheet7(F_23)'!C16</f>
        <v>358.8491576370552</v>
      </c>
      <c r="D34" s="5">
        <f>NPV(Title_RESULTS!$C$37,'Sheet7(F_23)'!D17:D31)+'Sheet7(F_23)'!D16</f>
        <v>81645.494693291</v>
      </c>
      <c r="E34" s="5">
        <f>NPV(Title_RESULTS!$C$37,'Sheet7(F_23)'!E17:E31)+'Sheet7(F_23)'!E16</f>
        <v>0</v>
      </c>
      <c r="F34" s="5">
        <f>NPV(Title_RESULTS!$C$37,'Sheet7(F_23)'!F17:F31)+'Sheet7(F_23)'!F16</f>
        <v>82004.34385092805</v>
      </c>
      <c r="G34" s="5">
        <f>NPV(Title_RESULTS!$C$37,'Sheet7(F_23)'!G17:G31)+'Sheet7(F_23)'!G16</f>
        <v>49716.588113607024</v>
      </c>
      <c r="H34" s="5">
        <f>NPV(Title_RESULTS!$C$37,'Sheet7(F_23)'!H17:H31)+'Sheet7(F_23)'!H16</f>
        <v>19905.475423459284</v>
      </c>
      <c r="I34" s="5">
        <f>NPV(Title_RESULTS!$C$37,'Sheet7(F_23)'!I17:I31)+'Sheet7(F_23)'!I16</f>
        <v>191570.6497901002</v>
      </c>
      <c r="J34" s="5">
        <f>NPV(Title_RESULTS!$C$37,'Sheet7(F_23)'!J17:J31)+'Sheet7(F_23)'!J16</f>
        <v>0</v>
      </c>
      <c r="K34" s="5">
        <f>NPV(Title_RESULTS!$C$37,'Sheet7(F_23)'!K17:K31)+'Sheet7(F_23)'!K16</f>
        <v>261192.71332716654</v>
      </c>
      <c r="L34" s="5">
        <f>NPV(Title_RESULTS!$C$37,'Sheet7(F_23)'!L17:L31)+'Sheet7(F_23)'!L16</f>
        <v>179188.36947623844</v>
      </c>
      <c r="M34" s="5"/>
    </row>
    <row r="36" spans="1:8" ht="12.75">
      <c r="A36" t="s">
        <v>162</v>
      </c>
      <c r="C36">
        <f>+Title_RESULTS!C37</f>
        <v>0.0708</v>
      </c>
      <c r="D36" t="s">
        <v>163</v>
      </c>
      <c r="H36" s="10">
        <f>+K34/F34</f>
        <v>3.1851082645326305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Compressed Air Equipment</v>
      </c>
      <c r="L2" t="s">
        <v>55</v>
      </c>
    </row>
    <row r="3" ht="12.75">
      <c r="L3" s="35">
        <f>+Title_RESULTS!I4</f>
        <v>43599.32267337963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5664.201556401129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4843.16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10507.361556401129</v>
      </c>
      <c r="G16" s="5">
        <f>IF(A16&gt;=(Title_RESULTS!$H$7+Title_RESULTS!$C$17),0,(+'Sheet6(p_6)'!$H16))</f>
        <v>28467.01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28467.01</v>
      </c>
      <c r="K16" s="23">
        <f>IF(A16&gt;=(Title_RESULTS!$H$7+Title_RESULTS!$C$17),0,(+F16-J16))</f>
        <v>-17959.648443598868</v>
      </c>
      <c r="L16" s="23">
        <f>IF(A16&gt;=(Title_RESULTS!$H$7+Title_RESULTS!$C$17),0,(+$K16/((1+Title_RESULTS!$C$37)^('Sheet8(F_24)'!$A16-Title_RESULTS!$H$7))))</f>
        <v>-17959.648443598868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17414.57565319607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4843.16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22257.73565319607</v>
      </c>
      <c r="G17" s="5">
        <f>IF(A17&gt;=(Title_RESULTS!$H$7+Title_RESULTS!$C$17),0,(+'Sheet6(p_6)'!$H17))</f>
        <v>29121.751229999994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29121.751229999994</v>
      </c>
      <c r="K17" s="23">
        <f>IF(A17&gt;=(Title_RESULTS!$H$7+Title_RESULTS!$C$17),0,(+F17-J17))</f>
        <v>-6864.015576803926</v>
      </c>
      <c r="L17" s="23">
        <f>IF(A16&gt;=(Title_RESULTS!$H$7+Title_RESULTS!$C$17),0,(+$K17/((1+Title_RESULTS!$C$37)^('Sheet8(F_24)'!$A17-Title_RESULTS!$H$7))+L16))</f>
        <v>-24369.823618051545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29628.66959495176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4843.16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34471.82959495176</v>
      </c>
      <c r="G18" s="5">
        <f>IF(A18&gt;=(Title_RESULTS!$H$7+Title_RESULTS!$C$17),0,(+'Sheet6(p_6)'!$H18))</f>
        <v>29791.55150828999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29791.55150828999</v>
      </c>
      <c r="K18" s="23">
        <f>IF(A18&gt;=(Title_RESULTS!$H$7+Title_RESULTS!$C$17),0,(+F18-J18))</f>
        <v>4680.278086661772</v>
      </c>
      <c r="L18" s="23">
        <f>IF(A17&gt;=(Title_RESULTS!$H$7+Title_RESULTS!$C$17),0,(+$K18/((1+Title_RESULTS!$C$37)^('Sheet8(F_24)'!$A18-Title_RESULTS!$H$7))+L17))</f>
        <v>-20287.99343112654</v>
      </c>
      <c r="M18" s="5"/>
    </row>
    <row r="19" spans="1:13" ht="12.75">
      <c r="A19">
        <f aca="true" t="shared" si="0" ref="A19:A30">+A18+1</f>
        <v>2023</v>
      </c>
      <c r="B19" s="5">
        <f>IF(A19&gt;=(Title_RESULTS!$H$7+Title_RESULTS!$C$17),0,(+'Sheet6(p_6)'!N19-'Sheet6(p_6)'!R19))</f>
        <v>35644.91020748417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35644.91020748417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35644.91020748417</v>
      </c>
      <c r="L19" s="23">
        <f>IF(A18&gt;=(Title_RESULTS!$H$7+Title_RESULTS!$C$17),0,(+$K19/((1+Title_RESULTS!$C$37)^('Sheet8(F_24)'!$A19-Title_RESULTS!$H$7))+L18))</f>
        <v>8743.704567561428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36676.23472062811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36676.23472062811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36676.23472062811</v>
      </c>
      <c r="L20" s="23">
        <f>IF(A19&gt;=(Title_RESULTS!$H$7+Title_RESULTS!$C$17),0,(+$K20/((1+Title_RESULTS!$C$37)^('Sheet8(F_24)'!$A20-Title_RESULTS!$H$7))+L19))</f>
        <v>36640.305732286855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37766.51497527391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37766.51497527391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37766.51497527391</v>
      </c>
      <c r="L21" s="23">
        <f>IF(A20&gt;=(Title_RESULTS!$H$7+Title_RESULTS!$C$17),0,(+$K21/((1+Title_RESULTS!$C$37)^('Sheet8(F_24)'!$A21-Title_RESULTS!$H$7))+L20))</f>
        <v>63466.87265256044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38712.56071827088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38712.56071827088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38712.56071827088</v>
      </c>
      <c r="L22" s="23">
        <f>IF(A21&gt;=(Title_RESULTS!$H$7+Title_RESULTS!$C$17),0,(+$K22/((1+Title_RESULTS!$C$37)^('Sheet8(F_24)'!$A22-Title_RESULTS!$H$7))+L21))</f>
        <v>89147.26912741875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39924.331102294556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39924.331102294556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39924.331102294556</v>
      </c>
      <c r="L23" s="23">
        <f>IF(A22&gt;=(Title_RESULTS!$H$7+Title_RESULTS!$C$17),0,(+$K23/((1+Title_RESULTS!$C$37)^('Sheet8(F_24)'!$A23-Title_RESULTS!$H$7))+L22))</f>
        <v>113880.40088369405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41836.552373970655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41836.552373970655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41836.552373970655</v>
      </c>
      <c r="L24" s="23">
        <f>IF(A23&gt;=(Title_RESULTS!$H$7+Title_RESULTS!$C$17),0,(+$K24/((1+Title_RESULTS!$C$37)^('Sheet8(F_24)'!$A24-Title_RESULTS!$H$7))+L23))</f>
        <v>138084.50365528988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43055.66884535585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43055.66884535585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43055.66884535585</v>
      </c>
      <c r="L25" s="23">
        <f>IF(A24&gt;=(Title_RESULTS!$H$7+Title_RESULTS!$C$17),0,(+$K25/((1+Title_RESULTS!$C$37)^('Sheet8(F_24)'!$A25-Title_RESULTS!$H$7))+L24))</f>
        <v>161346.9335598019</v>
      </c>
      <c r="M25" s="5"/>
    </row>
    <row r="26" spans="1:13" ht="12.75">
      <c r="A26">
        <f t="shared" si="0"/>
        <v>2030</v>
      </c>
      <c r="B26" s="5">
        <f>IF(A26&gt;=(Title_RESULTS!$H$7+Title_RESULTS!$C$17),0,(+'Sheet6(p_6)'!N26-'Sheet6(p_6)'!R26))</f>
        <v>45121.15715462685</v>
      </c>
      <c r="C26" s="5">
        <f>IF(A26&gt;=(Title_RESULTS!$H$7+Title_RESULTS!$C$17),0,(IF(Partcipation!$B26=0,0,((Partcipation!$B26-Partcipation!$B25)*Title_RESULTS!$C$33*(1+Title_RESULTS!$C$35/100)^('Sheet8(F_24)'!$A26-Title_RESULTS!$H$7))/1000)))</f>
        <v>0</v>
      </c>
      <c r="D26" s="5">
        <f>IF(A26&gt;=(Title_RESULTS!$H$7+Title_RESULTS!$C$17),0,(+'Sheet6(p_6)'!$G26))</f>
        <v>0</v>
      </c>
      <c r="E26" s="5">
        <f>IF(A26&gt;=(Title_RESULTS!$H$7+Title_RESULTS!$C$17),0,(IF(Title_RESULTS!$C$31&lt;0,((Partcipation!$B25+(Partcipation!$B26-Partcipation!$B25)/2)*(ABS(Title_RESULTS!$C$31)*(1+Title_RESULTS!$C$32/100)^('Sheet6(p_6)'!$A26-Title_RESULTS!$H$7))/1000)+'f-11B'!$Q25,+'f-11B'!$Q25)))</f>
        <v>0</v>
      </c>
      <c r="F26" s="5">
        <f>IF(A26&gt;=(Title_RESULTS!$H$7+Title_RESULTS!$C$17),0,(SUM(B26:E26)))</f>
        <v>45121.15715462685</v>
      </c>
      <c r="G26" s="5">
        <f>IF(A26&gt;=(Title_RESULTS!$H$7+Title_RESULTS!$C$17),0,(+'Sheet6(p_6)'!$H26))</f>
        <v>0</v>
      </c>
      <c r="H26" s="5">
        <f>IF(A26&gt;=(Title_RESULTS!$H$7+Title_RESULTS!$C$17),0,(+'Sheet6(p_6)'!$I26))</f>
        <v>0</v>
      </c>
      <c r="I26" s="5">
        <f>IF(A26&gt;=(Title_RESULTS!$H$7+Title_RESULTS!$C$17),0,(+'f-11B'!$P25))</f>
        <v>0</v>
      </c>
      <c r="J26" s="5">
        <f>IF(A26&gt;=(Title_RESULTS!$H$7+Title_RESULTS!$C$17),0,(SUM(G26:I26)))</f>
        <v>0</v>
      </c>
      <c r="K26" s="23">
        <f>IF(A26&gt;=(Title_RESULTS!$H$7+Title_RESULTS!$C$17),0,(+F26-J26))</f>
        <v>45121.15715462685</v>
      </c>
      <c r="L26" s="23">
        <f>IF(A25&gt;=(Title_RESULTS!$H$7+Title_RESULTS!$C$17),0,(+$K26/((1+Title_RESULTS!$C$37)^('Sheet8(F_24)'!$A26-Title_RESULTS!$H$7))+L25))</f>
        <v>184113.4510704397</v>
      </c>
      <c r="M26" s="5"/>
    </row>
    <row r="27" spans="1:13" ht="12.75">
      <c r="A27">
        <f t="shared" si="0"/>
        <v>2031</v>
      </c>
      <c r="B27" s="5">
        <f>IF(A27&gt;=(Title_RESULTS!$H$7+Title_RESULTS!$C$17),0,(+'Sheet6(p_6)'!N27-'Sheet6(p_6)'!R27))</f>
        <v>46120.35217169167</v>
      </c>
      <c r="C27" s="5">
        <f>IF(A27&gt;=(Title_RESULTS!$H$7+Title_RESULTS!$C$17),0,(IF(Partcipation!$B27=0,0,((Partcipation!$B27-Partcipation!$B26)*Title_RESULTS!$C$33*(1+Title_RESULTS!$C$35/100)^('Sheet8(F_24)'!$A27-Title_RESULTS!$H$7))/1000)))</f>
        <v>0</v>
      </c>
      <c r="D27" s="5">
        <f>IF(A27&gt;=(Title_RESULTS!$H$7+Title_RESULTS!$C$17),0,(+'Sheet6(p_6)'!$G27))</f>
        <v>0</v>
      </c>
      <c r="E27" s="5">
        <f>IF(A27&gt;=(Title_RESULTS!$H$7+Title_RESULTS!$C$17),0,(IF(Title_RESULTS!$C$31&lt;0,((Partcipation!$B26+(Partcipation!$B27-Partcipation!$B26)/2)*(ABS(Title_RESULTS!$C$31)*(1+Title_RESULTS!$C$32/100)^('Sheet6(p_6)'!$A27-Title_RESULTS!$H$7))/1000)+'f-11B'!$Q26,+'f-11B'!$Q26)))</f>
        <v>0</v>
      </c>
      <c r="F27" s="5">
        <f>IF(A27&gt;=(Title_RESULTS!$H$7+Title_RESULTS!$C$17),0,(SUM(B27:E27)))</f>
        <v>46120.35217169167</v>
      </c>
      <c r="G27" s="5">
        <f>IF(A27&gt;=(Title_RESULTS!$H$7+Title_RESULTS!$C$17),0,(+'Sheet6(p_6)'!$H27))</f>
        <v>0</v>
      </c>
      <c r="H27" s="5">
        <f>IF(A27&gt;=(Title_RESULTS!$H$7+Title_RESULTS!$C$17),0,(+'Sheet6(p_6)'!$I27))</f>
        <v>0</v>
      </c>
      <c r="I27" s="5">
        <f>IF(A27&gt;=(Title_RESULTS!$H$7+Title_RESULTS!$C$17),0,(+'f-11B'!$P26))</f>
        <v>0</v>
      </c>
      <c r="J27" s="5">
        <f>IF(A27&gt;=(Title_RESULTS!$H$7+Title_RESULTS!$C$17),0,(SUM(G27:I27)))</f>
        <v>0</v>
      </c>
      <c r="K27" s="23">
        <f>IF(A27&gt;=(Title_RESULTS!$H$7+Title_RESULTS!$C$17),0,(+F27-J27))</f>
        <v>46120.35217169167</v>
      </c>
      <c r="L27" s="23">
        <f>IF(A26&gt;=(Title_RESULTS!$H$7+Title_RESULTS!$C$17),0,(+$K27/((1+Title_RESULTS!$C$37)^('Sheet8(F_24)'!$A27-Title_RESULTS!$H$7))+L26))</f>
        <v>205845.49765007914</v>
      </c>
      <c r="M27" s="5"/>
    </row>
    <row r="28" spans="1:13" ht="12.75">
      <c r="A28">
        <f t="shared" si="0"/>
        <v>2032</v>
      </c>
      <c r="B28" s="5">
        <f>IF(A28&gt;=(Title_RESULTS!$H$7+Title_RESULTS!$C$17),0,(+'Sheet6(p_6)'!N28-'Sheet6(p_6)'!R28))</f>
        <v>48002.69704671562</v>
      </c>
      <c r="C28" s="5">
        <f>IF(A28&gt;=(Title_RESULTS!$H$7+Title_RESULTS!$C$17),0,(IF(Partcipation!$B28=0,0,((Partcipation!$B28-Partcipation!$B27)*Title_RESULTS!$C$33*(1+Title_RESULTS!$C$35/100)^('Sheet8(F_24)'!$A28-Title_RESULTS!$H$7))/1000)))</f>
        <v>0</v>
      </c>
      <c r="D28" s="5">
        <f>IF(A28&gt;=(Title_RESULTS!$H$7+Title_RESULTS!$C$17),0,(+'Sheet6(p_6)'!$G28))</f>
        <v>0</v>
      </c>
      <c r="E28" s="5">
        <f>IF(A28&gt;=(Title_RESULTS!$H$7+Title_RESULTS!$C$17),0,(IF(Title_RESULTS!$C$31&lt;0,((Partcipation!$B27+(Partcipation!$B28-Partcipation!$B27)/2)*(ABS(Title_RESULTS!$C$31)*(1+Title_RESULTS!$C$32/100)^('Sheet6(p_6)'!$A28-Title_RESULTS!$H$7))/1000)+'f-11B'!$Q27,+'f-11B'!$Q27)))</f>
        <v>0</v>
      </c>
      <c r="F28" s="5">
        <f>IF(A28&gt;=(Title_RESULTS!$H$7+Title_RESULTS!$C$17),0,(SUM(B28:E28)))</f>
        <v>48002.69704671562</v>
      </c>
      <c r="G28" s="5">
        <f>IF(A28&gt;=(Title_RESULTS!$H$7+Title_RESULTS!$C$17),0,(+'Sheet6(p_6)'!$H28))</f>
        <v>0</v>
      </c>
      <c r="H28" s="5">
        <f>IF(A28&gt;=(Title_RESULTS!$H$7+Title_RESULTS!$C$17),0,(+'Sheet6(p_6)'!$I28))</f>
        <v>0</v>
      </c>
      <c r="I28" s="5">
        <f>IF(A28&gt;=(Title_RESULTS!$H$7+Title_RESULTS!$C$17),0,(+'f-11B'!$P27))</f>
        <v>0</v>
      </c>
      <c r="J28" s="5">
        <f>IF(A28&gt;=(Title_RESULTS!$H$7+Title_RESULTS!$C$17),0,(SUM(G28:I28)))</f>
        <v>0</v>
      </c>
      <c r="K28" s="23">
        <f>IF(A28&gt;=(Title_RESULTS!$H$7+Title_RESULTS!$C$17),0,(+F28-J28))</f>
        <v>48002.69704671562</v>
      </c>
      <c r="L28" s="23">
        <f>IF(A27&gt;=(Title_RESULTS!$H$7+Title_RESULTS!$C$17),0,(+$K28/((1+Title_RESULTS!$C$37)^('Sheet8(F_24)'!$A28-Title_RESULTS!$H$7))+L27))</f>
        <v>226968.9689438717</v>
      </c>
      <c r="M28" s="5"/>
    </row>
    <row r="29" spans="1:13" ht="12.75">
      <c r="A29">
        <f t="shared" si="0"/>
        <v>2033</v>
      </c>
      <c r="B29" s="5">
        <f>IF(A29&gt;=(Title_RESULTS!$H$7+Title_RESULTS!$C$17),0,(+'Sheet6(p_6)'!N29-'Sheet6(p_6)'!R29))</f>
        <v>48755.09874389994</v>
      </c>
      <c r="C29" s="5">
        <f>IF(A29&gt;=(Title_RESULTS!$H$7+Title_RESULTS!$C$17),0,(IF(Partcipation!$B29=0,0,((Partcipation!$B29-Partcipation!$B28)*Title_RESULTS!$C$33*(1+Title_RESULTS!$C$35/100)^('Sheet8(F_24)'!$A29-Title_RESULTS!$H$7))/1000)))</f>
        <v>0</v>
      </c>
      <c r="D29" s="5">
        <f>IF(A29&gt;=(Title_RESULTS!$H$7+Title_RESULTS!$C$17),0,(+'Sheet6(p_6)'!$G29))</f>
        <v>0</v>
      </c>
      <c r="E29" s="5">
        <f>IF(A29&gt;=(Title_RESULTS!$H$7+Title_RESULTS!$C$17),0,(IF(Title_RESULTS!$C$31&lt;0,((Partcipation!$B28+(Partcipation!$B29-Partcipation!$B28)/2)*(ABS(Title_RESULTS!$C$31)*(1+Title_RESULTS!$C$32/100)^('Sheet6(p_6)'!$A29-Title_RESULTS!$H$7))/1000)+'f-11B'!$Q28,+'f-11B'!$Q28)))</f>
        <v>0</v>
      </c>
      <c r="F29" s="5">
        <f>IF(A29&gt;=(Title_RESULTS!$H$7+Title_RESULTS!$C$17),0,(SUM(B29:E29)))</f>
        <v>48755.09874389994</v>
      </c>
      <c r="G29" s="5">
        <f>IF(A29&gt;=(Title_RESULTS!$H$7+Title_RESULTS!$C$17),0,(+'Sheet6(p_6)'!$H29))</f>
        <v>0</v>
      </c>
      <c r="H29" s="5">
        <f>IF(A29&gt;=(Title_RESULTS!$H$7+Title_RESULTS!$C$17),0,(+'Sheet6(p_6)'!$I29))</f>
        <v>0</v>
      </c>
      <c r="I29" s="5">
        <f>IF(A29&gt;=(Title_RESULTS!$H$7+Title_RESULTS!$C$17),0,(+'f-11B'!$P28))</f>
        <v>0</v>
      </c>
      <c r="J29" s="5">
        <f>IF(A29&gt;=(Title_RESULTS!$H$7+Title_RESULTS!$C$17),0,(SUM(G29:I29)))</f>
        <v>0</v>
      </c>
      <c r="K29" s="23">
        <f>IF(A29&gt;=(Title_RESULTS!$H$7+Title_RESULTS!$C$17),0,(+F29-J29))</f>
        <v>48755.09874389994</v>
      </c>
      <c r="L29" s="23">
        <f>IF(A28&gt;=(Title_RESULTS!$H$7+Title_RESULTS!$C$17),0,(+$K29/((1+Title_RESULTS!$C$37)^('Sheet8(F_24)'!$A29-Title_RESULTS!$H$7))+L28))</f>
        <v>247004.98299843035</v>
      </c>
      <c r="M29" s="5"/>
    </row>
    <row r="30" spans="1:13" ht="12.75">
      <c r="A30">
        <f t="shared" si="0"/>
        <v>2034</v>
      </c>
      <c r="B30" s="5">
        <f>IF(A30&gt;=(Title_RESULTS!$H$7+Title_RESULTS!$C$17),0,(+'Sheet6(p_6)'!N30-'Sheet6(p_6)'!R30))</f>
        <v>50662.67939425941</v>
      </c>
      <c r="C30" s="5">
        <f>IF(A30&gt;=(Title_RESULTS!$H$7+Title_RESULTS!$C$17),0,(IF(Partcipation!$B30=0,0,((Partcipation!$B30-Partcipation!$B29)*Title_RESULTS!$C$33*(1+Title_RESULTS!$C$35/100)^('Sheet8(F_24)'!$A30-Title_RESULTS!$H$7))/1000)))</f>
        <v>0</v>
      </c>
      <c r="D30" s="5">
        <f>IF(A30&gt;=(Title_RESULTS!$H$7+Title_RESULTS!$C$17),0,(+'Sheet6(p_6)'!$G30))</f>
        <v>0</v>
      </c>
      <c r="E30" s="5">
        <f>IF(A30&gt;=(Title_RESULTS!$H$7+Title_RESULTS!$C$17),0,(IF(Title_RESULTS!$C$31&lt;0,((Partcipation!$B29+(Partcipation!$B30-Partcipation!$B29)/2)*(ABS(Title_RESULTS!$C$31)*(1+Title_RESULTS!$C$32/100)^('Sheet6(p_6)'!$A30-Title_RESULTS!$H$7))/1000)+'f-11B'!$Q29,+'f-11B'!$Q29)))</f>
        <v>0</v>
      </c>
      <c r="F30" s="5">
        <f>IF(A30&gt;=(Title_RESULTS!$H$7+Title_RESULTS!$C$17),0,(SUM(B30:E30)))</f>
        <v>50662.67939425941</v>
      </c>
      <c r="G30" s="5">
        <f>IF(A30&gt;=(Title_RESULTS!$H$7+Title_RESULTS!$C$17),0,(+'Sheet6(p_6)'!$H30))</f>
        <v>0</v>
      </c>
      <c r="H30" s="5">
        <f>IF(A30&gt;=(Title_RESULTS!$H$7+Title_RESULTS!$C$17),0,(+'Sheet6(p_6)'!$I30))</f>
        <v>0</v>
      </c>
      <c r="I30" s="5">
        <f>IF(A30&gt;=(Title_RESULTS!$H$7+Title_RESULTS!$C$17),0,(+'f-11B'!$P29))</f>
        <v>0</v>
      </c>
      <c r="J30" s="5">
        <f>IF(A30&gt;=(Title_RESULTS!$H$7+Title_RESULTS!$C$17),0,(SUM(G30:I30)))</f>
        <v>0</v>
      </c>
      <c r="K30" s="23">
        <f>IF(A30&gt;=(Title_RESULTS!$H$7+Title_RESULTS!$C$17),0,(+F30-J30))</f>
        <v>50662.67939425941</v>
      </c>
      <c r="L30" s="23">
        <f>IF(A29&gt;=(Title_RESULTS!$H$7+Title_RESULTS!$C$17),0,(+$K30/((1+Title_RESULTS!$C$37)^('Sheet8(F_24)'!$A30-Title_RESULTS!$H$7))+L29))</f>
        <v>266448.3323437684</v>
      </c>
      <c r="M30" s="5"/>
    </row>
    <row r="31" spans="2:13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t="s">
        <v>87</v>
      </c>
      <c r="B32" s="5">
        <f aca="true" t="shared" si="1" ref="B32:K32">SUM(B16:B31)</f>
        <v>564986.2042590207</v>
      </c>
      <c r="C32" s="5">
        <f t="shared" si="1"/>
        <v>0</v>
      </c>
      <c r="D32" s="5">
        <f t="shared" si="1"/>
        <v>14529.48</v>
      </c>
      <c r="E32" s="5">
        <f t="shared" si="1"/>
        <v>0</v>
      </c>
      <c r="F32" s="5">
        <f t="shared" si="1"/>
        <v>579515.6842590207</v>
      </c>
      <c r="G32" s="5">
        <f t="shared" si="1"/>
        <v>87380.31273828998</v>
      </c>
      <c r="H32" s="5">
        <f t="shared" si="1"/>
        <v>0</v>
      </c>
      <c r="I32" s="5">
        <f t="shared" si="1"/>
        <v>0</v>
      </c>
      <c r="J32" s="5">
        <f t="shared" si="1"/>
        <v>87380.31273828998</v>
      </c>
      <c r="K32" s="5">
        <f t="shared" si="1"/>
        <v>492135.3715207306</v>
      </c>
      <c r="L32" s="5"/>
      <c r="M32" s="5"/>
    </row>
    <row r="33" ht="12.75">
      <c r="M33" s="5"/>
    </row>
    <row r="34" spans="1:13" ht="12.75">
      <c r="A34" t="s">
        <v>118</v>
      </c>
      <c r="B34" s="5">
        <f>NPV(Title_RESULTS!$C$37,'Sheet8(F_24)'!B17:B31)+'Sheet8(F_24)'!B16</f>
        <v>334503.84585427534</v>
      </c>
      <c r="C34" s="5">
        <f>NPV(Title_RESULTS!$C$37,'Sheet8(F_24)'!C17:C31)+'Sheet8(F_24)'!C16</f>
        <v>0</v>
      </c>
      <c r="D34" s="5">
        <f>NPV(Title_RESULTS!$C$37,'Sheet8(F_24)'!D17:D31)+'Sheet8(F_24)'!D16</f>
        <v>13589.9811827841</v>
      </c>
      <c r="E34" s="5">
        <f>NPV(Title_RESULTS!$C$37,'Sheet8(F_24)'!E17:E31)+'Sheet8(F_24)'!E16</f>
        <v>0</v>
      </c>
      <c r="F34" s="5">
        <f>NPV(Title_RESULTS!$C$37,'Sheet8(F_24)'!F17:F31)+'Sheet8(F_24)'!F16</f>
        <v>348093.8270370594</v>
      </c>
      <c r="G34" s="5">
        <f>NPV(Title_RESULTS!$C$37,'Sheet8(F_24)'!G17:G31)+'Sheet8(F_24)'!G16</f>
        <v>81645.494693291</v>
      </c>
      <c r="H34" s="5">
        <f>NPV(Title_RESULTS!$C$37,'Sheet8(F_24)'!H17:H31)+'Sheet8(F_24)'!H16</f>
        <v>0</v>
      </c>
      <c r="I34" s="5">
        <f>NPV(Title_RESULTS!$C$37,'Sheet8(F_24)'!I17:I31)+'Sheet8(F_24)'!I16</f>
        <v>0</v>
      </c>
      <c r="J34" s="5">
        <f>NPV(Title_RESULTS!$C$37,'Sheet8(F_24)'!J17:J31)+'Sheet8(F_24)'!J16</f>
        <v>81645.494693291</v>
      </c>
      <c r="K34" s="5">
        <f>NPV(Title_RESULTS!$C$37,'Sheet8(F_24)'!K17:K31)+'Sheet8(F_24)'!K16</f>
        <v>266448.3323437683</v>
      </c>
      <c r="L34" s="5"/>
      <c r="M34" s="5"/>
    </row>
    <row r="35" spans="2:12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1" ht="12.75">
      <c r="A36" t="s">
        <v>174</v>
      </c>
      <c r="D36">
        <f>+Title_RESULTS!H8</f>
        <v>2023</v>
      </c>
      <c r="F36">
        <f>+F34/J34</f>
        <v>4.263478693401353</v>
      </c>
      <c r="K36" s="10"/>
    </row>
    <row r="37" spans="1:10" ht="12.75">
      <c r="A37" t="s">
        <v>175</v>
      </c>
      <c r="D37">
        <f>+Title_RESULTS!C37</f>
        <v>0.0708</v>
      </c>
      <c r="J37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Compressed Air Equipment</v>
      </c>
      <c r="N2" t="s">
        <v>55</v>
      </c>
    </row>
    <row r="3" ht="12.75">
      <c r="N3" s="35">
        <f>+Title_RESULTS!I4</f>
        <v>43599.32267337963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125</v>
      </c>
      <c r="D16" s="5">
        <f>IF(A16&gt;=(Title_RESULTS!$H$7+Title_RESULTS!$C$17),0,(+'Sheet6(p_6)'!$G16))</f>
        <v>4843.16</v>
      </c>
      <c r="E16" s="5">
        <f>+'Sheet6(p_6)'!M16</f>
        <v>3429.37332</v>
      </c>
      <c r="F16">
        <f>IF(A16&gt;=(Title_RESULTS!$H$7+Title_RESULTS!$C$17),0,(+'f-11B'!$R15))</f>
        <v>0</v>
      </c>
      <c r="G16" s="5">
        <f>IF(A16&gt;=(Title_RESULTS!$H$7+Title_RESULTS!$C$17),0,(SUM(B16:F16)))</f>
        <v>8397.53332</v>
      </c>
      <c r="H16" s="5">
        <f>IF(A16&gt;=(Title_RESULTS!$H$7+Title_RESULTS!$C$17),0,(+'Sheet3(F_21)'!$J16+'Sheet4(F_22)'!$H16))</f>
        <v>2808.731426000861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2808.731426000861</v>
      </c>
      <c r="M16" s="23">
        <f>IF(A16&gt;=(Title_RESULTS!$H$7+Title_RESULTS!$C$17),0,(+L16-G16))</f>
        <v>-5588.80189399914</v>
      </c>
      <c r="N16" s="24">
        <f>IF(A16&gt;=(Title_RESULTS!$H$7+Title_RESULTS!$C$17),0,(+$M16/((1+Title_RESULTS!$C$37)^('Sheet9(F_25)'!$A16-Title_RESULTS!$H$7))))</f>
        <v>-5588.80189399914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128</v>
      </c>
      <c r="D17" s="5">
        <f>IF(A17&gt;=(Title_RESULTS!$H$7+Title_RESULTS!$C$17),0,(+'Sheet6(p_6)'!$G17))</f>
        <v>4843.16</v>
      </c>
      <c r="E17" s="5">
        <f>+'Sheet6(p_6)'!M17</f>
        <v>10391.0011596</v>
      </c>
      <c r="F17">
        <f>IF(A17&gt;=(Title_RESULTS!$H$7+Title_RESULTS!$C$17),0,(+'f-11B'!$R16))</f>
        <v>0</v>
      </c>
      <c r="G17" s="5">
        <f>IF(A17&gt;=(Title_RESULTS!$H$7+Title_RESULTS!$C$17),0,(SUM(B17:F17)))</f>
        <v>15362.1611596</v>
      </c>
      <c r="H17" s="5">
        <f>IF(A17&gt;=(Title_RESULTS!$H$7+Title_RESULTS!$C$17),0,(+'Sheet3(F_21)'!$J17+'Sheet4(F_22)'!$H17))</f>
        <v>8357.656850760071</v>
      </c>
      <c r="I17" s="5">
        <f>IF(A17&gt;=(Title_RESULTS!$H$7+Title_RESULTS!$C$17),0,(+'Sheet4(F_22)'!$D17+'Sheet4(F_22)'!$G17))</f>
        <v>2003.0105979300101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10360.667448690081</v>
      </c>
      <c r="M17" s="23">
        <f>IF(A17&gt;=(Title_RESULTS!$H$7+Title_RESULTS!$C$17),0,(+L17-G17))</f>
        <v>-5001.493710909919</v>
      </c>
      <c r="N17" s="24">
        <f>(IF(A16&gt;=(Title_RESULTS!$H$7+Title_RESULTS!$C$17),0,(+$M17/((1+Title_RESULTS!$C$37)^('Sheet9(F_25)'!$A17-Title_RESULTS!$H$7))+N16)))</f>
        <v>-10259.60289410179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131.072</v>
      </c>
      <c r="D18" s="5">
        <f>IF(A18&gt;=(Title_RESULTS!$H$7+Title_RESULTS!$C$17),0,(+'Sheet6(p_6)'!$G18))</f>
        <v>4843.16</v>
      </c>
      <c r="E18" s="5">
        <f>+'Sheet6(p_6)'!M18</f>
        <v>17491.518618659997</v>
      </c>
      <c r="F18">
        <f>IF(A18&gt;=(Title_RESULTS!$H$7+Title_RESULTS!$C$17),0,(+'f-11B'!$R17))</f>
        <v>0</v>
      </c>
      <c r="G18" s="5">
        <f>IF(A18&gt;=(Title_RESULTS!$H$7+Title_RESULTS!$C$17),0,(SUM(B18:F18)))</f>
        <v>22465.750618659997</v>
      </c>
      <c r="H18" s="5">
        <f>IF(A18&gt;=(Title_RESULTS!$H$7+Title_RESULTS!$C$17),0,(+'Sheet3(F_21)'!$J18+'Sheet4(F_22)'!$H18))</f>
        <v>14376.102113557985</v>
      </c>
      <c r="I18" s="5">
        <f>IF(A18&gt;=(Title_RESULTS!$H$7+Title_RESULTS!$C$17),0,(+'Sheet4(F_22)'!$D18+'Sheet4(F_22)'!$G18))</f>
        <v>2051.0828522803304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16427.184965838314</v>
      </c>
      <c r="M18" s="23">
        <f>IF(A18&gt;=(Title_RESULTS!$H$7+Title_RESULTS!$C$17),0,(+L18-G18))</f>
        <v>-6038.565652821682</v>
      </c>
      <c r="N18" s="24">
        <f>(IF(A17&gt;=(Title_RESULTS!$H$7+Title_RESULTS!$C$17),0,(+$M18/((1+Title_RESULTS!$C$37)^('Sheet9(F_25)'!$A18-Title_RESULTS!$H$7))+N17)))</f>
        <v>-15526.042005414642</v>
      </c>
    </row>
    <row r="19" spans="1:14" ht="12.75">
      <c r="A19">
        <f aca="true" t="shared" si="0" ref="A19:A30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21199.72056581592</v>
      </c>
      <c r="F19">
        <f>IF(A19&gt;=(Title_RESULTS!$H$7+Title_RESULTS!$C$17),0,(+'f-11B'!$R18))</f>
        <v>0</v>
      </c>
      <c r="G19" s="5">
        <f>IF(A19&gt;=(Title_RESULTS!$H$7+Title_RESULTS!$C$17),0,(SUM(B19:F19)))</f>
        <v>21199.72056581592</v>
      </c>
      <c r="H19" s="5">
        <f>IF(A19&gt;=(Title_RESULTS!$H$7+Title_RESULTS!$C$17),0,(+'Sheet3(F_21)'!$J19+'Sheet4(F_22)'!$H19))</f>
        <v>24320.831416652585</v>
      </c>
      <c r="I19" s="5">
        <f>IF(A19&gt;=(Title_RESULTS!$H$7+Title_RESULTS!$C$17),0,(+'Sheet4(F_22)'!$D19+'Sheet4(F_22)'!$G19))</f>
        <v>2100.3088407350583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26421.140257387644</v>
      </c>
      <c r="M19" s="23">
        <f>IF(A19&gt;=(Title_RESULTS!$H$7+Title_RESULTS!$C$17),0,(+L19-G19))</f>
        <v>5221.419691571726</v>
      </c>
      <c r="N19" s="24">
        <f>(IF(A18&gt;=(Title_RESULTS!$H$7+Title_RESULTS!$C$17),0,(+$M19/((1+Title_RESULTS!$C$37)^('Sheet9(F_25)'!$A19-Title_RESULTS!$H$7))+N18)))</f>
        <v>-11273.35406966877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21411.71777147408</v>
      </c>
      <c r="F20">
        <f>IF(A20&gt;=(Title_RESULTS!$H$7+Title_RESULTS!$C$17),0,(+'f-11B'!$R19))</f>
        <v>0</v>
      </c>
      <c r="G20" s="5">
        <f>IF(A20&gt;=(Title_RESULTS!$H$7+Title_RESULTS!$C$17),0,(SUM(B20:F20)))</f>
        <v>21411.71777147408</v>
      </c>
      <c r="H20" s="5">
        <f>IF(A20&gt;=(Title_RESULTS!$H$7+Title_RESULTS!$C$17),0,(+'Sheet3(F_21)'!$J20+'Sheet4(F_22)'!$H20))</f>
        <v>25196.189645530918</v>
      </c>
      <c r="I20" s="5">
        <f>IF(A20&gt;=(Title_RESULTS!$H$7+Title_RESULTS!$C$17),0,(+'Sheet4(F_22)'!$D20+'Sheet4(F_22)'!$G20))</f>
        <v>2150.7162529127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27346.90589844362</v>
      </c>
      <c r="M20" s="23">
        <f>IF(A20&gt;=(Title_RESULTS!$H$7+Title_RESULTS!$C$17),0,(+L20-G20))</f>
        <v>5935.1881269695405</v>
      </c>
      <c r="N20" s="24">
        <f>(IF(A19&gt;=(Title_RESULTS!$H$7+Title_RESULTS!$C$17),0,(+$M20/((1+Title_RESULTS!$C$37)^('Sheet9(F_25)'!$A20-Title_RESULTS!$H$7))+N19)))</f>
        <v>-6758.943654398981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21625.83494918882</v>
      </c>
      <c r="F21">
        <f>IF(A21&gt;=(Title_RESULTS!$H$7+Title_RESULTS!$C$17),0,(+'f-11B'!$R20))</f>
        <v>0</v>
      </c>
      <c r="G21" s="5">
        <f>IF(A21&gt;=(Title_RESULTS!$H$7+Title_RESULTS!$C$17),0,(SUM(B21:F21)))</f>
        <v>21625.83494918882</v>
      </c>
      <c r="H21" s="5">
        <f>IF(A21&gt;=(Title_RESULTS!$H$7+Title_RESULTS!$C$17),0,(+'Sheet3(F_21)'!$J21+'Sheet4(F_22)'!$H21))</f>
        <v>26757.34511678716</v>
      </c>
      <c r="I21" s="5">
        <f>IF(A21&gt;=(Title_RESULTS!$H$7+Title_RESULTS!$C$17),0,(+'Sheet4(F_22)'!$D21+'Sheet4(F_22)'!$G21))</f>
        <v>2202.3334429826045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28959.678559769767</v>
      </c>
      <c r="M21" s="23">
        <f>IF(A21&gt;=(Title_RESULTS!$H$7+Title_RESULTS!$C$17),0,(+L21-G21))</f>
        <v>7333.843610580949</v>
      </c>
      <c r="N21" s="24">
        <f>(IF(A20&gt;=(Title_RESULTS!$H$7+Title_RESULTS!$C$17),0,(+$M21/((1+Title_RESULTS!$C$37)^('Sheet9(F_25)'!$A21-Title_RESULTS!$H$7))+N20)))</f>
        <v>-1549.518147944932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21842.09329868071</v>
      </c>
      <c r="F22">
        <f>IF(A22&gt;=(Title_RESULTS!$H$7+Title_RESULTS!$C$17),0,(+'f-11B'!$R21))</f>
        <v>0</v>
      </c>
      <c r="G22" s="5">
        <f>IF(A22&gt;=(Title_RESULTS!$H$7+Title_RESULTS!$C$17),0,(SUM(B22:F22)))</f>
        <v>21842.09329868071</v>
      </c>
      <c r="H22" s="5">
        <f>IF(A22&gt;=(Title_RESULTS!$H$7+Title_RESULTS!$C$17),0,(+'Sheet3(F_21)'!$J22+'Sheet4(F_22)'!$H22))</f>
        <v>27607.97413917956</v>
      </c>
      <c r="I22" s="5">
        <f>IF(A22&gt;=(Title_RESULTS!$H$7+Title_RESULTS!$C$17),0,(+'Sheet4(F_22)'!$D22+'Sheet4(F_22)'!$G22))</f>
        <v>2255.189445614187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29863.16358479375</v>
      </c>
      <c r="M22" s="23">
        <f>IF(A22&gt;=(Title_RESULTS!$H$7+Title_RESULTS!$C$17),0,(+L22-G22))</f>
        <v>8021.070286113041</v>
      </c>
      <c r="N22" s="24">
        <f>(IF(A21&gt;=(Title_RESULTS!$H$7+Title_RESULTS!$C$17),0,(+$M22/((1+Title_RESULTS!$C$37)^('Sheet9(F_25)'!$A22-Title_RESULTS!$H$7))+N21)))</f>
        <v>3771.345708081809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22060.514231667512</v>
      </c>
      <c r="F23">
        <f>IF(A23&gt;=(Title_RESULTS!$H$7+Title_RESULTS!$C$17),0,(+'f-11B'!$R22))</f>
        <v>0</v>
      </c>
      <c r="G23" s="5">
        <f>IF(A23&gt;=(Title_RESULTS!$H$7+Title_RESULTS!$C$17),0,(SUM(B23:F23)))</f>
        <v>22060.514231667512</v>
      </c>
      <c r="H23" s="5">
        <f>IF(A23&gt;=(Title_RESULTS!$H$7+Title_RESULTS!$C$17),0,(+'Sheet3(F_21)'!$J23+'Sheet4(F_22)'!$H23))</f>
        <v>29086.992895202984</v>
      </c>
      <c r="I23" s="5">
        <f>IF(A23&gt;=(Title_RESULTS!$H$7+Title_RESULTS!$C$17),0,(+'Sheet4(F_22)'!$D23+'Sheet4(F_22)'!$G23))</f>
        <v>2309.3139923089275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31396.306887511913</v>
      </c>
      <c r="M23" s="23">
        <f>IF(A23&gt;=(Title_RESULTS!$H$7+Title_RESULTS!$C$17),0,(+L23-G23))</f>
        <v>9335.792655844401</v>
      </c>
      <c r="N23" s="24">
        <f>(IF(A22&gt;=(Title_RESULTS!$H$7+Title_RESULTS!$C$17),0,(+$M23/((1+Title_RESULTS!$C$37)^('Sheet9(F_25)'!$A23-Title_RESULTS!$H$7))+N22)))</f>
        <v>9554.87127835733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22281.11937398419</v>
      </c>
      <c r="F24">
        <f>IF(A24&gt;=(Title_RESULTS!$H$7+Title_RESULTS!$C$17),0,(+'f-11B'!$R23))</f>
        <v>0</v>
      </c>
      <c r="G24" s="5">
        <f>IF(A24&gt;=(Title_RESULTS!$H$7+Title_RESULTS!$C$17),0,(SUM(B24:F24)))</f>
        <v>22281.11937398419</v>
      </c>
      <c r="H24" s="5">
        <f>IF(A24&gt;=(Title_RESULTS!$H$7+Title_RESULTS!$C$17),0,(+'Sheet3(F_21)'!$J24+'Sheet4(F_22)'!$H24))</f>
        <v>31578.110351303356</v>
      </c>
      <c r="I24" s="5">
        <f>IF(A24&gt;=(Title_RESULTS!$H$7+Title_RESULTS!$C$17),0,(+'Sheet4(F_22)'!$D24+'Sheet4(F_22)'!$G24))</f>
        <v>2364.737528124341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33942.847879427696</v>
      </c>
      <c r="M24" s="23">
        <f>IF(A24&gt;=(Title_RESULTS!$H$7+Title_RESULTS!$C$17),0,(+L24-G24))</f>
        <v>11661.728505443505</v>
      </c>
      <c r="N24" s="24">
        <f>(IF(A23&gt;=(Title_RESULTS!$H$7+Title_RESULTS!$C$17),0,(+$M24/((1+Title_RESULTS!$C$37)^('Sheet9(F_25)'!$A24-Title_RESULTS!$H$7))+N23)))</f>
        <v>16301.64316140134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22503.930567724034</v>
      </c>
      <c r="F25">
        <f>IF(A25&gt;=(Title_RESULTS!$H$7+Title_RESULTS!$C$17),0,(+'f-11B'!$R24))</f>
        <v>0</v>
      </c>
      <c r="G25" s="5">
        <f>IF(A25&gt;=(Title_RESULTS!$H$7+Title_RESULTS!$C$17),0,(SUM(B25:F25)))</f>
        <v>22503.930567724034</v>
      </c>
      <c r="H25" s="5">
        <f>IF(A25&gt;=(Title_RESULTS!$H$7+Title_RESULTS!$C$17),0,(+'Sheet3(F_21)'!$J25+'Sheet4(F_22)'!$H25))</f>
        <v>33512.242162411705</v>
      </c>
      <c r="I25" s="5">
        <f>IF(A25&gt;=(Title_RESULTS!$H$7+Title_RESULTS!$C$17),0,(+'Sheet4(F_22)'!$D25+'Sheet4(F_22)'!$G25))</f>
        <v>2421.4912287993257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35933.73339121103</v>
      </c>
      <c r="M25" s="23">
        <f>IF(A25&gt;=(Title_RESULTS!$H$7+Title_RESULTS!$C$17),0,(+L25-G25))</f>
        <v>13429.802823487</v>
      </c>
      <c r="N25" s="24">
        <f>(IF(A24&gt;=(Title_RESULTS!$H$7+Title_RESULTS!$C$17),0,(+$M25/((1+Title_RESULTS!$C$37)^('Sheet9(F_25)'!$A25-Title_RESULTS!$H$7))+N24)))</f>
        <v>23557.594704852545</v>
      </c>
    </row>
    <row r="26" spans="1:14" ht="12.75">
      <c r="A26">
        <f t="shared" si="0"/>
        <v>2030</v>
      </c>
      <c r="B26" s="5">
        <f>IF(A26&gt;=(Title_RESULTS!$H$7+Title_RESULTS!$C$17),0,(+'Sheet7(F_23)'!$B26))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IF(A26&gt;=(Title_RESULTS!$H$7+Title_RESULTS!$C$17),0,(+'Sheet6(p_6)'!$G26))</f>
        <v>0</v>
      </c>
      <c r="E26" s="5">
        <f>+'Sheet6(p_6)'!M26</f>
        <v>22728.969873401278</v>
      </c>
      <c r="F26">
        <f>IF(A26&gt;=(Title_RESULTS!$H$7+Title_RESULTS!$C$17),0,(+'f-11B'!$R25))</f>
        <v>0</v>
      </c>
      <c r="G26" s="5">
        <f>IF(A26&gt;=(Title_RESULTS!$H$7+Title_RESULTS!$C$17),0,(SUM(B26:F26)))</f>
        <v>22728.969873401278</v>
      </c>
      <c r="H26" s="5">
        <f>IF(A26&gt;=(Title_RESULTS!$H$7+Title_RESULTS!$C$17),0,(+'Sheet3(F_21)'!$J26+'Sheet4(F_22)'!$H26))</f>
        <v>36682.117733181934</v>
      </c>
      <c r="I26" s="5">
        <f>IF(A26&gt;=(Title_RESULTS!$H$7+Title_RESULTS!$C$17),0,(+'Sheet4(F_22)'!$D26+'Sheet4(F_22)'!$G26))</f>
        <v>2479.6070182905096</v>
      </c>
      <c r="J26" s="5">
        <f>IF(A26&gt;=(Title_RESULTS!$H$7+Title_RESULTS!$C$17),0,(+'Sheet6(p_6)'!$R26))</f>
        <v>0</v>
      </c>
      <c r="K26" s="9">
        <f>IF(A26&gt;=(Title_RESULTS!$H$7+Title_RESULTS!$C$17),0,(+'f-11B'!$S25))</f>
        <v>0</v>
      </c>
      <c r="L26" s="5">
        <f>IF(A26&gt;=(Title_RESULTS!$H$7+Title_RESULTS!$C$17),0,(SUM(H26:K26)))</f>
        <v>39161.724751472444</v>
      </c>
      <c r="M26" s="23">
        <f>IF(A26&gt;=(Title_RESULTS!$H$7+Title_RESULTS!$C$17),0,(+L26-G26))</f>
        <v>16432.754878071166</v>
      </c>
      <c r="N26" s="24">
        <f>(IF(A25&gt;=(Title_RESULTS!$H$7+Title_RESULTS!$C$17),0,(+$M26/((1+Title_RESULTS!$C$37)^('Sheet9(F_25)'!$A26-Title_RESULTS!$H$7))+N25)))</f>
        <v>31848.973412130734</v>
      </c>
    </row>
    <row r="27" spans="1:14" ht="12.75">
      <c r="A27">
        <f t="shared" si="0"/>
        <v>2031</v>
      </c>
      <c r="B27" s="5">
        <f>IF(A27&gt;=(Title_RESULTS!$H$7+Title_RESULTS!$C$17),0,(+'Sheet7(F_23)'!$B27))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IF(A27&gt;=(Title_RESULTS!$H$7+Title_RESULTS!$C$17),0,(+'Sheet6(p_6)'!$G27))</f>
        <v>0</v>
      </c>
      <c r="E27" s="5">
        <f>+'Sheet6(p_6)'!M27</f>
        <v>22956.259572135285</v>
      </c>
      <c r="F27">
        <f>IF(A27&gt;=(Title_RESULTS!$H$7+Title_RESULTS!$C$17),0,(+'f-11B'!$R26))</f>
        <v>0</v>
      </c>
      <c r="G27" s="5">
        <f>IF(A27&gt;=(Title_RESULTS!$H$7+Title_RESULTS!$C$17),0,(SUM(B27:F27)))</f>
        <v>22956.259572135285</v>
      </c>
      <c r="H27" s="5">
        <f>IF(A27&gt;=(Title_RESULTS!$H$7+Title_RESULTS!$C$17),0,(+'Sheet3(F_21)'!$J27+'Sheet4(F_22)'!$H27))</f>
        <v>36834.083497399486</v>
      </c>
      <c r="I27" s="5">
        <f>IF(A27&gt;=(Title_RESULTS!$H$7+Title_RESULTS!$C$17),0,(+'Sheet4(F_22)'!$D27+'Sheet4(F_22)'!$G27))</f>
        <v>2539.1175867294824</v>
      </c>
      <c r="J27" s="5">
        <f>IF(A27&gt;=(Title_RESULTS!$H$7+Title_RESULTS!$C$17),0,(+'Sheet6(p_6)'!$R27))</f>
        <v>0</v>
      </c>
      <c r="K27" s="9">
        <f>IF(A27&gt;=(Title_RESULTS!$H$7+Title_RESULTS!$C$17),0,(+'f-11B'!$S26))</f>
        <v>0</v>
      </c>
      <c r="L27" s="5">
        <f>IF(A27&gt;=(Title_RESULTS!$H$7+Title_RESULTS!$C$17),0,(SUM(H27:K27)))</f>
        <v>39373.20108412897</v>
      </c>
      <c r="M27" s="23">
        <f>IF(A27&gt;=(Title_RESULTS!$H$7+Title_RESULTS!$C$17),0,(+L27-G27))</f>
        <v>16416.941511993682</v>
      </c>
      <c r="N27" s="24">
        <f>(IF(A26&gt;=(Title_RESULTS!$H$7+Title_RESULTS!$C$17),0,(+$M27/((1+Title_RESULTS!$C$37)^('Sheet9(F_25)'!$A27-Title_RESULTS!$H$7))+N26)))</f>
        <v>39584.6848894782</v>
      </c>
    </row>
    <row r="28" spans="1:14" ht="12.75">
      <c r="A28">
        <f t="shared" si="0"/>
        <v>2032</v>
      </c>
      <c r="B28" s="5">
        <f>IF(A28&gt;=(Title_RESULTS!$H$7+Title_RESULTS!$C$17),0,(+'Sheet7(F_23)'!$B28))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IF(A28&gt;=(Title_RESULTS!$H$7+Title_RESULTS!$C$17),0,(+'Sheet6(p_6)'!$G28))</f>
        <v>0</v>
      </c>
      <c r="E28" s="5">
        <f>+'Sheet6(p_6)'!M28</f>
        <v>23185.82216785664</v>
      </c>
      <c r="F28">
        <f>IF(A28&gt;=(Title_RESULTS!$H$7+Title_RESULTS!$C$17),0,(+'f-11B'!$R27))</f>
        <v>0</v>
      </c>
      <c r="G28" s="5">
        <f>IF(A28&gt;=(Title_RESULTS!$H$7+Title_RESULTS!$C$17),0,(SUM(B28:F28)))</f>
        <v>23185.82216785664</v>
      </c>
      <c r="H28" s="5">
        <f>IF(A28&gt;=(Title_RESULTS!$H$7+Title_RESULTS!$C$17),0,(+'Sheet3(F_21)'!$J28+'Sheet4(F_22)'!$H28))</f>
        <v>39695.86841716805</v>
      </c>
      <c r="I28" s="5">
        <f>IF(A28&gt;=(Title_RESULTS!$H$7+Title_RESULTS!$C$17),0,(+'Sheet4(F_22)'!$D28+'Sheet4(F_22)'!$G28))</f>
        <v>2600.0564088109895</v>
      </c>
      <c r="J28" s="5">
        <f>IF(A28&gt;=(Title_RESULTS!$H$7+Title_RESULTS!$C$17),0,(+'Sheet6(p_6)'!$R28))</f>
        <v>0</v>
      </c>
      <c r="K28" s="9">
        <f>IF(A28&gt;=(Title_RESULTS!$H$7+Title_RESULTS!$C$17),0,(+'f-11B'!$S27))</f>
        <v>0</v>
      </c>
      <c r="L28" s="5">
        <f>IF(A28&gt;=(Title_RESULTS!$H$7+Title_RESULTS!$C$17),0,(SUM(H28:K28)))</f>
        <v>42295.92482597904</v>
      </c>
      <c r="M28" s="23">
        <f>IF(A28&gt;=(Title_RESULTS!$H$7+Title_RESULTS!$C$17),0,(+L28-G28))</f>
        <v>19110.1026581224</v>
      </c>
      <c r="N28" s="24">
        <f>(IF(A27&gt;=(Title_RESULTS!$H$7+Title_RESULTS!$C$17),0,(+$M28/((1+Title_RESULTS!$C$37)^('Sheet9(F_25)'!$A28-Title_RESULTS!$H$7))+N27)))</f>
        <v>47994.039566517065</v>
      </c>
    </row>
    <row r="29" spans="1:14" ht="12.75">
      <c r="A29">
        <f t="shared" si="0"/>
        <v>2033</v>
      </c>
      <c r="B29" s="5">
        <f>IF(A29&gt;=(Title_RESULTS!$H$7+Title_RESULTS!$C$17),0,(+'Sheet7(F_23)'!$B29))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IF(A29&gt;=(Title_RESULTS!$H$7+Title_RESULTS!$C$17),0,(+'Sheet6(p_6)'!$G29))</f>
        <v>0</v>
      </c>
      <c r="E29" s="5">
        <f>+'Sheet6(p_6)'!M29</f>
        <v>23417.680389535206</v>
      </c>
      <c r="F29">
        <f>IF(A29&gt;=(Title_RESULTS!$H$7+Title_RESULTS!$C$17),0,(+'f-11B'!$R28))</f>
        <v>0</v>
      </c>
      <c r="G29" s="5">
        <f>IF(A29&gt;=(Title_RESULTS!$H$7+Title_RESULTS!$C$17),0,(SUM(B29:F29)))</f>
        <v>23417.680389535206</v>
      </c>
      <c r="H29" s="5">
        <f>IF(A29&gt;=(Title_RESULTS!$H$7+Title_RESULTS!$C$17),0,(+'Sheet3(F_21)'!$J29+'Sheet4(F_22)'!$H29))</f>
        <v>42087.47381112025</v>
      </c>
      <c r="I29" s="5">
        <f>IF(A29&gt;=(Title_RESULTS!$H$7+Title_RESULTS!$C$17),0,(+'Sheet4(F_22)'!$D29+'Sheet4(F_22)'!$G29))</f>
        <v>2662.4577626224536</v>
      </c>
      <c r="J29" s="5">
        <f>IF(A29&gt;=(Title_RESULTS!$H$7+Title_RESULTS!$C$17),0,(+'Sheet6(p_6)'!$R29))</f>
        <v>0</v>
      </c>
      <c r="K29" s="9">
        <f>IF(A29&gt;=(Title_RESULTS!$H$7+Title_RESULTS!$C$17),0,(+'f-11B'!$S28))</f>
        <v>0</v>
      </c>
      <c r="L29" s="5">
        <f>IF(A29&gt;=(Title_RESULTS!$H$7+Title_RESULTS!$C$17),0,(SUM(H29:K29)))</f>
        <v>44749.93157374271</v>
      </c>
      <c r="M29" s="23">
        <f>IF(A29&gt;=(Title_RESULTS!$H$7+Title_RESULTS!$C$17),0,(+L29-G29))</f>
        <v>21332.251184207504</v>
      </c>
      <c r="N29" s="24">
        <f>(IF(A28&gt;=(Title_RESULTS!$H$7+Title_RESULTS!$C$17),0,(+$M29/((1+Title_RESULTS!$C$37)^('Sheet9(F_25)'!$A29-Title_RESULTS!$H$7))+N28)))</f>
        <v>56760.57466856387</v>
      </c>
    </row>
    <row r="30" spans="1:14" ht="12.75">
      <c r="A30">
        <f t="shared" si="0"/>
        <v>2034</v>
      </c>
      <c r="B30" s="5">
        <f>IF(A30&gt;=(Title_RESULTS!$H$7+Title_RESULTS!$C$17),0,(+'Sheet7(F_23)'!$B30))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IF(A30&gt;=(Title_RESULTS!$H$7+Title_RESULTS!$C$17),0,(+'Sheet6(p_6)'!$G30))</f>
        <v>0</v>
      </c>
      <c r="E30" s="5">
        <f>+'Sheet6(p_6)'!M30</f>
        <v>23651.85719343056</v>
      </c>
      <c r="F30">
        <f>IF(A30&gt;=(Title_RESULTS!$H$7+Title_RESULTS!$C$17),0,(+'f-11B'!$R29))</f>
        <v>0</v>
      </c>
      <c r="G30" s="5">
        <f>IF(A30&gt;=(Title_RESULTS!$H$7+Title_RESULTS!$C$17),0,(SUM(B30:F30)))</f>
        <v>23651.85719343056</v>
      </c>
      <c r="H30" s="5">
        <f>IF(A30&gt;=(Title_RESULTS!$H$7+Title_RESULTS!$C$17),0,(+'Sheet3(F_21)'!$J30+'Sheet4(F_22)'!$H30))</f>
        <v>43822.32357564826</v>
      </c>
      <c r="I30" s="5">
        <f>IF(A30&gt;=(Title_RESULTS!$H$7+Title_RESULTS!$C$17),0,(+'Sheet4(F_22)'!$D30+'Sheet4(F_22)'!$G30))</f>
        <v>2726.356748925392</v>
      </c>
      <c r="J30" s="5">
        <f>IF(A30&gt;=(Title_RESULTS!$H$7+Title_RESULTS!$C$17),0,(+'Sheet6(p_6)'!$R30))</f>
        <v>0</v>
      </c>
      <c r="K30" s="9">
        <f>IF(A30&gt;=(Title_RESULTS!$H$7+Title_RESULTS!$C$17),0,(+'f-11B'!$S29))</f>
        <v>0</v>
      </c>
      <c r="L30" s="5">
        <f>IF(A30&gt;=(Title_RESULTS!$H$7+Title_RESULTS!$C$17),0,(SUM(H30:K30)))</f>
        <v>46548.68032457365</v>
      </c>
      <c r="M30" s="23">
        <f>IF(A30&gt;=(Title_RESULTS!$H$7+Title_RESULTS!$C$17),0,(+L30-G30))</f>
        <v>22896.823131143094</v>
      </c>
      <c r="N30" s="24">
        <f>(IF(A29&gt;=(Title_RESULTS!$H$7+Title_RESULTS!$C$17),0,(+$M30/((1+Title_RESULTS!$C$37)^('Sheet9(F_25)'!$A30-Title_RESULTS!$H$7))+N29)))</f>
        <v>65547.92931225996</v>
      </c>
    </row>
    <row r="31" ht="12.75">
      <c r="E31" s="5"/>
    </row>
    <row r="32" spans="1:13" ht="12.75">
      <c r="A32" t="s">
        <v>87</v>
      </c>
      <c r="B32" s="5">
        <f aca="true" t="shared" si="1" ref="B32:M32">SUM(B16:B31)</f>
        <v>0</v>
      </c>
      <c r="C32" s="5">
        <f t="shared" si="1"/>
        <v>384.072</v>
      </c>
      <c r="D32" s="5">
        <f t="shared" si="1"/>
        <v>14529.48</v>
      </c>
      <c r="E32" s="5">
        <f t="shared" si="1"/>
        <v>300177.41305315425</v>
      </c>
      <c r="F32" s="5">
        <f t="shared" si="1"/>
        <v>0</v>
      </c>
      <c r="G32" s="5">
        <f t="shared" si="1"/>
        <v>315090.9650531542</v>
      </c>
      <c r="H32" s="5">
        <f t="shared" si="1"/>
        <v>422724.0431519051</v>
      </c>
      <c r="I32" s="5">
        <f t="shared" si="1"/>
        <v>32865.779707066315</v>
      </c>
      <c r="J32" s="5">
        <f t="shared" si="1"/>
        <v>0</v>
      </c>
      <c r="K32" s="9">
        <f t="shared" si="1"/>
        <v>0</v>
      </c>
      <c r="L32" s="5">
        <f t="shared" si="1"/>
        <v>455589.82285897154</v>
      </c>
      <c r="M32" s="5">
        <f t="shared" si="1"/>
        <v>140498.85780581727</v>
      </c>
    </row>
    <row r="34" spans="1:13" ht="12.75">
      <c r="A34" t="s">
        <v>118</v>
      </c>
      <c r="B34" s="5">
        <f>NPV(Title_RESULTS!$C$37,'Sheet9(F_25)'!B17:B31)+'Sheet9(F_25)'!B16</f>
        <v>0</v>
      </c>
      <c r="C34" s="5">
        <f>NPV(Title_RESULTS!$C$37,'Sheet9(F_25)'!C17:C31)+'Sheet9(F_25)'!C16</f>
        <v>358.8491576370552</v>
      </c>
      <c r="D34" s="5">
        <f>NPV(Title_RESULTS!$C$37,'Sheet9(F_25)'!D17:D31)+'Sheet9(F_25)'!D16</f>
        <v>13589.9811827841</v>
      </c>
      <c r="E34" s="5">
        <f>NPV(Title_RESULTS!$C$37,'Sheet9(F_25)'!E17:E31)+'Sheet9(F_25)'!E16</f>
        <v>181695.9536744854</v>
      </c>
      <c r="F34" s="5">
        <f>NPV(Title_RESULTS!$C$37,'Sheet9(F_25)'!F17:F31)+'Sheet9(F_25)'!F16</f>
        <v>0</v>
      </c>
      <c r="G34" s="5">
        <f>NPV(Title_RESULTS!$C$37,'Sheet9(F_25)'!G17:G31)+'Sheet9(F_25)'!G16</f>
        <v>195644.78401490653</v>
      </c>
      <c r="H34" s="5">
        <f>NPV(Title_RESULTS!$C$37,'Sheet9(F_25)'!H17:H31)+'Sheet9(F_25)'!H16</f>
        <v>241287.23790370725</v>
      </c>
      <c r="I34" s="5">
        <f>NPV(Title_RESULTS!$C$37,'Sheet9(F_25)'!I17:I31)+'Sheet9(F_25)'!I16</f>
        <v>19905.475423459284</v>
      </c>
      <c r="J34" s="5">
        <f>NPV(Title_RESULTS!$C$37,'Sheet9(F_25)'!J17:J31)+'Sheet9(F_25)'!J16</f>
        <v>0</v>
      </c>
      <c r="K34" s="9">
        <f>NPV(Title_RESULTS!$C$37,'Sheet9(F_25)'!K17:K31)+'Sheet9(F_25)'!K16</f>
        <v>0</v>
      </c>
      <c r="L34" s="5">
        <f>NPV(Title_RESULTS!$C$37,'Sheet9(F_25)'!L17:L31)+'Sheet9(F_25)'!L16</f>
        <v>261192.71332716654</v>
      </c>
      <c r="M34" s="5">
        <f>NPV(Title_RESULTS!$C$37,'Sheet9(F_25)'!M17:M31)+'Sheet9(F_25)'!M16</f>
        <v>65547.92931225996</v>
      </c>
    </row>
    <row r="36" spans="1:10" ht="12.75">
      <c r="A36" t="s">
        <v>175</v>
      </c>
      <c r="D36">
        <f>+Title_RESULTS!C37</f>
        <v>0.0708</v>
      </c>
      <c r="F36" t="s">
        <v>183</v>
      </c>
      <c r="J36" s="10">
        <f>+L34/G34</f>
        <v>1.3350354043032693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50302.17702687411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2934.2713855999996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6255.164620800001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289.9714575791011</v>
      </c>
      <c r="P24" s="48">
        <f aca="true" t="shared" si="4" ref="P24:P61">N24*$L$5</f>
        <v>618.1497769401831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296.93077256099957</v>
      </c>
      <c r="P25" s="48">
        <f t="shared" si="4"/>
        <v>632.9853715867474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6921.109850363646</v>
      </c>
      <c r="E26" s="11">
        <f>IF(B26=Title_RESULTS!$H$8,$F$16,+E25*(1+$F$7))</f>
        <v>0.09882230355451863</v>
      </c>
      <c r="F26" s="9">
        <f t="shared" si="1"/>
        <v>4970.977007602886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403.7283432020547</v>
      </c>
      <c r="L26" s="5">
        <f t="shared" si="3"/>
        <v>860.6522427356534</v>
      </c>
      <c r="N26" s="11">
        <f>IF(+B26=Title_RESULTS!$H$9,'Value of Defferal'!$O$16,+'Value of Defferal'!N25*(1+'Value of Defferal'!$F$7))</f>
        <v>0.10362269577198292</v>
      </c>
      <c r="O26" s="5">
        <f t="shared" si="7"/>
        <v>304.0571111024635</v>
      </c>
      <c r="P26" s="48">
        <f t="shared" si="4"/>
        <v>648.1770205048294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6716.730278516569</v>
      </c>
      <c r="E27" s="11">
        <f>IF(B27=Title_RESULTS!$H$8,$F$16,+E26*(1+$F$7))</f>
        <v>0.10119403883982707</v>
      </c>
      <c r="F27" s="9">
        <f t="shared" si="1"/>
        <v>5090.280455785355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391.80629201226895</v>
      </c>
      <c r="L27" s="5">
        <f t="shared" si="3"/>
        <v>835.2372817420352</v>
      </c>
      <c r="N27" s="11">
        <f>IF(+B27=Title_RESULTS!$H$9,'Value of Defferal'!$O$16,+'Value of Defferal'!N26*(1+'Value of Defferal'!$F$7))</f>
        <v>0.10610964047051051</v>
      </c>
      <c r="O27" s="5">
        <f t="shared" si="7"/>
        <v>311.35448176892265</v>
      </c>
      <c r="P27" s="48">
        <f t="shared" si="4"/>
        <v>663.7332689969453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6491.096721756077</v>
      </c>
      <c r="E28" s="11">
        <f>IF(B28=Title_RESULTS!$H$8,$F$16,+E27*(1+$F$7))</f>
        <v>0.10362269577198292</v>
      </c>
      <c r="F28" s="9">
        <f t="shared" si="1"/>
        <v>5212.447186724205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378.6444344473419</v>
      </c>
      <c r="L28" s="5">
        <f t="shared" si="3"/>
        <v>807.1793501586872</v>
      </c>
      <c r="N28" s="11">
        <f>IF(+B28=Title_RESULTS!$H$9,'Value of Defferal'!$O$16,+'Value of Defferal'!N27*(1+'Value of Defferal'!$F$7))</f>
        <v>0.10865627184180277</v>
      </c>
      <c r="O28" s="5">
        <f t="shared" si="7"/>
        <v>318.8269893313768</v>
      </c>
      <c r="P28" s="48">
        <f t="shared" si="4"/>
        <v>679.662867452872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6276.269768592408</v>
      </c>
      <c r="E29" s="11">
        <f>IF(B29=Title_RESULTS!$H$8,$F$16,+E28*(1+$F$7))</f>
        <v>0.10610964047051051</v>
      </c>
      <c r="F29" s="9">
        <f t="shared" si="1"/>
        <v>5337.545919205585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366.11295730695855</v>
      </c>
      <c r="L29" s="5">
        <f t="shared" si="3"/>
        <v>780.4652388329342</v>
      </c>
      <c r="N29" s="11">
        <f>IF(+B29=Title_RESULTS!$H$9,'Value of Defferal'!$O$16,+'Value of Defferal'!N28*(1+'Value of Defferal'!$F$7))</f>
        <v>0.11126402236600604</v>
      </c>
      <c r="O29" s="5">
        <f t="shared" si="7"/>
        <v>326.47883707532986</v>
      </c>
      <c r="P29" s="48">
        <f t="shared" si="4"/>
        <v>695.974776271741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6071.165765146873</v>
      </c>
      <c r="E30" s="11">
        <f>IF(B30=Title_RESULTS!$H$8,$F$16,+E29*(1+$F$7))</f>
        <v>0.10865627184180277</v>
      </c>
      <c r="F30" s="9">
        <f t="shared" si="1"/>
        <v>5465.647021266519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354.14864792804826</v>
      </c>
      <c r="L30" s="5">
        <f t="shared" si="3"/>
        <v>754.9601934896377</v>
      </c>
      <c r="N30" s="11">
        <f>IF(+B30=Title_RESULTS!$H$9,'Value of Defferal'!$O$16,+'Value of Defferal'!N29*(1+'Value of Defferal'!$F$7))</f>
        <v>0.11393435890279018</v>
      </c>
      <c r="O30" s="5">
        <f t="shared" si="7"/>
        <v>334.3143291651378</v>
      </c>
      <c r="P30" s="48">
        <f t="shared" si="4"/>
        <v>712.6781709022628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5874.820798300865</v>
      </c>
      <c r="E31" s="11">
        <f>IF(B31=Title_RESULTS!$H$8,$F$16,+E30*(1+$F$7))</f>
        <v>0.11126402236600604</v>
      </c>
      <c r="F31" s="9">
        <f t="shared" si="1"/>
        <v>5596.822549776916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342.6952784721891</v>
      </c>
      <c r="L31" s="5">
        <f t="shared" si="3"/>
        <v>730.5443498288129</v>
      </c>
      <c r="N31" s="11">
        <f>IF(+B31=Title_RESULTS!$H$9,'Value of Defferal'!$O$16,+'Value of Defferal'!N30*(1+'Value of Defferal'!$F$7))</f>
        <v>0.11666878351645714</v>
      </c>
      <c r="O31" s="5">
        <f t="shared" si="7"/>
        <v>342.33787306510106</v>
      </c>
      <c r="P31" s="48">
        <f t="shared" si="4"/>
        <v>729.782447003917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5684.588597256717</v>
      </c>
      <c r="E32" s="11">
        <f>IF(B32=Title_RESULTS!$H$8,$F$16,+E31*(1+$F$7))</f>
        <v>0.11393435890279018</v>
      </c>
      <c r="F32" s="9">
        <f t="shared" si="1"/>
        <v>5731.146290971562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331.59848431464525</v>
      </c>
      <c r="L32" s="5">
        <f t="shared" si="3"/>
        <v>706.8886393995695</v>
      </c>
      <c r="N32" s="11">
        <f>IF(+B32=Title_RESULTS!$H$9,'Value of Defferal'!$O$16,+'Value of Defferal'!N31*(1+'Value of Defferal'!$F$7))</f>
        <v>0.11946883432085212</v>
      </c>
      <c r="O32" s="5">
        <f t="shared" si="7"/>
        <v>350.55398201866353</v>
      </c>
      <c r="P32" s="48">
        <f t="shared" si="4"/>
        <v>747.2972257320112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5496.314157639805</v>
      </c>
      <c r="E33" s="11">
        <f>IF(B33=Title_RESULTS!$H$8,$F$16,+E32*(1+$F$7))</f>
        <v>0.11666878351645714</v>
      </c>
      <c r="F33" s="9">
        <f t="shared" si="1"/>
        <v>5868.693801954879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320.6158920401075</v>
      </c>
      <c r="L33" s="5">
        <f t="shared" si="3"/>
        <v>683.4763800640844</v>
      </c>
      <c r="N33" s="11">
        <f>IF(+B33=Title_RESULTS!$H$9,'Value of Defferal'!$O$16,+'Value of Defferal'!N32*(1+'Value of Defferal'!$F$7))</f>
        <v>0.12233608634455258</v>
      </c>
      <c r="O33" s="5">
        <f t="shared" si="7"/>
        <v>358.9672775871115</v>
      </c>
      <c r="P33" s="48">
        <f t="shared" si="4"/>
        <v>765.2323591495795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5308.039718022891</v>
      </c>
      <c r="E34" s="11">
        <f>IF(B34=Title_RESULTS!$H$8,$F$16,+E33*(1+$F$7))</f>
        <v>0.11946883432085212</v>
      </c>
      <c r="F34" s="9">
        <f t="shared" si="1"/>
        <v>6009.542453201797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309.6332997655696</v>
      </c>
      <c r="L34" s="5">
        <f t="shared" si="3"/>
        <v>660.0641207285992</v>
      </c>
      <c r="N34" s="11">
        <f>IF(+B34=Title_RESULTS!$H$9,'Value of Defferal'!$O$16,+'Value of Defferal'!N33*(1+'Value of Defferal'!$F$7))</f>
        <v>0.12527215241682185</v>
      </c>
      <c r="O34" s="5">
        <f t="shared" si="7"/>
        <v>367.5824922492022</v>
      </c>
      <c r="P34" s="48">
        <f t="shared" si="4"/>
        <v>783.5979357691695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5119.765278405978</v>
      </c>
      <c r="E35" s="11">
        <f>IF(B35=Title_RESULTS!$H$8,$F$16,+E34*(1+$F$7))</f>
        <v>0.12233608634455258</v>
      </c>
      <c r="F35" s="9">
        <f t="shared" si="1"/>
        <v>6153.77147207864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298.65070749103177</v>
      </c>
      <c r="L35" s="5">
        <f t="shared" si="3"/>
        <v>636.651861393114</v>
      </c>
      <c r="N35" s="11">
        <f>IF(+B35=Title_RESULTS!$H$9,'Value of Defferal'!$O$16,+'Value of Defferal'!N34*(1+'Value of Defferal'!$F$7))</f>
        <v>0.12827868407482557</v>
      </c>
      <c r="O35" s="5">
        <f t="shared" si="7"/>
        <v>376.404472063183</v>
      </c>
      <c r="P35" s="48">
        <f t="shared" si="4"/>
        <v>802.4042862276294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4931.4908387890655</v>
      </c>
      <c r="E36" s="11">
        <f>IF(B36=Title_RESULTS!$H$8,$F$16,+E35*(1+$F$7))</f>
        <v>0.12527215241682185</v>
      </c>
      <c r="F36" s="9">
        <f t="shared" si="1"/>
        <v>6301.461987408528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287.66811521649396</v>
      </c>
      <c r="L36" s="5">
        <f t="shared" si="3"/>
        <v>613.239602057629</v>
      </c>
      <c r="N36" s="11">
        <f>IF(+B36=Title_RESULTS!$H$9,'Value of Defferal'!$O$16,+'Value of Defferal'!N35*(1+'Value of Defferal'!$F$7))</f>
        <v>0.1313573724926214</v>
      </c>
      <c r="O36" s="5">
        <f t="shared" si="7"/>
        <v>385.43817939269945</v>
      </c>
      <c r="P36" s="48">
        <f t="shared" si="4"/>
        <v>821.6619890970926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4743.216399172152</v>
      </c>
      <c r="E37" s="11">
        <f>IF(B37&gt;Title_RESULTS!$H$8-1+Title_RESULTS!$C$18,0,+E36*(1+$F$7))</f>
        <v>0.12827868407482557</v>
      </c>
      <c r="F37" s="9">
        <f t="shared" si="1"/>
        <v>6452.697075106333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276.68552294195604</v>
      </c>
      <c r="L37" s="5">
        <f t="shared" si="3"/>
        <v>589.8273427221437</v>
      </c>
      <c r="N37" s="11">
        <f>IF(+B37=Title_RESULTS!$H$9,'Value of Defferal'!$O$16,+'Value of Defferal'!N36*(1+'Value of Defferal'!$F$7))</f>
        <v>0.1345099494324443</v>
      </c>
      <c r="O37" s="5">
        <f t="shared" si="7"/>
        <v>394.6886956981242</v>
      </c>
      <c r="P37" s="48">
        <f t="shared" si="4"/>
        <v>841.3818768354228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4554.941959555239</v>
      </c>
      <c r="E38" s="11">
        <f>IF(B38&gt;Title_RESULTS!$H$8-1+Title_RESULTS!$C$18,0,+E37*(1+$F$7))</f>
        <v>0.1313573724926214</v>
      </c>
      <c r="F38" s="9">
        <f t="shared" si="1"/>
        <v>6607.561804908884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265.7029306674182</v>
      </c>
      <c r="L38" s="5">
        <f t="shared" si="3"/>
        <v>566.4150833866586</v>
      </c>
      <c r="N38" s="11">
        <f>IF(+B38=Title_RESULTS!$H$9,'Value of Defferal'!$O$16,+'Value of Defferal'!N37*(1+'Value of Defferal'!$F$7))</f>
        <v>0.13773818821882297</v>
      </c>
      <c r="O38" s="5">
        <f t="shared" si="7"/>
        <v>404.16122439487924</v>
      </c>
      <c r="P38" s="48">
        <f t="shared" si="4"/>
        <v>861.575041879473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4366.667519938325</v>
      </c>
      <c r="E39" s="11">
        <f>IF(B39&gt;Title_RESULTS!$H$8-1+Title_RESULTS!$C$18,0,+E38*(1+$F$7))</f>
        <v>0.1345099494324443</v>
      </c>
      <c r="F39" s="9">
        <f t="shared" si="1"/>
        <v>6766.143288226697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254.7203383928803</v>
      </c>
      <c r="L39" s="5">
        <f t="shared" si="3"/>
        <v>543.0028240511733</v>
      </c>
      <c r="N39" s="11">
        <f>IF(+B39&gt;Title_RESULTS!$H$9+Title_RESULTS!$C$19-1,0,+'Value of Defferal'!N38*(1+'Value of Defferal'!$F$7))</f>
        <v>0.14104390473607473</v>
      </c>
      <c r="O39" s="5">
        <f t="shared" si="7"/>
        <v>413.8610937803563</v>
      </c>
      <c r="P39" s="48">
        <f t="shared" si="4"/>
        <v>882.2528428845803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4178.393080321413</v>
      </c>
      <c r="E40" s="11">
        <f>IF(B40&gt;Title_RESULTS!$H$8-1+Title_RESULTS!$C$18,0,+E39*(1+$F$7))</f>
        <v>0.13773818821882297</v>
      </c>
      <c r="F40" s="9">
        <f t="shared" si="1"/>
        <v>6928.530727144139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243.73774611834253</v>
      </c>
      <c r="L40" s="5">
        <f t="shared" si="3"/>
        <v>519.5905647156883</v>
      </c>
      <c r="N40" s="11">
        <f>IF(+B40&gt;Title_RESULTS!$H$9+Title_RESULTS!$C$19-1,0,+'Value of Defferal'!N39*(1+'Value of Defferal'!$F$7))</f>
        <v>0.14442895844974052</v>
      </c>
      <c r="O40" s="5">
        <f t="shared" si="7"/>
        <v>423.7937600310849</v>
      </c>
      <c r="P40" s="48">
        <f t="shared" si="4"/>
        <v>903.4269111138103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4007.7983639296576</v>
      </c>
      <c r="E41" s="11">
        <f>IF(B41&gt;Title_RESULTS!$H$8-1+Title_RESULTS!$C$18,0,+E40*(1+$F$7))</f>
        <v>0.14104390473607473</v>
      </c>
      <c r="F41" s="9">
        <f t="shared" si="1"/>
        <v>7094.815464595598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233.78646320318273</v>
      </c>
      <c r="L41" s="5">
        <f t="shared" si="3"/>
        <v>498.3768102116035</v>
      </c>
      <c r="N41" s="11">
        <f>IF(+B41&gt;Title_RESULTS!$H$9+Title_RESULTS!$C$19-1,0,+'Value of Defferal'!N40*(1+'Value of Defferal'!$F$7))</f>
        <v>0.1478952534525343</v>
      </c>
      <c r="O41" s="5">
        <f t="shared" si="7"/>
        <v>433.9648102718309</v>
      </c>
      <c r="P41" s="48">
        <f t="shared" si="4"/>
        <v>925.1091569805417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3872.5571069502143</v>
      </c>
      <c r="E42" s="11">
        <f>IF(B42&gt;Title_RESULTS!$H$8-1+Title_RESULTS!$C$18,0,+E41*(1+$F$7))</f>
        <v>0.14442895844974052</v>
      </c>
      <c r="F42" s="9">
        <f t="shared" si="1"/>
        <v>7265.091035745892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225.8974497655467</v>
      </c>
      <c r="L42" s="5">
        <f t="shared" si="3"/>
        <v>481.5593208715621</v>
      </c>
      <c r="N42" s="11">
        <f>IF(+B42&gt;Title_RESULTS!$H$9+Title_RESULTS!$C$19-1,0,+'Value of Defferal'!N41*(1+'Value of Defferal'!$F$7))</f>
        <v>0.1514447395353951</v>
      </c>
      <c r="O42" s="5">
        <f t="shared" si="7"/>
        <v>444.37996571835487</v>
      </c>
      <c r="P42" s="48">
        <f t="shared" si="4"/>
        <v>947.3117767480747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3754.9895861579257</v>
      </c>
      <c r="E43" s="11">
        <f>IF(B43&gt;Title_RESULTS!$H$8-1+Title_RESULTS!$C$18,0,+E42*(1+$F$7))</f>
        <v>0.1478952534525343</v>
      </c>
      <c r="F43" s="9">
        <f t="shared" si="1"/>
        <v>7439.453220603794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219.03939644605634</v>
      </c>
      <c r="L43" s="5">
        <f t="shared" si="3"/>
        <v>466.93959186416345</v>
      </c>
      <c r="N43" s="11">
        <f>IF(+B43&gt;Title_RESULTS!$H$9+Title_RESULTS!$C$19-1,0,+'Value of Defferal'!N42*(1+'Value of Defferal'!$F$7))</f>
        <v>0.1550794132842446</v>
      </c>
      <c r="O43" s="5">
        <f t="shared" si="7"/>
        <v>455.0450848955954</v>
      </c>
      <c r="P43" s="48">
        <f t="shared" si="4"/>
        <v>970.0472593900286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3637.4220653656375</v>
      </c>
      <c r="E44" s="11">
        <f>IF(B44&gt;Title_RESULTS!$H$8-1+Title_RESULTS!$C$18,0,+E43*(1+$F$7))</f>
        <v>0.1514447395353951</v>
      </c>
      <c r="F44" s="9">
        <f t="shared" si="1"/>
        <v>7618.000097898285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212.18134312656602</v>
      </c>
      <c r="L44" s="5">
        <f t="shared" si="3"/>
        <v>452.31986285676487</v>
      </c>
      <c r="N44" s="11">
        <f>IF(+B44&gt;Title_RESULTS!$H$9+Title_RESULTS!$C$19-1,0,+'Value of Defferal'!N43*(1+'Value of Defferal'!$F$7))</f>
        <v>0.15880131920306648</v>
      </c>
      <c r="O44" s="5">
        <f t="shared" si="7"/>
        <v>465.9661669330897</v>
      </c>
      <c r="P44" s="48">
        <f t="shared" si="4"/>
        <v>993.3283936153892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3519.8545445733475</v>
      </c>
      <c r="E45" s="11">
        <f>IF(B45&gt;Title_RESULTS!$H$8-1+Title_RESULTS!$C$18,0,+E44*(1+$F$7))</f>
        <v>0.1550794132842446</v>
      </c>
      <c r="F45" s="9">
        <f t="shared" si="1"/>
        <v>7800.832100247844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205.32328980707558</v>
      </c>
      <c r="L45" s="5">
        <f t="shared" si="3"/>
        <v>437.70013384936607</v>
      </c>
      <c r="N45" s="11">
        <f>IF(+B45&gt;Title_RESULTS!$H$9+Title_RESULTS!$C$19-1,0,+'Value of Defferal'!N44*(1+'Value of Defferal'!$F$7))</f>
        <v>0.16261255086394008</v>
      </c>
      <c r="O45" s="5">
        <f t="shared" si="7"/>
        <v>477.1493549394839</v>
      </c>
      <c r="P45" s="48">
        <f t="shared" si="4"/>
        <v>1017.1682750621586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3402.287023781059</v>
      </c>
      <c r="E46" s="11">
        <f>IF(B46&gt;Title_RESULTS!$H$8-1+Title_RESULTS!$C$18,0,+E45*(1+$F$7))</f>
        <v>0.15880131920306648</v>
      </c>
      <c r="F46" s="9">
        <f t="shared" si="1"/>
        <v>7988.052070653793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198.46523648758523</v>
      </c>
      <c r="L46" s="5">
        <f t="shared" si="3"/>
        <v>423.08040484196744</v>
      </c>
      <c r="N46" s="11">
        <f>IF(+B46&gt;Title_RESULTS!$H$9+Title_RESULTS!$C$19-1,0,+'Value of Defferal'!N45*(1+'Value of Defferal'!$F$7))</f>
        <v>0.16651525208467466</v>
      </c>
      <c r="O46" s="5">
        <f t="shared" si="7"/>
        <v>488.6009394580315</v>
      </c>
      <c r="P46" s="48">
        <f t="shared" si="4"/>
        <v>1041.5803136636505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3284.7195029887707</v>
      </c>
      <c r="E47" s="11">
        <f>IF(B47&gt;Title_RESULTS!$H$8-1+Title_RESULTS!$C$18,0,+E46*(1+$F$7))</f>
        <v>0.16261255086394008</v>
      </c>
      <c r="F47" s="9">
        <f t="shared" si="1"/>
        <v>8179.765320349485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191.6071831680949</v>
      </c>
      <c r="L47" s="5">
        <f t="shared" si="3"/>
        <v>408.46067583456886</v>
      </c>
      <c r="N47" s="11">
        <f>IF(+B47&gt;Title_RESULTS!$H$9+Title_RESULTS!$C$19-1,0,+'Value of Defferal'!N46*(1+'Value of Defferal'!$F$7))</f>
        <v>0.17051161813470686</v>
      </c>
      <c r="O47" s="5">
        <f t="shared" si="7"/>
        <v>500.3273620050243</v>
      </c>
      <c r="P47" s="48">
        <f t="shared" si="4"/>
        <v>1066.5782411915782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3167.151982196482</v>
      </c>
      <c r="E48" s="11">
        <f>IF(B48&gt;Title_RESULTS!$H$8-1+Title_RESULTS!$C$18,0,+E47*(1+$F$7))</f>
        <v>0.16651525208467466</v>
      </c>
      <c r="F48" s="9">
        <f t="shared" si="1"/>
        <v>8376.079688037873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184.74912984860453</v>
      </c>
      <c r="L48" s="5">
        <f t="shared" si="3"/>
        <v>393.8409468271702</v>
      </c>
      <c r="N48" s="11">
        <f>IF(+B48&gt;Title_RESULTS!$H$9+Title_RESULTS!$C$19-1,0,+'Value of Defferal'!N47*(1+'Value of Defferal'!$F$7))</f>
        <v>0.17460389696993983</v>
      </c>
      <c r="O48" s="5">
        <f t="shared" si="7"/>
        <v>512.335218693145</v>
      </c>
      <c r="P48" s="48">
        <f t="shared" si="4"/>
        <v>1092.1761189801762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3049.5844614041926</v>
      </c>
      <c r="E49" s="11">
        <f>IF(B49&gt;Title_RESULTS!$H$8-1+Title_RESULTS!$C$18,0,+E48*(1+$F$7))</f>
        <v>0.17051161813470686</v>
      </c>
      <c r="F49" s="9">
        <f t="shared" si="1"/>
        <v>8577.105600550782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177.89107652911412</v>
      </c>
      <c r="L49" s="5">
        <f t="shared" si="3"/>
        <v>379.2212178197715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2932.016940611904</v>
      </c>
      <c r="E50" s="11">
        <f>IF(B50&gt;Title_RESULTS!$H$8-1+Title_RESULTS!$C$18,0,+E49*(1+$F$7))</f>
        <v>0.17460389696993983</v>
      </c>
      <c r="F50" s="9">
        <f t="shared" si="1"/>
        <v>8782.956134964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171.03302320962376</v>
      </c>
      <c r="L50" s="5">
        <f t="shared" si="3"/>
        <v>364.60148881237285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2814.4494198196153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164.1749698901334</v>
      </c>
      <c r="L51" s="5">
        <f t="shared" si="3"/>
        <v>349.9817598049742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120177.44172955684</v>
      </c>
      <c r="F63" s="9">
        <f>SUM(F23:F61)</f>
        <v>167615.41977501026</v>
      </c>
      <c r="J63" t="s">
        <v>87</v>
      </c>
      <c r="K63" s="9">
        <f>SUM(K23:K61)</f>
        <v>7010.29755179889</v>
      </c>
      <c r="O63" s="9">
        <f>SUM(O23:O61)</f>
        <v>9777.491931778291</v>
      </c>
    </row>
    <row r="64" spans="3:15" ht="12.75">
      <c r="C64" t="s">
        <v>89</v>
      </c>
      <c r="D64" s="9">
        <f>NPV(+Title_RESULTS!$C$37,'Value of Defferal'!D24:D61)+'Value of Defferal'!D23</f>
        <v>53659.95455300045</v>
      </c>
      <c r="F64" s="9">
        <f>NPV(+Title_RESULTS!$C$37,'Value of Defferal'!F24:F61)+'Value of Defferal'!F23</f>
        <v>62327.04816444817</v>
      </c>
      <c r="J64" t="s">
        <v>89</v>
      </c>
      <c r="K64" s="9">
        <f>NPV(+Title_RESULTS!$C$37,'Value of Defferal'!K24:K61)+'Value of Defferal'!K23</f>
        <v>3130.1402544336393</v>
      </c>
      <c r="O64" s="9">
        <f>NPV(+Title_RESULTS!$C$37,'Value of Defferal'!O24:O61)+'Value of Defferal'!O23</f>
        <v>4168.7589268895035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27.45709573168417</v>
      </c>
      <c r="C25" t="s">
        <v>372</v>
      </c>
    </row>
    <row r="26" spans="2:3" ht="18">
      <c r="B26" s="15">
        <f>+((Input!$C$6*'EUE_Line Losses'!C4)+(Input!$C$7*'EUE_Line Losses'!C3))/'EUE_Line Losses'!C22</f>
        <v>27.368524455130352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f>SUM(E4:E9)</f>
        <v>11.870000000000001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41" sqref="C41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24.07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24.72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183588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15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125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28467.01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4843.16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Compressed Air Equipment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43599.32267337963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24.72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27.368524455130352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193658.22784810126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183588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15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125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28467.01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11.870000000000001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4843.16</v>
      </c>
      <c r="D39" s="13" t="s">
        <v>189</v>
      </c>
      <c r="G39" s="20" t="s">
        <v>346</v>
      </c>
      <c r="H39" s="79">
        <f>+'Sheet7(F_23)'!H36</f>
        <v>3.1851082645326305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+'Sheet8(F_24)'!K34</f>
        <v>266448.3323437683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+'Sheet9(F_25)'!J36</f>
        <v>1.3350354043032693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2019-05-14T11:44:40Z</dcterms:created>
  <dcterms:modified xsi:type="dcterms:W3CDTF">2019-05-14T11:44:42Z</dcterms:modified>
  <cp:category/>
  <cp:version/>
  <cp:contentType/>
  <cp:contentStatus/>
</cp:coreProperties>
</file>