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'Sheet2(F_12)'!$A$1:$K$50</definedName>
    <definedName name="_xlnm.Print_Area" localSheetId="11">'Sheet3(F_21)'!$A$1:$J$39</definedName>
    <definedName name="_xlnm.Print_Area" localSheetId="14">'Sheet4(F_22)'!$A$1:$J$39</definedName>
    <definedName name="_xlnm.Print_Area" localSheetId="12">'Sheet5(p_5)'!$A$1:$H$39</definedName>
    <definedName name="_xlnm.Print_Area" localSheetId="15">'Sheet6(p_6)'!$A$1:$R$39</definedName>
    <definedName name="_xlnm.Print_Area" localSheetId="16">'Sheet7(F_23)'!$A$1:$M$39</definedName>
    <definedName name="_xlnm.Print_Area" localSheetId="17">'Sheet8(F_24)'!$A$1:$M$39</definedName>
    <definedName name="_xlnm.Print_Area" localSheetId="18">'Sheet9(F_25)'!$A$1:$N$39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<sst xmlns="http://schemas.openxmlformats.org/spreadsheetml/2006/main" count="1258" uniqueCount="468">
  <si>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</si>
  <si>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</si>
  <si>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</si>
  <si>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</si>
  <si>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</si>
  <si>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</si>
  <si>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</si>
  <si>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</si>
  <si>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</si>
  <si>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</si>
  <si>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</si>
  <si>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</si>
  <si>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</si>
  <si>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</si>
  <si>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</si>
  <si>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</si>
  <si>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</si>
  <si>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</si>
  <si>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</si>
  <si>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</si>
  <si>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</si>
  <si>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</si>
  <si>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</si>
  <si>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</si>
  <si>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</si>
  <si>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</si>
  <si>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</si>
  <si>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</si>
  <si>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</si>
  <si>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</si>
  <si>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</si>
  <si>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</si>
  <si>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</si>
  <si>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</si>
  <si>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</si>
  <si>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</si>
  <si>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</si>
  <si>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</si>
  <si>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</si>
  <si>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</si>
  <si>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</si>
  <si>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</si>
  <si>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</si>
  <si>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</si>
  <si>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</si>
  <si>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</si>
  <si>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</si>
  <si>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</si>
  <si>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</si>
  <si>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</si>
  <si>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</si>
  <si>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</si>
  <si>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</si>
  <si>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</si>
  <si>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</si>
  <si>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</si>
  <si>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</si>
  <si>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</si>
  <si>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</si>
  <si>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</si>
  <si>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</si>
  <si>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</si>
  <si>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</si>
  <si>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</si>
  <si>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</si>
  <si>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</si>
  <si>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</si>
  <si>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</si>
  <si>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</si>
  <si>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</si>
  <si>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</si>
  <si>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</si>
  <si>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</si>
  <si>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</si>
  <si>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</si>
  <si>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</si>
  <si>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</si>
  <si>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</si>
  <si>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</si>
  <si>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</si>
  <si>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</si>
  <si>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</si>
  <si>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</si>
  <si>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</si>
  <si>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</si>
  <si>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</si>
  <si>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</si>
  <si>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</si>
  <si>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</si>
  <si>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</si>
  <si>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</si>
  <si>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</si>
  <si>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</si>
  <si>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</si>
  <si>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</si>
  <si>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</si>
  <si>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</si>
  <si>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</si>
  <si>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</si>
  <si>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</si>
  <si>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</si>
  <si>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</si>
  <si>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</si>
  <si>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</si>
  <si>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</si>
  <si>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</si>
  <si>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</si>
  <si>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</si>
  <si>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</si>
  <si>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</si>
  <si>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</si>
  <si>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</si>
  <si>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</si>
  <si>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</si>
  <si>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</si>
  <si>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</si>
  <si>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</si>
  <si>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</si>
  <si>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</si>
  <si>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</si>
  <si>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</si>
  <si>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</si>
  <si>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</si>
  <si>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</si>
  <si>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</si>
  <si>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</si>
  <si>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</si>
  <si>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</si>
  <si>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</si>
  <si>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</si>
  <si>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</si>
  <si>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</si>
  <si>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</si>
  <si>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</si>
  <si>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</si>
  <si>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</si>
  <si>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</si>
  <si>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</si>
  <si>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</si>
  <si>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</si>
  <si>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</si>
  <si>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</si>
  <si>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</si>
  <si>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</si>
  <si>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</si>
  <si>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</si>
  <si>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</si>
  <si>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</si>
  <si>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</si>
  <si>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</si>
  <si>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</si>
  <si>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</si>
  <si>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</si>
  <si>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</si>
  <si>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</si>
  <si>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</si>
  <si>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</si>
  <si>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</si>
  <si>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</si>
  <si>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</si>
  <si>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</si>
  <si>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</si>
  <si>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</si>
  <si>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</si>
  <si>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</si>
  <si>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</si>
  <si>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</si>
  <si>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</si>
  <si>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</si>
  <si>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</si>
  <si>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</si>
  <si>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</si>
  <si>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</si>
  <si>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</si>
  <si>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</si>
  <si>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</si>
  <si>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</si>
  <si>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</si>
  <si>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</si>
  <si>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</si>
  <si>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</si>
  <si>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</si>
  <si>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</si>
  <si>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</si>
  <si>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</si>
  <si>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</si>
  <si>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</si>
  <si>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</si>
  <si>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</si>
  <si>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</si>
  <si>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</si>
  <si>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</si>
  <si>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</si>
  <si>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</si>
  <si>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</si>
  <si>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</si>
  <si>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</si>
  <si>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</si>
  <si>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</si>
  <si>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</si>
  <si>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</si>
  <si>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</si>
  <si>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</si>
  <si>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</si>
  <si>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</si>
  <si>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</si>
  <si>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</si>
  <si>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</si>
  <si>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</si>
  <si>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</si>
  <si>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</si>
  <si>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</si>
  <si>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</si>
  <si>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</si>
  <si>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</si>
  <si>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</si>
  <si>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</si>
  <si>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</si>
  <si>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</si>
  <si>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</si>
  <si>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</si>
  <si>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</si>
  <si>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</si>
  <si>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</si>
  <si>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</si>
  <si>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</si>
  <si>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</si>
  <si>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</si>
  <si>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</si>
  <si>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</si>
  <si>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</si>
  <si>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</si>
  <si>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</si>
  <si>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</si>
  <si>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</si>
  <si>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</si>
  <si>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</si>
  <si>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</si>
  <si>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</si>
  <si>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</si>
  <si>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</si>
  <si>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</si>
  <si>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</si>
  <si>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</si>
  <si>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</si>
  <si>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</si>
  <si>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</si>
  <si>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</si>
  <si>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</si>
  <si>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</si>
  <si>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</si>
  <si>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</si>
  <si>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</si>
  <si>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</si>
  <si>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</si>
  <si>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</si>
  <si>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</si>
  <si>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</si>
  <si>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</si>
  <si>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</si>
  <si>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</si>
  <si>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</si>
  <si>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</si>
  <si>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</si>
  <si>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</si>
  <si>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</si>
  <si>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</si>
  <si>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</si>
  <si>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</si>
  <si>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</si>
  <si>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</si>
  <si>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</si>
  <si>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</si>
  <si>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</si>
  <si>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</si>
  <si>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</si>
  <si>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</si>
  <si>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</si>
  <si>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</si>
  <si>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</si>
  <si>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</si>
  <si>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</si>
  <si>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</si>
  <si>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</si>
  <si>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</si>
  <si>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</si>
  <si>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</si>
  <si>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</si>
  <si>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</si>
  <si>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</si>
  <si>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</si>
  <si>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</si>
  <si>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</si>
  <si>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</si>
  <si>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</si>
  <si>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</si>
  <si>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</si>
  <si>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</si>
  <si>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</si>
  <si>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</si>
  <si>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</si>
  <si>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</si>
  <si>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</si>
  <si>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</si>
  <si>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</si>
  <si>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</si>
  <si>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</si>
  <si>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</si>
  <si>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</si>
  <si>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</si>
  <si>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</si>
  <si>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</si>
  <si>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</si>
  <si>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</si>
  <si>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</si>
  <si>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</si>
  <si>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</si>
  <si>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</si>
  <si>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</si>
  <si>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</si>
  <si>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</si>
  <si>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</si>
  <si>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</si>
  <si>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</si>
  <si>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</si>
  <si>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</si>
  <si>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</si>
  <si>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</si>
  <si>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</si>
  <si>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</si>
  <si>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</si>
  <si>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</si>
  <si>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</si>
  <si>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</si>
  <si>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</si>
  <si>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</si>
  <si>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</si>
  <si>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</si>
  <si>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</si>
  <si>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</si>
  <si>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</si>
  <si>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</si>
  <si>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</si>
  <si>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</si>
  <si>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</si>
  <si>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</si>
  <si>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</si>
  <si>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</si>
  <si>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</si>
  <si>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</si>
  <si>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</si>
  <si>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</si>
  <si>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</si>
  <si>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</si>
  <si>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</si>
  <si>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</si>
  <si>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</si>
  <si>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</si>
  <si>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</si>
  <si>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</si>
  <si>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</si>
  <si>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</si>
  <si>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</si>
  <si>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</si>
  <si>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</si>
  <si>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</si>
  <si>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</si>
  <si>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</si>
  <si>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</si>
  <si>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</si>
  <si>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</si>
  <si>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</si>
  <si>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</si>
  <si>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</si>
  <si>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</si>
  <si>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</si>
  <si>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</si>
  <si>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</si>
  <si>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</si>
  <si>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</si>
  <si>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</si>
  <si>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</si>
  <si>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</si>
  <si>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</si>
  <si>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</si>
  <si>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</si>
  <si>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</si>
  <si>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</si>
  <si>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</si>
  <si>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</si>
  <si>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</si>
  <si>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</si>
  <si>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</si>
  <si>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</si>
  <si>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</si>
  <si>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</si>
  <si>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</si>
  <si>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</si>
  <si>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</si>
  <si>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</si>
  <si>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</si>
  <si>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</si>
  <si>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</si>
  <si>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</si>
  <si>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</si>
  <si>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</si>
  <si>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</si>
  <si>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</si>
  <si>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</si>
  <si>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</si>
  <si>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</si>
  <si>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</si>
  <si>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</si>
  <si>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</si>
  <si>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</si>
  <si>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</si>
  <si>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</si>
  <si>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</si>
  <si>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</si>
  <si>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</si>
  <si>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</si>
  <si>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</si>
  <si>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</si>
  <si>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</si>
  <si>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</si>
  <si>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</si>
  <si>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</si>
  <si>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</si>
  <si>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</si>
  <si>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</si>
  <si>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</si>
  <si>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</si>
  <si>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</si>
  <si>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</si>
  <si>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</si>
  <si>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</si>
  <si>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</si>
  <si>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</si>
  <si>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</si>
  <si>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</si>
  <si>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</si>
  <si>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</si>
  <si>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</si>
  <si>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</si>
  <si>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</si>
  <si>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</si>
  <si>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</si>
  <si>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</si>
  <si>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</si>
  <si>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</si>
  <si>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</si>
  <si>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</si>
  <si>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</si>
  <si>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</si>
  <si>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</si>
  <si>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</si>
  <si>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</si>
  <si>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</si>
  <si>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</si>
  <si>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</si>
  <si>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</si>
  <si>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</si>
  <si>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</si>
  <si>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</si>
  <si>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</si>
  <si>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</si>
  <si>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</si>
  <si>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HVAC Equipment Upgrades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</si>
</sst>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43599.32303530093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16749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43599.32303530093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HVAC Equipment Upgrades</v>
      </c>
      <c r="J2" t="s">
        <v>55</v>
      </c>
    </row>
    <row r="3" ht="12.75">
      <c r="J3" s="35">
        <f>+Title_RESULTS!I4</f>
        <v>43599.32303530093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16749</v>
      </c>
      <c r="H5" t="s">
        <v>59</v>
      </c>
    </row>
    <row r="6" spans="3:7" ht="12.75">
      <c r="C6" t="s">
        <v>61</v>
      </c>
      <c r="G6" s="36">
        <f>+'Value of Defferal'!E3</f>
        <v>10261.26182036775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3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1014.0415304647742</v>
      </c>
      <c r="D19" s="5">
        <f>IF((Title_RESULTS!$H$8-Title_RESULTS!$H$7)&lt;=('Sheet3(F_21)'!A19-Title_RESULTS!$H$7),((Title_RESULTS!$C$8*Partcipation!$C$26*8760*Title_RESULTS!$H$21/100000)),0)</f>
        <v>13351.240089761572</v>
      </c>
      <c r="E19" s="5">
        <f>IF($G19=0,0,((Title_RESULTS!$H$14*((1+Title_RESULTS!$H$15/100)^($A19-Title_RESULTS!$H$7))*'EUE_Line Losses'!$B$25*Partcipation!$C$26))/1000)</f>
        <v>105.18353108888097</v>
      </c>
      <c r="F19" s="5">
        <f>IF($G19=0,0,(Title_RESULTS!$H$19/100*((1+Title_RESULTS!$H$20/100)^($A19-Title_RESULTS!$H$7))*$D19*1000)/1000)</f>
        <v>30.105148261949278</v>
      </c>
      <c r="G19" s="5">
        <f>(+Title_RESULTS!$H$22/100*((1+Title_RESULTS!$H$23/100)^(+'Sheet4(F_22)'!A19-Title_RESULTS!$H$7)))*'Sheet3(F_21)'!D19</f>
        <v>572.0057055211951</v>
      </c>
      <c r="H19" s="5">
        <f>IF($G19=0,0,(($D19))*(Partcipation!$G19/100))</f>
        <v>423.58512508260344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1297.750790254196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1038.3785271959287</v>
      </c>
      <c r="D20" s="5">
        <f>IF((Title_RESULTS!$H$8-Title_RESULTS!$H$7)&lt;=('Sheet3(F_21)'!A20-Title_RESULTS!$H$7),((Title_RESULTS!$C$8*Partcipation!$C$26*8760*Title_RESULTS!$H$21/100000)),0)</f>
        <v>13351.240089761572</v>
      </c>
      <c r="E20" s="5">
        <f>IF($G20=0,0,((Title_RESULTS!$H$14*((1+Title_RESULTS!$H$15/100)^($A20-Title_RESULTS!$H$7))*'EUE_Line Losses'!$B$25*Partcipation!$C$26))/1000)</f>
        <v>107.70793583501411</v>
      </c>
      <c r="F20" s="5">
        <f>IF($G20=0,0,(Title_RESULTS!$H$19/100*((1+Title_RESULTS!$H$20/100)^($A20-Title_RESULTS!$H$7))*$D20*1000)/1000)</f>
        <v>30.82767182023606</v>
      </c>
      <c r="G20" s="5">
        <f>(+Title_RESULTS!$H$22/100*((1+Title_RESULTS!$H$23/100)^(+'Sheet4(F_22)'!A20-Title_RESULTS!$H$7)))*'Sheet3(F_21)'!D20</f>
        <v>597.9747645518574</v>
      </c>
      <c r="H20" s="5">
        <f>IF($G20=0,0,(($D20))*(Partcipation!$G20/100))</f>
        <v>442.53395265702244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1332.3549467460136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1063.299611848631</v>
      </c>
      <c r="D21" s="5">
        <f>IF((Title_RESULTS!$H$8-Title_RESULTS!$H$7)&lt;=('Sheet3(F_21)'!A21-Title_RESULTS!$H$7),((Title_RESULTS!$C$8*Partcipation!$C$26*8760*Title_RESULTS!$H$21/100000)),0)</f>
        <v>13351.240089761572</v>
      </c>
      <c r="E21" s="5">
        <f>IF($G21=0,0,((Title_RESULTS!$H$14*((1+Title_RESULTS!$H$15/100)^($A21-Title_RESULTS!$H$7))*'EUE_Line Losses'!$B$25*Partcipation!$C$26))/1000)</f>
        <v>110.29292629505446</v>
      </c>
      <c r="F21" s="5">
        <f>IF($G21=0,0,(Title_RESULTS!$H$19/100*((1+Title_RESULTS!$H$20/100)^($A21-Title_RESULTS!$H$7))*$D21*1000)/1000)</f>
        <v>31.567535943921726</v>
      </c>
      <c r="G21" s="5">
        <f>(+Title_RESULTS!$H$22/100*((1+Title_RESULTS!$H$23/100)^(+'Sheet4(F_22)'!A21-Title_RESULTS!$H$7)))*'Sheet3(F_21)'!D21</f>
        <v>625.1228188625118</v>
      </c>
      <c r="H21" s="5">
        <f>IF($G21=0,0,(($D21))*(Partcipation!$G21/100))</f>
        <v>460.07082678710645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1370.2120661630127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1088.8188025329982</v>
      </c>
      <c r="D22" s="5">
        <f>IF((Title_RESULTS!$H$8-Title_RESULTS!$H$7)&lt;=('Sheet3(F_21)'!A22-Title_RESULTS!$H$7),((Title_RESULTS!$C$8*Partcipation!$C$26*8760*Title_RESULTS!$H$21/100000)),0)</f>
        <v>13351.240089761572</v>
      </c>
      <c r="E22" s="5">
        <f>IF($G22=0,0,((Title_RESULTS!$H$14*((1+Title_RESULTS!$H$15/100)^($A22-Title_RESULTS!$H$7))*'EUE_Line Losses'!$B$25*Partcipation!$C$26))/1000)</f>
        <v>112.93995652613573</v>
      </c>
      <c r="F22" s="5">
        <f>IF($G22=0,0,(Title_RESULTS!$H$19/100*((1+Title_RESULTS!$H$20/100)^($A22-Title_RESULTS!$H$7))*$D22*1000)/1000)</f>
        <v>32.32515680657585</v>
      </c>
      <c r="G22" s="5">
        <f>(+Title_RESULTS!$H$22/100*((1+Title_RESULTS!$H$23/100)^(+'Sheet4(F_22)'!A22-Title_RESULTS!$H$7)))*'Sheet3(F_21)'!D22</f>
        <v>653.5033948388699</v>
      </c>
      <c r="H22" s="5">
        <f>IF($G22=0,0,(($D22))*(Partcipation!$G22/100))</f>
        <v>474.97728601993816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1412.6100246846418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1114.95045379379</v>
      </c>
      <c r="D23" s="5">
        <f>IF((Title_RESULTS!$H$8-Title_RESULTS!$H$7)&lt;=('Sheet3(F_21)'!A23-Title_RESULTS!$H$7),((Title_RESULTS!$C$8*Partcipation!$C$26*8760*Title_RESULTS!$H$21/100000)),0)</f>
        <v>13351.240089761572</v>
      </c>
      <c r="E23" s="5">
        <f>IF($G23=0,0,((Title_RESULTS!$H$14*((1+Title_RESULTS!$H$15/100)^($A23-Title_RESULTS!$H$7))*'EUE_Line Losses'!$B$25*Partcipation!$C$26))/1000)</f>
        <v>115.650515482763</v>
      </c>
      <c r="F23" s="5">
        <f>IF($G23=0,0,(Title_RESULTS!$H$19/100*((1+Title_RESULTS!$H$20/100)^($A23-Title_RESULTS!$H$7))*$D23*1000)/1000)</f>
        <v>33.10096056993367</v>
      </c>
      <c r="G23" s="5">
        <f>(+Title_RESULTS!$H$22/100*((1+Title_RESULTS!$H$23/100)^(+'Sheet4(F_22)'!A23-Title_RESULTS!$H$7)))*'Sheet3(F_21)'!D23</f>
        <v>683.1724489645547</v>
      </c>
      <c r="H23" s="5">
        <f>IF($G23=0,0,(($D23))*(Partcipation!$G23/100))</f>
        <v>496.2371120796598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1450.6372667313817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1141.7092646848412</v>
      </c>
      <c r="D24" s="5">
        <f>IF((Title_RESULTS!$H$8-Title_RESULTS!$H$7)&lt;=('Sheet3(F_21)'!A24-Title_RESULTS!$H$7),((Title_RESULTS!$C$8*Partcipation!$C$26*8760*Title_RESULTS!$H$21/100000)),0)</f>
        <v>13351.240089761572</v>
      </c>
      <c r="E24" s="5">
        <f>IF($G24=0,0,((Title_RESULTS!$H$14*((1+Title_RESULTS!$H$15/100)^($A24-Title_RESULTS!$H$7))*'EUE_Line Losses'!$B$25*Partcipation!$C$26))/1000)</f>
        <v>118.4261278543493</v>
      </c>
      <c r="F24" s="5">
        <f>IF($G24=0,0,(Title_RESULTS!$H$19/100*((1+Title_RESULTS!$H$20/100)^($A24-Title_RESULTS!$H$7))*$D24*1000)/1000)</f>
        <v>33.89538362361208</v>
      </c>
      <c r="G24" s="5">
        <f>(+Title_RESULTS!$H$22/100*((1+Title_RESULTS!$H$23/100)^(+'Sheet4(F_22)'!A24-Title_RESULTS!$H$7)))*'Sheet3(F_21)'!D24</f>
        <v>714.1884781475457</v>
      </c>
      <c r="H24" s="5">
        <f>IF($G24=0,0,(($D24))*(Partcipation!$G24/100))</f>
        <v>534.0823327775556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1474.1369215327927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1169.1102870372772</v>
      </c>
      <c r="D25" s="5">
        <f>IF((Title_RESULTS!$H$8-Title_RESULTS!$H$7)&lt;=('Sheet3(F_21)'!A25-Title_RESULTS!$H$7),((Title_RESULTS!$C$8*Partcipation!$C$26*8760*Title_RESULTS!$H$21/100000)),0)</f>
        <v>13351.240089761572</v>
      </c>
      <c r="E25" s="5">
        <f>IF($G25=0,0,((Title_RESULTS!$H$14*((1+Title_RESULTS!$H$15/100)^($A25-Title_RESULTS!$H$7))*'EUE_Line Losses'!$B$25*Partcipation!$C$26))/1000)</f>
        <v>121.26835492285369</v>
      </c>
      <c r="F25" s="5">
        <f>IF($G25=0,0,(Title_RESULTS!$H$19/100*((1+Title_RESULTS!$H$20/100)^($A25-Title_RESULTS!$H$7))*$D25*1000)/1000)</f>
        <v>34.708872830578755</v>
      </c>
      <c r="G25" s="5">
        <f>(+Title_RESULTS!$H$22/100*((1+Title_RESULTS!$H$23/100)^(+'Sheet4(F_22)'!A25-Title_RESULTS!$H$7)))*'Sheet3(F_21)'!D25</f>
        <v>746.6126350554442</v>
      </c>
      <c r="H25" s="5">
        <f>IF($G25=0,0,(($D25))*(Partcipation!$G25/100))</f>
        <v>557.5208849999311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1514.1792648462228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1197.168933926172</v>
      </c>
      <c r="D26" s="5">
        <f>IF((Title_RESULTS!$H$8-Title_RESULTS!$H$7)&lt;=('Sheet3(F_21)'!A26-Title_RESULTS!$H$7),((Title_RESULTS!$C$8*Partcipation!$C$26*8760*Title_RESULTS!$H$21/100000)),0)</f>
        <v>13351.240089761572</v>
      </c>
      <c r="E26" s="5">
        <f>IF($G26=0,0,((Title_RESULTS!$H$14*((1+Title_RESULTS!$H$15/100)^($A26-Title_RESULTS!$H$7))*'EUE_Line Losses'!$B$25*Partcipation!$C$26))/1000)</f>
        <v>124.17879544100217</v>
      </c>
      <c r="F26" s="5">
        <f>IF($G26=0,0,(Title_RESULTS!$H$19/100*((1+Title_RESULTS!$H$20/100)^($A26-Title_RESULTS!$H$7))*$D26*1000)/1000)</f>
        <v>35.54188577851265</v>
      </c>
      <c r="G26" s="5">
        <f>(+Title_RESULTS!$H$22/100*((1+Title_RESULTS!$H$23/100)^(+'Sheet4(F_22)'!A26-Title_RESULTS!$H$7)))*'Sheet3(F_21)'!D26</f>
        <v>780.5088486869615</v>
      </c>
      <c r="H26" s="5">
        <f>IF($G26=0,0,(($D26))*(Partcipation!$G26/100))</f>
        <v>598.9741833399261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1538.4242804927221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1225.9009883404</v>
      </c>
      <c r="D27" s="5">
        <f>IF((Title_RESULTS!$H$8-Title_RESULTS!$H$7)&lt;=('Sheet3(F_21)'!A27-Title_RESULTS!$H$7),((Title_RESULTS!$C$8*Partcipation!$C$26*8760*Title_RESULTS!$H$21/100000)),0)</f>
        <v>13351.240089761572</v>
      </c>
      <c r="E27" s="5">
        <f>IF($G27=0,0,((Title_RESULTS!$H$14*((1+Title_RESULTS!$H$15/100)^($A27-Title_RESULTS!$H$7))*'EUE_Line Losses'!$B$25*Partcipation!$C$26))/1000)</f>
        <v>127.15908653158624</v>
      </c>
      <c r="F27" s="5">
        <f>IF($G27=0,0,(Title_RESULTS!$H$19/100*((1+Title_RESULTS!$H$20/100)^($A27-Title_RESULTS!$H$7))*$D27*1000)/1000)</f>
        <v>36.394891037196956</v>
      </c>
      <c r="G27" s="5">
        <f>(+Title_RESULTS!$H$22/100*((1+Title_RESULTS!$H$23/100)^(+'Sheet4(F_22)'!A27-Title_RESULTS!$H$7)))*'Sheet3(F_21)'!D27</f>
        <v>815.9439504173496</v>
      </c>
      <c r="H27" s="5">
        <f>IF($G27=0,0,(($D27))*(Partcipation!$G27/100))</f>
        <v>613.8689083092634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1591.5300080172694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1255.3226120605698</v>
      </c>
      <c r="D28" s="5">
        <f>IF((Title_RESULTS!$H$8-Title_RESULTS!$H$7)&lt;=('Sheet3(F_21)'!A28-Title_RESULTS!$H$7),((Title_RESULTS!$C$8*Partcipation!$C$26*8760*Title_RESULTS!$H$21/100000)),0)</f>
        <v>13351.240089761572</v>
      </c>
      <c r="E28" s="5">
        <f>IF($G28=0,0,((Title_RESULTS!$H$14*((1+Title_RESULTS!$H$15/100)^($A28-Title_RESULTS!$H$7))*'EUE_Line Losses'!$B$25*Partcipation!$C$26))/1000)</f>
        <v>130.21090460834432</v>
      </c>
      <c r="F28" s="5">
        <f>IF($G28=0,0,(Title_RESULTS!$H$19/100*((1+Title_RESULTS!$H$20/100)^($A28-Title_RESULTS!$H$7))*$D28*1000)/1000)</f>
        <v>37.26836842208969</v>
      </c>
      <c r="G28" s="5">
        <f>(+Title_RESULTS!$H$22/100*((1+Title_RESULTS!$H$23/100)^(+'Sheet4(F_22)'!A28-Title_RESULTS!$H$7)))*'Sheet3(F_21)'!D28</f>
        <v>852.9878057662974</v>
      </c>
      <c r="H28" s="5">
        <f>IF($G28=0,0,(($D28))*(Partcipation!$G28/100))</f>
        <v>650.7071271612729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1625.0825636960283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1285.4503547500237</v>
      </c>
      <c r="D29" s="5">
        <f>IF((Title_RESULTS!$H$8-Title_RESULTS!$H$7)&lt;=('Sheet3(F_21)'!A29-Title_RESULTS!$H$7),((Title_RESULTS!$C$8*Partcipation!$C$26*8760*Title_RESULTS!$H$21/100000)),0)</f>
        <v>13351.240089761572</v>
      </c>
      <c r="E29" s="5">
        <f>IF($G29=0,0,((Title_RESULTS!$H$14*((1+Title_RESULTS!$H$15/100)^($A29-Title_RESULTS!$H$7))*'EUE_Line Losses'!$B$25*Partcipation!$C$26))/1000)</f>
        <v>133.33596631894454</v>
      </c>
      <c r="F29" s="5">
        <f>IF($G29=0,0,(Title_RESULTS!$H$19/100*((1+Title_RESULTS!$H$20/100)^($A29-Title_RESULTS!$H$7))*$D29*1000)/1000)</f>
        <v>38.16280926421984</v>
      </c>
      <c r="G29" s="5">
        <f>(+Title_RESULTS!$H$22/100*((1+Title_RESULTS!$H$23/100)^(+'Sheet4(F_22)'!A29-Title_RESULTS!$H$7)))*'Sheet3(F_21)'!D29</f>
        <v>891.7134521480873</v>
      </c>
      <c r="H29" s="5">
        <f>IF($G29=0,0,(($D29))*(Partcipation!$G29/100))</f>
        <v>665.5481031789952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1683.1144793022802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1316.3011632640241</v>
      </c>
      <c r="D30" s="5">
        <f>IF((Title_RESULTS!$H$8-Title_RESULTS!$H$7)&lt;=('Sheet3(F_21)'!A30-Title_RESULTS!$H$7),((Title_RESULTS!$C$8*Partcipation!$C$26*8760*Title_RESULTS!$H$21/100000)),0)</f>
        <v>13351.240089761572</v>
      </c>
      <c r="E30" s="5">
        <f>IF($G30=0,0,((Title_RESULTS!$H$14*((1+Title_RESULTS!$H$15/100)^($A30-Title_RESULTS!$H$7))*'EUE_Line Losses'!$B$25*Partcipation!$C$26))/1000)</f>
        <v>136.53602951059923</v>
      </c>
      <c r="F30" s="5">
        <f>IF($G30=0,0,(Title_RESULTS!$H$19/100*((1+Title_RESULTS!$H$20/100)^($A30-Title_RESULTS!$H$7))*$D30*1000)/1000)</f>
        <v>39.07871668656111</v>
      </c>
      <c r="G30" s="5">
        <f>(+Title_RESULTS!$H$22/100*((1+Title_RESULTS!$H$23/100)^(+'Sheet4(F_22)'!A30-Title_RESULTS!$H$7)))*'Sheet3(F_21)'!D30</f>
        <v>932.1972428756105</v>
      </c>
      <c r="H30" s="5">
        <f>IF($G30=0,0,(($D30))*(Partcipation!$G30/100))</f>
        <v>708.4939909021357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1715.6191614346592</v>
      </c>
    </row>
    <row r="31" spans="1:10" ht="12.75">
      <c r="A31">
        <f t="shared" si="0"/>
        <v>2035</v>
      </c>
      <c r="B31" s="43">
        <f>VLOOKUP(A31,'Value of Defferal'!$B38:$F$61,'Value of Defferal'!$C$10)</f>
        <v>0.1313573724926214</v>
      </c>
      <c r="C31" s="44">
        <f>VLOOKUP(A31,'Value of Defferal'!$B38:$F$61,'Value of Defferal'!$C$9)</f>
        <v>1347.8923911823608</v>
      </c>
      <c r="D31" s="5">
        <f>IF((Title_RESULTS!$H$8-Title_RESULTS!$H$7)&lt;=('Sheet3(F_21)'!A31-Title_RESULTS!$H$7),((Title_RESULTS!$C$8*Partcipation!$C$26*8760*Title_RESULTS!$H$21/100000)),0)</f>
        <v>13351.240089761572</v>
      </c>
      <c r="E31" s="5">
        <f>IF($G31=0,0,((Title_RESULTS!$H$14*((1+Title_RESULTS!$H$15/100)^($A31-Title_RESULTS!$H$7))*'EUE_Line Losses'!$B$25*Partcipation!$C$26))/1000)</f>
        <v>139.81289421885361</v>
      </c>
      <c r="F31" s="5">
        <f>IF($G31=0,0,(Title_RESULTS!$H$19/100*((1+Title_RESULTS!$H$20/100)^($A31-Title_RESULTS!$H$7))*$D31*1000)/1000)</f>
        <v>40.01660588703858</v>
      </c>
      <c r="G31" s="5">
        <f>(+Title_RESULTS!$H$22/100*((1+Title_RESULTS!$H$23/100)^(+'Sheet4(F_22)'!A31-Title_RESULTS!$H$7)))*'Sheet3(F_21)'!D31</f>
        <v>974.5189977021633</v>
      </c>
      <c r="H31" s="5">
        <f>IF($G31=0,0,(($D31))*(Partcipation!$G31/100))</f>
        <v>735.659932377662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1766.5809566127543</v>
      </c>
    </row>
    <row r="32" spans="1:10" ht="12.75">
      <c r="A32">
        <f t="shared" si="0"/>
        <v>2036</v>
      </c>
      <c r="B32" s="43">
        <f>VLOOKUP(A32,'Value of Defferal'!$B39:$F$61,'Value of Defferal'!$C$10)</f>
        <v>0.1345099494324443</v>
      </c>
      <c r="C32" s="44">
        <f>VLOOKUP(A32,'Value of Defferal'!$B39:$F$61,'Value of Defferal'!$C$9)</f>
        <v>1380.2418085707372</v>
      </c>
      <c r="D32" s="5">
        <f>IF((Title_RESULTS!$H$8-Title_RESULTS!$H$7)&lt;=('Sheet3(F_21)'!A32-Title_RESULTS!$H$7),((Title_RESULTS!$C$8*Partcipation!$C$26*8760*Title_RESULTS!$H$21/100000)),0)</f>
        <v>13351.240089761572</v>
      </c>
      <c r="E32" s="5">
        <f>IF($G32=0,0,((Title_RESULTS!$H$14*((1+Title_RESULTS!$H$15/100)^($A32-Title_RESULTS!$H$7))*'EUE_Line Losses'!$B$25*Partcipation!$C$26))/1000)</f>
        <v>143.1684036801061</v>
      </c>
      <c r="F32" s="5">
        <f>IF($G32=0,0,(Title_RESULTS!$H$19/100*((1+Title_RESULTS!$H$20/100)^($A32-Title_RESULTS!$H$7))*$D32*1000)/1000)</f>
        <v>40.9770044283275</v>
      </c>
      <c r="G32" s="5">
        <f>(+Title_RESULTS!$H$22/100*((1+Title_RESULTS!$H$23/100)^(+'Sheet4(F_22)'!A32-Title_RESULTS!$H$7)))*'Sheet3(F_21)'!D32</f>
        <v>1018.7621601978417</v>
      </c>
      <c r="H32" s="5">
        <f>IF($G32=0,0,(($D32))*(Partcipation!$G32/100))</f>
        <v>750.492054232019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1832.6573226449934</v>
      </c>
    </row>
    <row r="33" spans="1:10" ht="12.75">
      <c r="A33">
        <f t="shared" si="0"/>
        <v>2037</v>
      </c>
      <c r="B33" s="43">
        <f>VLOOKUP(A33,'Value of Defferal'!$B40:$F$61,'Value of Defferal'!$C$10)</f>
        <v>0.13773818821882297</v>
      </c>
      <c r="C33" s="44">
        <f>VLOOKUP(A33,'Value of Defferal'!$B40:$F$61,'Value of Defferal'!$C$9)</f>
        <v>1413.3676119764352</v>
      </c>
      <c r="D33" s="5">
        <f>IF((Title_RESULTS!$H$8-Title_RESULTS!$H$7)&lt;=('Sheet3(F_21)'!A33-Title_RESULTS!$H$7),((Title_RESULTS!$C$8*Partcipation!$C$26*8760*Title_RESULTS!$H$21/100000)),0)</f>
        <v>13351.240089761572</v>
      </c>
      <c r="E33" s="5">
        <f>IF($G33=0,0,((Title_RESULTS!$H$14*((1+Title_RESULTS!$H$15/100)^($A33-Title_RESULTS!$H$7))*'EUE_Line Losses'!$B$25*Partcipation!$C$26))/1000)</f>
        <v>146.60444536842866</v>
      </c>
      <c r="F33" s="5">
        <f>IF($G33=0,0,(Title_RESULTS!$H$19/100*((1+Title_RESULTS!$H$20/100)^($A33-Title_RESULTS!$H$7))*$D33*1000)/1000)</f>
        <v>41.96045253460736</v>
      </c>
      <c r="G33" s="5">
        <f>(+Title_RESULTS!$H$22/100*((1+Title_RESULTS!$H$23/100)^(+'Sheet4(F_22)'!A33-Title_RESULTS!$H$7)))*'Sheet3(F_21)'!D33</f>
        <v>1065.013962270824</v>
      </c>
      <c r="H33" s="5">
        <f>IF($G33=0,0,(($D33))*(Partcipation!$G33/100))</f>
        <v>791.1681063598733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1875.7783657904217</v>
      </c>
    </row>
    <row r="34" spans="3:10" ht="12.75"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87</v>
      </c>
      <c r="B35" s="9"/>
      <c r="C35" s="9">
        <f aca="true" t="shared" si="1" ref="C35:J35">SUM(C16:C34)</f>
        <v>18051.954341628963</v>
      </c>
      <c r="D35" s="9">
        <f t="shared" si="1"/>
        <v>200268.6013464235</v>
      </c>
      <c r="E35" s="9">
        <f t="shared" si="1"/>
        <v>1872.475873682916</v>
      </c>
      <c r="F35" s="9">
        <f t="shared" si="1"/>
        <v>535.931463895361</v>
      </c>
      <c r="G35" s="9">
        <f t="shared" si="1"/>
        <v>11924.226666007116</v>
      </c>
      <c r="H35" s="9">
        <f t="shared" si="1"/>
        <v>8903.919926264964</v>
      </c>
      <c r="I35" s="9">
        <f t="shared" si="1"/>
        <v>0</v>
      </c>
      <c r="J35" s="9">
        <f t="shared" si="1"/>
        <v>23480.66841894939</v>
      </c>
    </row>
    <row r="36" spans="3:10" ht="12.75"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89</v>
      </c>
      <c r="C37" s="5">
        <f>NPV(Title_RESULTS!$C$37,C17:C34)+'Sheet3(F_21)'!C16</f>
        <v>9230.561602102347</v>
      </c>
      <c r="D37" s="5"/>
      <c r="E37" s="5">
        <f>NPV(Title_RESULTS!$C$37,E17:E34)+'Sheet3(F_21)'!E16</f>
        <v>957.458875276598</v>
      </c>
      <c r="F37" s="5">
        <f>NPV(Title_RESULTS!$C$37,F17:F34)+'Sheet3(F_21)'!F16</f>
        <v>274.03949170107524</v>
      </c>
      <c r="G37" s="5">
        <f>NPV(Title_RESULTS!$C$37,G17:G34)+'Sheet3(F_21)'!G16</f>
        <v>5939.077001342663</v>
      </c>
      <c r="H37" s="5">
        <f>NPV(Title_RESULTS!$C$37,H17:H34)+'Sheet3(F_21)'!H16</f>
        <v>4426.5028195780405</v>
      </c>
      <c r="I37" s="5">
        <f>NPV(Title_RESULTS!$C$37,I17:I34)+'Sheet3(F_21)'!I16</f>
        <v>0</v>
      </c>
      <c r="J37" s="5">
        <f>NPV(Title_RESULTS!$C$37,J17:J34)+'Sheet3(F_21)'!J16</f>
        <v>11974.63415084464</v>
      </c>
    </row>
    <row r="39" ht="12.75">
      <c r="A39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HVAC Equipment Upgrades</v>
      </c>
      <c r="F2" t="s">
        <v>55</v>
      </c>
    </row>
    <row r="3" spans="6:7" ht="12.75">
      <c r="F3" s="35">
        <f>+Title_RESULTS!I4</f>
        <v>43599.32303530093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18657.70042194093</v>
      </c>
      <c r="C16" s="5">
        <f>$B16*'Sheet2(F_12)'!$E16/100</f>
        <v>541.2057116738592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541.2057116738592</v>
      </c>
      <c r="G16" s="5">
        <f>+$F16*'Sheet2(F_12)'!$I16</f>
        <v>541.2057116738592</v>
      </c>
    </row>
    <row r="17" spans="1:7" ht="12.75">
      <c r="A17">
        <f>+A16+1</f>
        <v>2021</v>
      </c>
      <c r="B17" s="5">
        <f>(+Partcipation!$C16+(Partcipation!$C17-Partcipation!$C16)/2)*Title_RESULTS!$C$10/1000</f>
        <v>55973.101265822785</v>
      </c>
      <c r="C17" s="5">
        <f>$B17*'Sheet2(F_12)'!$E17/100</f>
        <v>1610.410871601834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1610.410871601834</v>
      </c>
      <c r="G17" s="5">
        <f>+$F17*'Sheet2(F_12)'!$I17</f>
        <v>1610.410871601834</v>
      </c>
    </row>
    <row r="18" spans="1:7" ht="12.75">
      <c r="A18">
        <f>+A17+1</f>
        <v>2022</v>
      </c>
      <c r="B18" s="5">
        <f>(+Partcipation!$C17+(Partcipation!$C18-Partcipation!$C17)/2)*Title_RESULTS!$C$10/1000</f>
        <v>93288.50210970464</v>
      </c>
      <c r="C18" s="5">
        <f>$B18*'Sheet2(F_12)'!$E18/100</f>
        <v>2770.086346967741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2770.086346967741</v>
      </c>
      <c r="G18" s="5">
        <f>+$F18*'Sheet2(F_12)'!$I18</f>
        <v>2770.086346967741</v>
      </c>
    </row>
    <row r="19" spans="1:7" ht="12.75">
      <c r="A19">
        <f aca="true" t="shared" si="0" ref="A19:A33">+A18+1</f>
        <v>2023</v>
      </c>
      <c r="B19" s="5">
        <f>(+Partcipation!$C18+(Partcipation!$C19-Partcipation!$C18)/2)*Title_RESULTS!$C$10/1000</f>
        <v>111946.20253164557</v>
      </c>
      <c r="C19" s="5">
        <f>$B19*'Sheet2(F_12)'!$E19/100</f>
        <v>3460.470959650695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3">+C19-E19</f>
        <v>3460.470959650695</v>
      </c>
      <c r="G19" s="5">
        <f>+$F19*'Sheet2(F_12)'!$I19</f>
        <v>3460.470959650695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111946.20253164557</v>
      </c>
      <c r="C20" s="5">
        <f>$B20*'Sheet2(F_12)'!$E20/100</f>
        <v>3596.454425071861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3596.454425071861</v>
      </c>
      <c r="G20" s="5">
        <f>+$F20*'Sheet2(F_12)'!$I20</f>
        <v>3596.454425071861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111946.20253164557</v>
      </c>
      <c r="C21" s="5">
        <f>$B21*'Sheet2(F_12)'!$E21/100</f>
        <v>3861.5092847475094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3861.5092847475094</v>
      </c>
      <c r="G21" s="5">
        <f>+$F21*'Sheet2(F_12)'!$I21</f>
        <v>3861.5092847475094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111946.20253164557</v>
      </c>
      <c r="C22" s="5">
        <f>$B22*'Sheet2(F_12)'!$E22/100</f>
        <v>3985.3657453567225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3985.3657453567225</v>
      </c>
      <c r="G22" s="5">
        <f>+$F22*'Sheet2(F_12)'!$I22</f>
        <v>3985.3657453567225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111946.20253164557</v>
      </c>
      <c r="C23" s="5">
        <f>$B23*'Sheet2(F_12)'!$E23/100</f>
        <v>4234.43326674277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4234.43326674277</v>
      </c>
      <c r="G23" s="5">
        <f>+$F23*'Sheet2(F_12)'!$I23</f>
        <v>4234.43326674277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111946.20253164557</v>
      </c>
      <c r="C24" s="5">
        <f>$B24*'Sheet2(F_12)'!$E24/100</f>
        <v>4692.2417317062855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4692.2417317062855</v>
      </c>
      <c r="G24" s="5">
        <f>+$F24*'Sheet2(F_12)'!$I24</f>
        <v>4692.2417317062855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111946.20253164557</v>
      </c>
      <c r="C25" s="5">
        <f>$B25*'Sheet2(F_12)'!$E25/100</f>
        <v>5027.100131495289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5027.100131495289</v>
      </c>
      <c r="G25" s="5">
        <f>+$F25*'Sheet2(F_12)'!$I25</f>
        <v>5027.100131495289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111946.20253164557</v>
      </c>
      <c r="C26" s="5">
        <f>$B26*'Sheet2(F_12)'!$E26/100</f>
        <v>5614.992344493578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5614.992344493578</v>
      </c>
      <c r="G26" s="5">
        <f>+$F26*'Sheet2(F_12)'!$I26</f>
        <v>5614.992344493578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111946.20253164557</v>
      </c>
      <c r="C27" s="5">
        <f>$B27*'Sheet2(F_12)'!$E27/100</f>
        <v>5594.111055117239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5594.111055117239</v>
      </c>
      <c r="G27" s="5">
        <f>+$F27*'Sheet2(F_12)'!$I27</f>
        <v>5594.111055117239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111946.20253164557</v>
      </c>
      <c r="C28" s="5">
        <f>$B28*'Sheet2(F_12)'!$E28/100</f>
        <v>6113.846353746356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6113.846353746356</v>
      </c>
      <c r="G28" s="5">
        <f>+$F28*'Sheet2(F_12)'!$I28</f>
        <v>6113.846353746356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111946.20253164557</v>
      </c>
      <c r="C29" s="5">
        <f>$B29*'Sheet2(F_12)'!$E29/100</f>
        <v>6519.860996715026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6519.860996715026</v>
      </c>
      <c r="G29" s="5">
        <f>+$F29*'Sheet2(F_12)'!$I29</f>
        <v>6519.860996715026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111946.20253164557</v>
      </c>
      <c r="C30" s="5">
        <f>$B30*'Sheet2(F_12)'!$E30/100</f>
        <v>6823.440525475406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6823.440525475406</v>
      </c>
      <c r="G30" s="5">
        <f>+$F30*'Sheet2(F_12)'!$I30</f>
        <v>6823.440525475406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111946.20253164557</v>
      </c>
      <c r="C31" s="5">
        <f>$B31*'Sheet2(F_12)'!$E31/100</f>
        <v>7514.976690292462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7514.976690292462</v>
      </c>
      <c r="G31" s="5">
        <f>+$F31*'Sheet2(F_12)'!$I31</f>
        <v>7514.976690292462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111946.20253164557</v>
      </c>
      <c r="C32" s="5">
        <f>$B32*'Sheet2(F_12)'!$E32/100</f>
        <v>7422.561692768991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7422.561692768991</v>
      </c>
      <c r="G32" s="5">
        <f>+$F32*'Sheet2(F_12)'!$I32</f>
        <v>7422.561692768991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111946.20253164557</v>
      </c>
      <c r="C33" s="5">
        <f>$B33*'Sheet2(F_12)'!$E33/100</f>
        <v>7922.208690369534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7922.208690369534</v>
      </c>
      <c r="G33" s="5">
        <f>+$F33*'Sheet2(F_12)'!$I33</f>
        <v>7922.208690369534</v>
      </c>
    </row>
    <row r="34" spans="2:7" ht="12.75">
      <c r="B34" s="5"/>
      <c r="C34" s="5"/>
      <c r="D34" s="5"/>
      <c r="E34" s="5"/>
      <c r="F34" s="5"/>
      <c r="G34" s="5"/>
    </row>
    <row r="35" spans="1:7" ht="12.75">
      <c r="A35" t="s">
        <v>87</v>
      </c>
      <c r="B35" s="5">
        <f aca="true" t="shared" si="2" ref="B35:G35">SUM(B16:B34)</f>
        <v>1847112.3417721516</v>
      </c>
      <c r="C35" s="5">
        <f t="shared" si="2"/>
        <v>87305.27682399315</v>
      </c>
      <c r="D35" s="5">
        <f t="shared" si="2"/>
        <v>0</v>
      </c>
      <c r="E35" s="5">
        <f t="shared" si="2"/>
        <v>0</v>
      </c>
      <c r="F35" s="5">
        <f t="shared" si="2"/>
        <v>87305.27682399315</v>
      </c>
      <c r="G35" s="5">
        <f t="shared" si="2"/>
        <v>87305.27682399315</v>
      </c>
    </row>
    <row r="36" spans="2:7" ht="12.75">
      <c r="B36" s="5"/>
      <c r="C36" s="5"/>
      <c r="D36" s="5"/>
      <c r="E36" s="5"/>
      <c r="F36" s="5"/>
      <c r="G36" s="5"/>
    </row>
    <row r="37" spans="1:7" ht="12.75">
      <c r="A37" t="s">
        <v>118</v>
      </c>
      <c r="B37" s="5"/>
      <c r="C37" s="5">
        <f>NPV(+Title_RESULTS!$C$37,C17:C34)+C16</f>
        <v>44567.25655079246</v>
      </c>
      <c r="D37" s="5"/>
      <c r="E37" s="5">
        <f>NPV(+Title_RESULTS!$C$37,E17:E34)+E16</f>
        <v>0</v>
      </c>
      <c r="F37" s="5">
        <f>NPV(+Title_RESULTS!$C$37,F17:F34)+F16</f>
        <v>44567.25655079246</v>
      </c>
      <c r="G37" s="5">
        <f>NPV(+Title_RESULTS!$C$37,G17:G34)+G16</f>
        <v>44567.25655079246</v>
      </c>
    </row>
    <row r="38" spans="6:7" ht="12.75">
      <c r="F38" s="9"/>
      <c r="G38" s="9"/>
    </row>
    <row r="39" ht="12.75">
      <c r="A39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HVAC Equipment Upgrades</v>
      </c>
      <c r="J2" t="s">
        <v>42</v>
      </c>
    </row>
    <row r="3" spans="9:10" ht="12.75">
      <c r="I3" s="4"/>
      <c r="J3" s="35">
        <f>+Title_RESULTS!I4</f>
        <v>43599.32303530093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3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14" ht="15">
      <c r="B36" s="28"/>
      <c r="C36" s="28"/>
      <c r="D36" s="10"/>
      <c r="E36" s="10"/>
      <c r="N36" s="64"/>
    </row>
    <row r="37" spans="2:14" ht="15">
      <c r="B37" s="28"/>
      <c r="C37" s="28"/>
      <c r="D37" s="10"/>
      <c r="E37" s="10"/>
      <c r="N37" s="64"/>
    </row>
    <row r="38" spans="2:14" ht="15">
      <c r="B38" s="28"/>
      <c r="C38" s="28"/>
      <c r="D38" s="10"/>
      <c r="E38" s="10"/>
      <c r="N38" s="64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HVAC Equipment Upgrades</v>
      </c>
      <c r="H2" t="s">
        <v>108</v>
      </c>
    </row>
    <row r="3" ht="12.75">
      <c r="H3" s="35">
        <f>+Title_RESULTS!I4</f>
        <v>43599.32303530093</v>
      </c>
    </row>
    <row r="5" spans="3:6" ht="12.75">
      <c r="C5" t="s">
        <v>60</v>
      </c>
      <c r="F5" s="38">
        <f>+'Value of Defferal'!L4</f>
        <v>598.5690623999999</v>
      </c>
    </row>
    <row r="6" spans="3:6" ht="12.75">
      <c r="C6" t="s">
        <v>62</v>
      </c>
      <c r="F6" s="38">
        <f>+'Value of Defferal'!L5</f>
        <v>1275.3248256000002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541.2057116738592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59.15197358283639</v>
      </c>
      <c r="C17" s="5">
        <f>IF(+Title_RESULTS!$H$9&lt;='Sheet4(F_22)'!$A17,(+Title_RESULTS!$H$16*((1+Title_RESULTS!$H$18/100)^('Sheet4(F_22)'!$A17-Title_RESULTS!$H$7))*Title_RESULTS!$C$8*Partcipation!$C$26/1000),0)</f>
        <v>47.678310738529355</v>
      </c>
      <c r="D17" s="5">
        <f>(+B17+C17)*+Partcipation!$H17</f>
        <v>106.83028432136575</v>
      </c>
      <c r="E17" s="5">
        <f>VLOOKUP(A17,'Value of Defferal'!$I24:$P$58,'Value of Defferal'!$K$13)</f>
        <v>126.03053704605674</v>
      </c>
      <c r="F17" s="5">
        <f>IF(+'Value of Defferal'!P24=0,0,Title_RESULTS!$H$17*Title_RESULTS!$C$7*Partcipation!$C$26*(1+Title_RESULTS!$H$18/100)^('Sheet4(F_22)'!A17-Title_RESULTS!$H$7))/1000</f>
        <v>175.5758592</v>
      </c>
      <c r="G17" s="5">
        <f>(+E17+F17)*Partcipation!$H17</f>
        <v>301.60639624605676</v>
      </c>
      <c r="H17" s="5">
        <f>+'Sheet5(p_5)'!$F17*'Sheet2(F_12)'!$I17</f>
        <v>1610.410871601834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60.57162094882446</v>
      </c>
      <c r="C18" s="5">
        <f>IF(+Title_RESULTS!$H$9&lt;='Sheet4(F_22)'!$A18,(+Title_RESULTS!$H$16*((1+Title_RESULTS!$H$18/100)^('Sheet4(F_22)'!$A18-Title_RESULTS!$H$7))*Title_RESULTS!$C$8*Partcipation!$C$26/1000),0)</f>
        <v>48.82259019625406</v>
      </c>
      <c r="D18" s="5">
        <f>(+B18+C18)*+Partcipation!$H18</f>
        <v>109.39421114507851</v>
      </c>
      <c r="E18" s="5">
        <f>VLOOKUP(A18,'Value of Defferal'!$I25:$P$58,'Value of Defferal'!$K$13)</f>
        <v>129.0552699351621</v>
      </c>
      <c r="F18" s="5">
        <f>IF(+'Value of Defferal'!P25=0,0,Title_RESULTS!$H$17*Title_RESULTS!$C$7*Partcipation!$C$26*(1+Title_RESULTS!$H$18/100)^('Sheet4(F_22)'!A18-Title_RESULTS!$H$7))/1000</f>
        <v>179.78967982079996</v>
      </c>
      <c r="G18" s="5">
        <f>(+E18+F18)*Partcipation!$H18</f>
        <v>308.84494975596203</v>
      </c>
      <c r="H18" s="5">
        <f>+'Sheet5(p_5)'!$F18*'Sheet2(F_12)'!$I18</f>
        <v>2770.086346967741</v>
      </c>
      <c r="I18" s="5"/>
      <c r="J18" s="5"/>
    </row>
    <row r="19" spans="1:10" ht="12.75">
      <c r="A19">
        <f aca="true" t="shared" si="0" ref="A19:A33">+A18+1</f>
        <v>2023</v>
      </c>
      <c r="B19" s="5">
        <f>VLOOKUP(A19,'Value of Defferal'!$I26:$P$58,'Value of Defferal'!$K$9)</f>
        <v>62.02533985159625</v>
      </c>
      <c r="C19" s="5">
        <f>IF(+Title_RESULTS!$H$9&lt;='Sheet4(F_22)'!$A19,(+Title_RESULTS!$H$16*((1+Title_RESULTS!$H$18/100)^('Sheet4(F_22)'!$A19-Title_RESULTS!$H$7))*Title_RESULTS!$C$8*Partcipation!$C$26/1000),0)</f>
        <v>49.99433236096415</v>
      </c>
      <c r="D19" s="5">
        <f>(+B19+C19)*+Partcipation!$H19</f>
        <v>112.01967221256041</v>
      </c>
      <c r="E19" s="5">
        <f>VLOOKUP(A19,'Value of Defferal'!$I26:$P$58,'Value of Defferal'!$K$13)</f>
        <v>132.152596413606</v>
      </c>
      <c r="F19" s="5">
        <f>IF(+'Value of Defferal'!P26=0,0,Title_RESULTS!$H$17*Title_RESULTS!$C$7*Partcipation!$C$26*(1+Title_RESULTS!$H$18/100)^('Sheet4(F_22)'!A19-Title_RESULTS!$H$7))/1000</f>
        <v>184.1046321364992</v>
      </c>
      <c r="G19" s="5">
        <f>(+E19+F19)*Partcipation!$H19</f>
        <v>316.2572285501052</v>
      </c>
      <c r="H19" s="5">
        <f>+'Sheet5(p_5)'!$F19*'Sheet2(F_12)'!$I19</f>
        <v>3460.470959650695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63.51394800803456</v>
      </c>
      <c r="C20" s="5">
        <f>IF(+Title_RESULTS!$H$9&lt;='Sheet4(F_22)'!$A20,(+Title_RESULTS!$H$16*((1+Title_RESULTS!$H$18/100)^('Sheet4(F_22)'!$A20-Title_RESULTS!$H$7))*Title_RESULTS!$C$8*Partcipation!$C$26/1000),0)</f>
        <v>51.1941963376273</v>
      </c>
      <c r="D20" s="5">
        <f>(+B20+C20)*+Partcipation!$H20</f>
        <v>114.70814434566185</v>
      </c>
      <c r="E20" s="5">
        <f>VLOOKUP(A20,'Value of Defferal'!$I27:$P$58,'Value of Defferal'!$K$13)</f>
        <v>135.32425872753254</v>
      </c>
      <c r="F20" s="5">
        <f>IF(+'Value of Defferal'!P27=0,0,Title_RESULTS!$H$17*Title_RESULTS!$C$7*Partcipation!$C$26*(1+Title_RESULTS!$H$18/100)^('Sheet4(F_22)'!A20-Title_RESULTS!$H$7))/1000</f>
        <v>188.52314330777517</v>
      </c>
      <c r="G20" s="5">
        <f>(+E20+F20)*Partcipation!$H20</f>
        <v>323.8474020353077</v>
      </c>
      <c r="H20" s="5">
        <f>+'Sheet5(p_5)'!$F20*'Sheet2(F_12)'!$I20</f>
        <v>3596.454425071861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65.03828276022739</v>
      </c>
      <c r="C21" s="5">
        <f>IF(+Title_RESULTS!$H$9&lt;='Sheet4(F_22)'!$A21,(+Title_RESULTS!$H$16*((1+Title_RESULTS!$H$18/100)^('Sheet4(F_22)'!$A21-Title_RESULTS!$H$7))*Title_RESULTS!$C$8*Partcipation!$C$26/1000),0)</f>
        <v>52.422857049730354</v>
      </c>
      <c r="D21" s="5">
        <f>(+B21+C21)*+Partcipation!$H21</f>
        <v>117.46113980995774</v>
      </c>
      <c r="E21" s="5">
        <f>VLOOKUP(A21,'Value of Defferal'!$I28:$P$58,'Value of Defferal'!$K$13)</f>
        <v>138.57204093699332</v>
      </c>
      <c r="F21" s="5">
        <f>IF(+'Value of Defferal'!P28=0,0,Title_RESULTS!$H$17*Title_RESULTS!$C$7*Partcipation!$C$26*(1+Title_RESULTS!$H$18/100)^('Sheet4(F_22)'!A21-Title_RESULTS!$H$7))/1000</f>
        <v>193.04769874716177</v>
      </c>
      <c r="G21" s="5">
        <f>(+E21+F21)*Partcipation!$H21</f>
        <v>331.6197396841551</v>
      </c>
      <c r="H21" s="5">
        <f>+'Sheet5(p_5)'!$F21*'Sheet2(F_12)'!$I21</f>
        <v>3861.5092847475094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66.59920154647286</v>
      </c>
      <c r="C22" s="5">
        <f>IF(+Title_RESULTS!$H$9&lt;='Sheet4(F_22)'!$A22,(+Title_RESULTS!$H$16*((1+Title_RESULTS!$H$18/100)^('Sheet4(F_22)'!$A22-Title_RESULTS!$H$7))*Title_RESULTS!$C$8*Partcipation!$C$26/1000),0)</f>
        <v>53.68100561892387</v>
      </c>
      <c r="D22" s="5">
        <f>(+B22+C22)*+Partcipation!$H22</f>
        <v>120.28020716539672</v>
      </c>
      <c r="E22" s="5">
        <f>VLOOKUP(A22,'Value of Defferal'!$I29:$P$58,'Value of Defferal'!$K$13)</f>
        <v>141.89776991948116</v>
      </c>
      <c r="F22" s="5">
        <f>IF(+'Value of Defferal'!P29=0,0,Title_RESULTS!$H$17*Title_RESULTS!$C$7*Partcipation!$C$26*(1+Title_RESULTS!$H$18/100)^('Sheet4(F_22)'!A22-Title_RESULTS!$H$7))/1000</f>
        <v>197.68084351709362</v>
      </c>
      <c r="G22" s="5">
        <f>(+E22+F22)*Partcipation!$H22</f>
        <v>339.57861343657476</v>
      </c>
      <c r="H22" s="5">
        <f>+'Sheet5(p_5)'!$F22*'Sheet2(F_12)'!$I22</f>
        <v>3985.3657453567225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68.1975823835882</v>
      </c>
      <c r="C23" s="5">
        <f>IF(+Title_RESULTS!$H$9&lt;='Sheet4(F_22)'!$A23,(+Title_RESULTS!$H$16*((1+Title_RESULTS!$H$18/100)^('Sheet4(F_22)'!$A23-Title_RESULTS!$H$7))*Title_RESULTS!$C$8*Partcipation!$C$26/1000),0)</f>
        <v>54.969349753778054</v>
      </c>
      <c r="D23" s="5">
        <f>(+B23+C23)*+Partcipation!$H23</f>
        <v>123.16693213736625</v>
      </c>
      <c r="E23" s="5">
        <f>VLOOKUP(A23,'Value of Defferal'!$I30:$P$58,'Value of Defferal'!$K$13)</f>
        <v>145.3033163975487</v>
      </c>
      <c r="F23" s="5">
        <f>IF(+'Value of Defferal'!P30=0,0,Title_RESULTS!$H$17*Title_RESULTS!$C$7*Partcipation!$C$26*(1+Title_RESULTS!$H$18/100)^('Sheet4(F_22)'!A23-Title_RESULTS!$H$7))/1000</f>
        <v>202.42518376150392</v>
      </c>
      <c r="G23" s="5">
        <f>(+E23+F23)*Partcipation!$H23</f>
        <v>347.7285001590526</v>
      </c>
      <c r="H23" s="5">
        <f>+'Sheet5(p_5)'!$F23*'Sheet2(F_12)'!$I23</f>
        <v>4234.43326674277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69.83432436079431</v>
      </c>
      <c r="C24" s="5">
        <f>IF(+Title_RESULTS!$H$9&lt;='Sheet4(F_22)'!$A24,(+Title_RESULTS!$H$16*((1+Title_RESULTS!$H$18/100)^('Sheet4(F_22)'!$A24-Title_RESULTS!$H$7))*Title_RESULTS!$C$8*Partcipation!$C$26/1000),0)</f>
        <v>56.288614147868714</v>
      </c>
      <c r="D24" s="5">
        <f>(+B24+C24)*+Partcipation!$H24</f>
        <v>126.12293850866303</v>
      </c>
      <c r="E24" s="5">
        <f>VLOOKUP(A24,'Value of Defferal'!$I31:$P$58,'Value of Defferal'!$K$13)</f>
        <v>148.79059599108987</v>
      </c>
      <c r="F24" s="5">
        <f>IF(+'Value of Defferal'!P31=0,0,Title_RESULTS!$H$17*Title_RESULTS!$C$7*Partcipation!$C$26*(1+Title_RESULTS!$H$18/100)^('Sheet4(F_22)'!A24-Title_RESULTS!$H$7))/1000</f>
        <v>207.28338817178</v>
      </c>
      <c r="G24" s="5">
        <f>(+E24+F24)*Partcipation!$H24</f>
        <v>356.07398416286986</v>
      </c>
      <c r="H24" s="5">
        <f>+'Sheet5(p_5)'!$F24*'Sheet2(F_12)'!$I24</f>
        <v>4692.2417317062855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71.51034814545338</v>
      </c>
      <c r="C25" s="5">
        <f>IF(+Title_RESULTS!$H$9&lt;='Sheet4(F_22)'!$A25,(+Title_RESULTS!$H$16*((1+Title_RESULTS!$H$18/100)^('Sheet4(F_22)'!$A25-Title_RESULTS!$H$7))*Title_RESULTS!$C$8*Partcipation!$C$26/1000),0)</f>
        <v>57.63954088741757</v>
      </c>
      <c r="D25" s="5">
        <f>(+B25+C25)*+Partcipation!$H25</f>
        <v>129.14988903287093</v>
      </c>
      <c r="E25" s="5">
        <f>VLOOKUP(A25,'Value of Defferal'!$I32:$P$58,'Value of Defferal'!$K$13)</f>
        <v>152.36157029487603</v>
      </c>
      <c r="F25" s="5">
        <f>IF(+'Value of Defferal'!P32=0,0,Title_RESULTS!$H$17*Title_RESULTS!$C$7*Partcipation!$C$26*(1+Title_RESULTS!$H$18/100)^('Sheet4(F_22)'!A25-Title_RESULTS!$H$7))/1000</f>
        <v>212.25818948790268</v>
      </c>
      <c r="G25" s="5">
        <f>(+E25+F25)*Partcipation!$H25</f>
        <v>364.6197597827787</v>
      </c>
      <c r="H25" s="5">
        <f>+'Sheet5(p_5)'!$F25*'Sheet2(F_12)'!$I25</f>
        <v>5027.100131495289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73.22659650094427</v>
      </c>
      <c r="C26" s="5">
        <f>IF(+Title_RESULTS!$H$9&lt;='Sheet4(F_22)'!$A26,(+Title_RESULTS!$H$16*((1+Title_RESULTS!$H$18/100)^('Sheet4(F_22)'!$A26-Title_RESULTS!$H$7))*Title_RESULTS!$C$8*Partcipation!$C$26/1000),0)</f>
        <v>59.02288986871559</v>
      </c>
      <c r="D26" s="5">
        <f>(+B26+C26)*+Partcipation!$H26</f>
        <v>132.24948636965985</v>
      </c>
      <c r="E26" s="5">
        <f>VLOOKUP(A26,'Value of Defferal'!$I33:$P$58,'Value of Defferal'!$K$13)</f>
        <v>156.01824798195307</v>
      </c>
      <c r="F26" s="5">
        <f>IF(+'Value of Defferal'!P33=0,0,Title_RESULTS!$H$17*Title_RESULTS!$C$7*Partcipation!$C$26*(1+Title_RESULTS!$H$18/100)^('Sheet4(F_22)'!A26-Title_RESULTS!$H$7))/1000</f>
        <v>217.35238603561234</v>
      </c>
      <c r="G26" s="5">
        <f>(+E26+F26)*Partcipation!$H26</f>
        <v>373.3706340175654</v>
      </c>
      <c r="H26" s="5">
        <f>+'Sheet5(p_5)'!$F26*'Sheet2(F_12)'!$I26</f>
        <v>5614.992344493578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74.98403481696694</v>
      </c>
      <c r="C27" s="5">
        <f>IF(+Title_RESULTS!$H$9&lt;='Sheet4(F_22)'!$A27,(+Title_RESULTS!$H$16*((1+Title_RESULTS!$H$18/100)^('Sheet4(F_22)'!$A27-Title_RESULTS!$H$7))*Title_RESULTS!$C$8*Partcipation!$C$26/1000),0)</f>
        <v>60.439439225564776</v>
      </c>
      <c r="D27" s="5">
        <f>(+B27+C27)*+Partcipation!$H27</f>
        <v>135.42347404253172</v>
      </c>
      <c r="E27" s="5">
        <f>VLOOKUP(A27,'Value of Defferal'!$I34:$P$58,'Value of Defferal'!$K$13)</f>
        <v>159.76268593351998</v>
      </c>
      <c r="F27" s="5">
        <f>IF(+'Value of Defferal'!P34=0,0,Title_RESULTS!$H$17*Title_RESULTS!$C$7*Partcipation!$C$26*(1+Title_RESULTS!$H$18/100)^('Sheet4(F_22)'!A27-Title_RESULTS!$H$7))/1000</f>
        <v>222.5688433004671</v>
      </c>
      <c r="G27" s="5">
        <f>(+E27+F27)*Partcipation!$H27</f>
        <v>382.3315292339871</v>
      </c>
      <c r="H27" s="5">
        <f>+'Sheet5(p_5)'!$F27*'Sheet2(F_12)'!$I27</f>
        <v>5594.111055117239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76.78365165257414</v>
      </c>
      <c r="C28" s="5">
        <f>IF(+Title_RESULTS!$H$9&lt;='Sheet4(F_22)'!$A28,(+Title_RESULTS!$H$16*((1+Title_RESULTS!$H$18/100)^('Sheet4(F_22)'!$A28-Title_RESULTS!$H$7))*Title_RESULTS!$C$8*Partcipation!$C$26/1000),0)</f>
        <v>61.88998576697832</v>
      </c>
      <c r="D28" s="5">
        <f>(+B28+C28)*+Partcipation!$H28</f>
        <v>138.67363741955245</v>
      </c>
      <c r="E28" s="5">
        <f>VLOOKUP(A28,'Value of Defferal'!$I35:$P$58,'Value of Defferal'!$K$13)</f>
        <v>163.59699039592442</v>
      </c>
      <c r="F28" s="5">
        <f>IF(+'Value of Defferal'!P35=0,0,Title_RESULTS!$H$17*Title_RESULTS!$C$7*Partcipation!$C$26*(1+Title_RESULTS!$H$18/100)^('Sheet4(F_22)'!A28-Title_RESULTS!$H$7))/1000</f>
        <v>227.91049553967827</v>
      </c>
      <c r="G28" s="5">
        <f>(+E28+F28)*Partcipation!$H28</f>
        <v>391.5074859356027</v>
      </c>
      <c r="H28" s="5">
        <f>+'Sheet5(p_5)'!$F28*'Sheet2(F_12)'!$I28</f>
        <v>6113.846353746356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78.62645929223592</v>
      </c>
      <c r="C29" s="5">
        <f>IF(+Title_RESULTS!$H$9&lt;='Sheet4(F_22)'!$A29,(+Title_RESULTS!$H$16*((1+Title_RESULTS!$H$18/100)^('Sheet4(F_22)'!$A29-Title_RESULTS!$H$7))*Title_RESULTS!$C$8*Partcipation!$C$26/1000),0)</f>
        <v>63.3753454253858</v>
      </c>
      <c r="D29" s="5">
        <f>(+B29+C29)*+Partcipation!$H29</f>
        <v>142.00180471762172</v>
      </c>
      <c r="E29" s="5">
        <f>VLOOKUP(A29,'Value of Defferal'!$I36:$P$58,'Value of Defferal'!$K$13)</f>
        <v>167.52331816542664</v>
      </c>
      <c r="F29" s="5">
        <f>IF(+'Value of Defferal'!P36=0,0,Title_RESULTS!$H$17*Title_RESULTS!$C$7*Partcipation!$C$26*(1+Title_RESULTS!$H$18/100)^('Sheet4(F_22)'!A29-Title_RESULTS!$H$7))/1000</f>
        <v>233.38034743263054</v>
      </c>
      <c r="G29" s="5">
        <f>(+E29+F29)*Partcipation!$H29</f>
        <v>400.90366559805716</v>
      </c>
      <c r="H29" s="5">
        <f>+'Sheet5(p_5)'!$F29*'Sheet2(F_12)'!$I29</f>
        <v>6519.860996715026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80.51349431524957</v>
      </c>
      <c r="C30" s="5">
        <f>IF(+Title_RESULTS!$H$9&lt;='Sheet4(F_22)'!$A30,(+Title_RESULTS!$H$16*((1+Title_RESULTS!$H$18/100)^('Sheet4(F_22)'!$A30-Title_RESULTS!$H$7))*Title_RESULTS!$C$8*Partcipation!$C$26/1000),0)</f>
        <v>64.89635371559505</v>
      </c>
      <c r="D30" s="5">
        <f>(+B30+C30)*+Partcipation!$H30</f>
        <v>145.4098480308446</v>
      </c>
      <c r="E30" s="5">
        <f>VLOOKUP(A30,'Value of Defferal'!$I37:$P$58,'Value of Defferal'!$K$13)</f>
        <v>171.54387780139686</v>
      </c>
      <c r="F30" s="5">
        <f>IF(+'Value of Defferal'!P37=0,0,Title_RESULTS!$H$17*Title_RESULTS!$C$7*Partcipation!$C$26*(1+Title_RESULTS!$H$18/100)^('Sheet4(F_22)'!A30-Title_RESULTS!$H$7))/1000</f>
        <v>238.98147577101366</v>
      </c>
      <c r="G30" s="5">
        <f>(+E30+F30)*Partcipation!$H30</f>
        <v>410.5253535724105</v>
      </c>
      <c r="H30" s="5">
        <f>+'Sheet5(p_5)'!$F30*'Sheet2(F_12)'!$I30</f>
        <v>6823.440525475406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82.44581817881557</v>
      </c>
      <c r="C31" s="5">
        <f>IF(+Title_RESULTS!$H$9&lt;='Sheet4(F_22)'!$A31,(+Title_RESULTS!$H$16*((1+Title_RESULTS!$H$18/100)^('Sheet4(F_22)'!$A31-Title_RESULTS!$H$7))*Title_RESULTS!$C$8*Partcipation!$C$26/1000),0)</f>
        <v>66.45386620476934</v>
      </c>
      <c r="D31" s="5">
        <f>(+B31+C31)*+Partcipation!$H31</f>
        <v>148.8996843835849</v>
      </c>
      <c r="E31" s="5">
        <f>VLOOKUP(A31,'Value of Defferal'!$I38:$P$58,'Value of Defferal'!$K$13)</f>
        <v>175.6609308686304</v>
      </c>
      <c r="F31" s="5">
        <f>IF(+'Value of Defferal'!P38=0,0,Title_RESULTS!$H$17*Title_RESULTS!$C$7*Partcipation!$C$26*(1+Title_RESULTS!$H$18/100)^('Sheet4(F_22)'!A31-Title_RESULTS!$H$7))/1000</f>
        <v>244.71703118951802</v>
      </c>
      <c r="G31" s="5">
        <f>(+E31+F31)*Partcipation!$H31</f>
        <v>420.37796205814846</v>
      </c>
      <c r="H31" s="5">
        <f>+'Sheet5(p_5)'!$F31*'Sheet2(F_12)'!$I31</f>
        <v>7514.976690292462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84.42451781510715</v>
      </c>
      <c r="C32" s="5">
        <f>IF(+Title_RESULTS!$H$9&lt;='Sheet4(F_22)'!$A32,(+Title_RESULTS!$H$16*((1+Title_RESULTS!$H$18/100)^('Sheet4(F_22)'!$A32-Title_RESULTS!$H$7))*Title_RESULTS!$C$8*Partcipation!$C$26/1000),0)</f>
        <v>68.0487589936838</v>
      </c>
      <c r="D32" s="5">
        <f>(+B32+C32)*+Partcipation!$H32</f>
        <v>152.47327680879096</v>
      </c>
      <c r="E32" s="5">
        <f>VLOOKUP(A32,'Value of Defferal'!$I39:$P$58,'Value of Defferal'!$K$13)</f>
        <v>179.87679320947754</v>
      </c>
      <c r="F32" s="5">
        <f>IF(+'Value of Defferal'!P39=0,0,Title_RESULTS!$H$17*Title_RESULTS!$C$7*Partcipation!$C$26*(1+Title_RESULTS!$H$18/100)^('Sheet4(F_22)'!A32-Title_RESULTS!$H$7))/1000</f>
        <v>250.59023993806642</v>
      </c>
      <c r="G32" s="5">
        <f>(+E32+F32)*Partcipation!$H32</f>
        <v>430.46703314754393</v>
      </c>
      <c r="H32" s="5">
        <f>+'Sheet5(p_5)'!$F32*'Sheet2(F_12)'!$I32</f>
        <v>7422.561692768991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86.45070624266972</v>
      </c>
      <c r="C33" s="5">
        <f>IF(+Title_RESULTS!$H$9&lt;='Sheet4(F_22)'!$A33,(+Title_RESULTS!$H$16*((1+Title_RESULTS!$H$18/100)^('Sheet4(F_22)'!$A33-Title_RESULTS!$H$7))*Title_RESULTS!$C$8*Partcipation!$C$26/1000),0)</f>
        <v>69.68192920953221</v>
      </c>
      <c r="D33" s="5">
        <f>(+B33+C33)*+Partcipation!$H33</f>
        <v>156.13263545220195</v>
      </c>
      <c r="E33" s="5">
        <f>VLOOKUP(A33,'Value of Defferal'!$I40:$P$58,'Value of Defferal'!$K$13)</f>
        <v>184.193836246505</v>
      </c>
      <c r="F33" s="5">
        <f>IF(+'Value of Defferal'!P40=0,0,Title_RESULTS!$H$17*Title_RESULTS!$C$7*Partcipation!$C$26*(1+Title_RESULTS!$H$18/100)^('Sheet4(F_22)'!A33-Title_RESULTS!$H$7))/1000</f>
        <v>256.60440569658</v>
      </c>
      <c r="G33" s="5">
        <f>(+E33+F33)*Partcipation!$H33</f>
        <v>440.798241943085</v>
      </c>
      <c r="H33" s="5">
        <f>+'Sheet5(p_5)'!$F33*'Sheet2(F_12)'!$I33</f>
        <v>7922.208690369534</v>
      </c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88</v>
      </c>
      <c r="B35" s="5">
        <f aca="true" t="shared" si="1" ref="B35:H35">SUM(B16:B34)</f>
        <v>1223.8979004023913</v>
      </c>
      <c r="C35" s="5">
        <f t="shared" si="1"/>
        <v>986.4993655013183</v>
      </c>
      <c r="D35" s="5">
        <f t="shared" si="1"/>
        <v>2210.3972659037095</v>
      </c>
      <c r="E35" s="5">
        <f t="shared" si="1"/>
        <v>2607.66463626518</v>
      </c>
      <c r="F35" s="5">
        <f t="shared" si="1"/>
        <v>3632.7938430540826</v>
      </c>
      <c r="G35" s="5">
        <f t="shared" si="1"/>
        <v>6240.458479319262</v>
      </c>
      <c r="H35" s="5">
        <f t="shared" si="1"/>
        <v>87305.27682399315</v>
      </c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90</v>
      </c>
      <c r="B37" s="5">
        <f>NPV(Title_RESULTS!$C$37,'Sheet4(F_22)'!B17:B34)+'Sheet4(F_22)'!B16</f>
        <v>672.6683539226613</v>
      </c>
      <c r="C37" s="5">
        <f>NPV(Title_RESULTS!$C$37,'Sheet4(F_22)'!C17:C34)+'Sheet4(F_22)'!C16</f>
        <v>542.1913904087496</v>
      </c>
      <c r="D37" s="5">
        <f>NPV(Title_RESULTS!$C$37,'Sheet4(F_22)'!D17:D34)+'Sheet4(F_22)'!D16</f>
        <v>1214.8597443314109</v>
      </c>
      <c r="E37" s="5">
        <f>NPV(Title_RESULTS!$C$37,'Sheet4(F_22)'!E17:E34)+'Sheet4(F_22)'!E16</f>
        <v>1433.2024573962633</v>
      </c>
      <c r="F37" s="5">
        <f>NPV(Title_RESULTS!$C$37,'Sheet4(F_22)'!F17:F34)+'Sheet4(F_22)'!F16</f>
        <v>1996.6252526000285</v>
      </c>
      <c r="G37" s="5">
        <f>NPV(Title_RESULTS!$C$37,'Sheet4(F_22)'!G17:G34)+'Sheet4(F_22)'!G16</f>
        <v>3429.827709996292</v>
      </c>
      <c r="H37" s="5">
        <f>NPV(Title_RESULTS!$C$37,'Sheet4(F_22)'!H17:H34)+'Sheet4(F_22)'!H16</f>
        <v>44567.25655079246</v>
      </c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ht="12.75">
      <c r="A39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HVAC Equipment Upgrades</v>
      </c>
      <c r="P2" t="s">
        <v>121</v>
      </c>
    </row>
    <row r="3" ht="12.75">
      <c r="P3" s="35">
        <f>+Title_RESULTS!I4</f>
        <v>43599.32303530093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3643.06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3643.06</v>
      </c>
      <c r="H16" s="5">
        <f>IF(Partcipation!$B17&lt;Partcipation!$B16,0,IF(Partcipation!$B16=0,0,(Partcipation!$B16-Partcipation!$B15)*(+Title_RESULTS!$C$29*(1+Title_RESULTS!$C$30/100)^(+'Sheet8(F_24)'!$A16-Title_RESULTS!$H$7))/1000))</f>
        <v>8274.54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8274.54</v>
      </c>
      <c r="K16" s="5">
        <f>(+Partcipation!$B15+(Partcipation!$B16-Partcipation!$B15)/2)*(+Title_RESULTS!$C$14)/1000</f>
        <v>17687.5</v>
      </c>
      <c r="L16" s="5">
        <f>($K16)*Partcipation!$E73*Title_RESULTS!$C$12/100</f>
        <v>430.6220932887222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680.50755</v>
      </c>
      <c r="N16" s="5">
        <f>'Sheet2(F_12)'!$I16*('Sheet6(p_6)'!$L16+'Sheet6(p_6)'!$M16)</f>
        <v>1111.1296432887223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3643.06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3643.06</v>
      </c>
      <c r="H17" s="5">
        <f>IF(Partcipation!$B18&lt;Partcipation!$B17,0,IF(Partcipation!$B17=0,0,(Partcipation!$B17-Partcipation!$B16)*(+Title_RESULTS!$C$29*(1+Title_RESULTS!$C$30/100)^(+'Sheet8(F_24)'!$A17-Title_RESULTS!$H$7))/1000))</f>
        <v>8464.85442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8464.85442</v>
      </c>
      <c r="K17" s="5">
        <f>(+Partcipation!$B16+(Partcipation!$B17-Partcipation!$B16)/2)*(+Title_RESULTS!$C$14)/1000</f>
        <v>53062.5</v>
      </c>
      <c r="L17" s="5">
        <f>($K17)*Partcipation!$E74*Title_RESULTS!$C$12/100</f>
        <v>1353.3506967283317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2061.9378765</v>
      </c>
      <c r="N17" s="5">
        <f>'Sheet2(F_12)'!$I17*('Sheet6(p_6)'!$L17+'Sheet6(p_6)'!$M17)</f>
        <v>3415.288573228332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3643.06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3643.06</v>
      </c>
      <c r="H18" s="5">
        <f>IF(Partcipation!$B19&lt;Partcipation!$B18,0,IF(Partcipation!$B18=0,0,(Partcipation!$B18-Partcipation!$B17)*(+Title_RESULTS!$C$29*(1+Title_RESULTS!$C$30/100)^(+'Sheet8(F_24)'!$A18-Title_RESULTS!$H$7))/1000))</f>
        <v>8659.54607166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8659.54607166</v>
      </c>
      <c r="K18" s="5">
        <f>(+Partcipation!$B17+(Partcipation!$B18-Partcipation!$B17)/2)*(+Title_RESULTS!$C$14)/1000</f>
        <v>88437.5</v>
      </c>
      <c r="L18" s="5">
        <f>($K18)*Partcipation!$E75*Title_RESULTS!$C$12/100</f>
        <v>2338.669824750644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3470.9287587750005</v>
      </c>
      <c r="N18" s="5">
        <f>'Sheet2(F_12)'!$I18*('Sheet6(p_6)'!$L18+'Sheet6(p_6)'!$M18)</f>
        <v>5809.598583525644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3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3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3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3">SUM(H19:I19)</f>
        <v>0</v>
      </c>
      <c r="K19" s="5">
        <f>(+Partcipation!$B18+(Partcipation!$B19-Partcipation!$B18)/2)*(+Title_RESULTS!$C$14)/1000</f>
        <v>106125</v>
      </c>
      <c r="L19" s="5">
        <f>($K19)*Partcipation!$E76*Title_RESULTS!$C$12/100</f>
        <v>2783.398607610598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4206.7656556353</v>
      </c>
      <c r="N19" s="5">
        <f>'Sheet2(F_12)'!$I19*('Sheet6(p_6)'!$L19+'Sheet6(p_6)'!$M19)</f>
        <v>6990.164263245899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106125</v>
      </c>
      <c r="L20" s="5">
        <f>($K20)*Partcipation!$E77*Title_RESULTS!$C$12/100</f>
        <v>2941.272234984442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4248.833312191654</v>
      </c>
      <c r="N20" s="5">
        <f>'Sheet2(F_12)'!$I20*('Sheet6(p_6)'!$L20+'Sheet6(p_6)'!$M20)</f>
        <v>7190.105547176096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106125</v>
      </c>
      <c r="L21" s="5">
        <f>($K21)*Partcipation!$E78*Title_RESULTS!$C$12/100</f>
        <v>3110.0973697777645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4291.32164531357</v>
      </c>
      <c r="N21" s="5">
        <f>'Sheet2(F_12)'!$I21*('Sheet6(p_6)'!$L21+'Sheet6(p_6)'!$M21)</f>
        <v>7401.419015091335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106125</v>
      </c>
      <c r="L22" s="5">
        <f>($K22)*Partcipation!$E79*Title_RESULTS!$C$12/100</f>
        <v>3250.7178299671127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4334.234861766707</v>
      </c>
      <c r="N22" s="5">
        <f>'Sheet2(F_12)'!$I22*('Sheet6(p_6)'!$L22+'Sheet6(p_6)'!$M22)</f>
        <v>7584.952691733819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106125</v>
      </c>
      <c r="L23" s="5">
        <f>($K23)*Partcipation!$E80*Title_RESULTS!$C$12/100</f>
        <v>3442.1232422513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4377.577210384372</v>
      </c>
      <c r="N23" s="5">
        <f>'Sheet2(F_12)'!$I23*('Sheet6(p_6)'!$L23+'Sheet6(p_6)'!$M23)</f>
        <v>7819.700452635672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106125</v>
      </c>
      <c r="L24" s="5">
        <f>($K24)*Partcipation!$E81*Title_RESULTS!$C$12/100</f>
        <v>3768.075486276451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4421.352982488217</v>
      </c>
      <c r="N24" s="5">
        <f>'Sheet2(F_12)'!$I24*('Sheet6(p_6)'!$L24+'Sheet6(p_6)'!$M24)</f>
        <v>8189.428468764669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106125</v>
      </c>
      <c r="L25" s="5">
        <f>($K25)*Partcipation!$E82*Title_RESULTS!$C$12/100</f>
        <v>3960.050447584949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4465.566512313099</v>
      </c>
      <c r="N25" s="5">
        <f>'Sheet2(F_12)'!$I25*('Sheet6(p_6)'!$L25+'Sheet6(p_6)'!$M25)</f>
        <v>8425.616959898049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106125</v>
      </c>
      <c r="L26" s="5">
        <f>($K26)*Partcipation!$E83*Title_RESULTS!$C$12/100</f>
        <v>4314.680834658881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4510.222177436231</v>
      </c>
      <c r="N26" s="5">
        <f>'Sheet2(F_12)'!$I26*('Sheet6(p_6)'!$L26+'Sheet6(p_6)'!$M26)</f>
        <v>8824.903012095112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106125</v>
      </c>
      <c r="L27" s="5">
        <f>($K27)*Partcipation!$E84*Title_RESULTS!$C$12/100</f>
        <v>4463.4168666214955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4555.324399210593</v>
      </c>
      <c r="N27" s="5">
        <f>'Sheet2(F_12)'!$I27*('Sheet6(p_6)'!$L27+'Sheet6(p_6)'!$M27)</f>
        <v>9018.741265832088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106125</v>
      </c>
      <c r="L28" s="5">
        <f>($K28)*Partcipation!$E85*Title_RESULTS!$C$12/100</f>
        <v>4781.8863370135105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4600.877643202698</v>
      </c>
      <c r="N28" s="5">
        <f>'Sheet2(F_12)'!$I28*('Sheet6(p_6)'!$L28+'Sheet6(p_6)'!$M28)</f>
        <v>9382.763980216208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106125</v>
      </c>
      <c r="L29" s="5">
        <f>($K29)*Partcipation!$E86*Title_RESULTS!$C$12/100</f>
        <v>4882.188238259867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4646.886419634725</v>
      </c>
      <c r="N29" s="5">
        <f>'Sheet2(F_12)'!$I29*('Sheet6(p_6)'!$L29+'Sheet6(p_6)'!$M29)</f>
        <v>9529.074657894591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106125</v>
      </c>
      <c r="L30" s="5">
        <f>($K30)*Partcipation!$E87*Title_RESULTS!$C$12/100</f>
        <v>5204.631214209646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4693.355283831073</v>
      </c>
      <c r="N30" s="5">
        <f>'Sheet2(F_12)'!$I30*('Sheet6(p_6)'!$L30+'Sheet6(p_6)'!$M30)</f>
        <v>9897.986498040718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106125</v>
      </c>
      <c r="L31" s="5">
        <f>($K31)*Partcipation!$E88*Title_RESULTS!$C$12/100</f>
        <v>5426.072559031899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4740.288836669382</v>
      </c>
      <c r="N31" s="5">
        <f>'Sheet2(F_12)'!$I31*('Sheet6(p_6)'!$L31+'Sheet6(p_6)'!$M31)</f>
        <v>10166.361395701282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106125</v>
      </c>
      <c r="L32" s="5">
        <f>($K32)*Partcipation!$E89*Title_RESULTS!$C$12/100</f>
        <v>5608.466937902325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4787.6917250360775</v>
      </c>
      <c r="N32" s="5">
        <f>'Sheet2(F_12)'!$I32*('Sheet6(p_6)'!$L32+'Sheet6(p_6)'!$M32)</f>
        <v>10396.158662938404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106125</v>
      </c>
      <c r="L33" s="5">
        <f>($K33)*Partcipation!$E90*Title_RESULTS!$C$12/100</f>
        <v>5922.599651155886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4835.568642286438</v>
      </c>
      <c r="N33" s="5">
        <f>'Sheet2(F_12)'!$I33*('Sheet6(p_6)'!$L33+'Sheet6(p_6)'!$M33)</f>
        <v>10758.168293442324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t="s">
        <v>87</v>
      </c>
      <c r="B35" s="5">
        <f aca="true" t="shared" si="4" ref="B35:R35">SUM(B16:B34)</f>
        <v>384.072</v>
      </c>
      <c r="C35" s="5">
        <f t="shared" si="4"/>
        <v>0</v>
      </c>
      <c r="D35" s="5">
        <f t="shared" si="4"/>
        <v>384.072</v>
      </c>
      <c r="E35" s="5">
        <f t="shared" si="4"/>
        <v>10929.18</v>
      </c>
      <c r="F35" s="5">
        <f t="shared" si="4"/>
        <v>0</v>
      </c>
      <c r="G35" s="5">
        <f t="shared" si="4"/>
        <v>10929.18</v>
      </c>
      <c r="H35" s="5">
        <f t="shared" si="4"/>
        <v>25398.94049166</v>
      </c>
      <c r="I35" s="5">
        <f t="shared" si="4"/>
        <v>0</v>
      </c>
      <c r="J35" s="5">
        <f t="shared" si="4"/>
        <v>25398.94049166</v>
      </c>
      <c r="K35" s="5">
        <f t="shared" si="4"/>
        <v>1751062.5</v>
      </c>
      <c r="L35" s="5">
        <f t="shared" si="4"/>
        <v>67982.32047207381</v>
      </c>
      <c r="M35" s="5">
        <f t="shared" si="4"/>
        <v>73929.24149267514</v>
      </c>
      <c r="N35" s="5">
        <f t="shared" si="4"/>
        <v>141911.56196474892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</row>
    <row r="36" spans="2:18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t="s">
        <v>89</v>
      </c>
      <c r="B37" s="5">
        <f>NPV(Title_RESULTS!$C$37,'Sheet6(p_6)'!B17:B34)+'Sheet6(p_6)'!B16</f>
        <v>358.8491576370552</v>
      </c>
      <c r="C37" s="5">
        <f>NPV(Title_RESULTS!$C$37,'Sheet6(p_6)'!C17:C34)+'Sheet6(p_6)'!C16</f>
        <v>0</v>
      </c>
      <c r="D37" s="5">
        <f>NPV(Title_RESULTS!$C$37,'Sheet6(p_6)'!D17:D34)+'Sheet6(p_6)'!D16</f>
        <v>358.8491576370552</v>
      </c>
      <c r="E37" s="5">
        <f>NPV(Title_RESULTS!$C$37,'Sheet6(p_6)'!E17:E34)+'Sheet6(p_6)'!E16</f>
        <v>10222.48219091532</v>
      </c>
      <c r="F37" s="5">
        <f>NPV(Title_RESULTS!$C$37,'Sheet6(p_6)'!F17:F34)+'Sheet6(p_6)'!F16</f>
        <v>0</v>
      </c>
      <c r="G37" s="5">
        <f>NPV(Title_RESULTS!$C$37,'Sheet6(p_6)'!G17:G34)+'Sheet6(p_6)'!G16</f>
        <v>10222.48219091532</v>
      </c>
      <c r="H37" s="5">
        <f>NPV(Title_RESULTS!$C$37,'Sheet6(p_6)'!H17:H34)+'Sheet6(p_6)'!H16</f>
        <v>23731.994040098492</v>
      </c>
      <c r="I37" s="5">
        <f>NPV(Title_RESULTS!$C$37,'Sheet6(p_6)'!I17:I34)+'Sheet6(p_6)'!I16</f>
        <v>0</v>
      </c>
      <c r="J37" s="5">
        <f>NPV(Title_RESULTS!$C$37,'Sheet6(p_6)'!J17:J34)+'Sheet6(p_6)'!J16</f>
        <v>23731.994040098492</v>
      </c>
      <c r="K37" s="5"/>
      <c r="L37" s="5">
        <f>NPV(Title_RESULTS!$C$37,'Sheet6(p_6)'!L17:L34)+'Sheet6(p_6)'!L16</f>
        <v>35117.28179871667</v>
      </c>
      <c r="M37" s="5">
        <f>NPV(Title_RESULTS!$C$37,'Sheet6(p_6)'!M17:M34)+'Sheet6(p_6)'!M16</f>
        <v>40867.74358963841</v>
      </c>
      <c r="N37" s="5">
        <f>NPV(Title_RESULTS!$C$37,'Sheet6(p_6)'!N17:N34)+'Sheet6(p_6)'!N16</f>
        <v>75985.02538835508</v>
      </c>
      <c r="O37" s="5"/>
      <c r="P37" s="5">
        <f>NPV(Title_RESULTS!$C$37,'Sheet6(p_6)'!P17:P34)+'Sheet6(p_6)'!P16</f>
        <v>0</v>
      </c>
      <c r="Q37" s="5">
        <f>NPV(Title_RESULTS!$C$37,'Sheet6(p_6)'!Q17:Q34)+'Sheet6(p_6)'!Q16</f>
        <v>0</v>
      </c>
      <c r="R37" s="5">
        <f>NPV(Title_RESULTS!$C$37,'Sheet6(p_6)'!R17:R34)+'Sheet6(p_6)'!R16</f>
        <v>0</v>
      </c>
    </row>
    <row r="39" ht="12.75">
      <c r="A39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HVAC Equipment Upgrades</v>
      </c>
      <c r="M2" t="s">
        <v>55</v>
      </c>
    </row>
    <row r="3" ht="12.75">
      <c r="M3" s="35">
        <f>+Title_RESULTS!I4</f>
        <v>43599.32303530093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8274.54</v>
      </c>
      <c r="E16" s="5">
        <f>IF(A16&gt;=(Title_RESULTS!$H$7+Title_RESULTS!$C$17),0,(+'f-11B'!$N15))</f>
        <v>0</v>
      </c>
      <c r="F16" s="5">
        <f>IF(A16&gt;=(Title_RESULTS!$H$7+Title_RESULTS!$C$17),0,(SUM(B16:E16)))</f>
        <v>8399.54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541.2057116738592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541.2057116738592</v>
      </c>
      <c r="L16" s="23">
        <f>IF(A16&gt;=(Title_RESULTS!$H$7+Title_RESULTS!$C$17),0,(+$K16-$F16))</f>
        <v>-7858.334288326141</v>
      </c>
      <c r="M16" s="23">
        <f>IF(A16&gt;=(Title_RESULTS!$H$7+Title_RESULTS!$C$17),0,(+$L16/(1+Title_RESULTS!$C$37)^('Sheet7(F_23)'!$A16-Title_RESULTS!$H$7)))</f>
        <v>-7858.334288326141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8464.85442</v>
      </c>
      <c r="E17" s="5">
        <f>IF(A17&gt;=(Title_RESULTS!$H$7+Title_RESULTS!$C$17),0,(+'f-11B'!$N16))</f>
        <v>0</v>
      </c>
      <c r="F17" s="5">
        <f>IF(A17&gt;=(Title_RESULTS!$H$7+Title_RESULTS!$C$17),0,(SUM(B17:E17)))</f>
        <v>8592.85442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408.4366805674225</v>
      </c>
      <c r="I17" s="5">
        <f>IF(A17&gt;=(Title_RESULTS!$H$7+Title_RESULTS!$C$17),0,(+'Sheet4(F_22)'!$H17))</f>
        <v>1610.410871601834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2018.8475521692567</v>
      </c>
      <c r="L17" s="23">
        <f>IF(A17&gt;=(Title_RESULTS!$H$7+Title_RESULTS!$C$17),0,(+$K17-$F17))</f>
        <v>-6574.006867830743</v>
      </c>
      <c r="M17" s="23">
        <f>IF(A17&gt;=(Title_RESULTS!$H$7+Title_RESULTS!$C$17),0,(+M16+$L17/(1+Title_RESULTS!$C$37)^('Sheet7(F_23)'!$A17-Title_RESULTS!$H$7)))</f>
        <v>-13997.675778642488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8659.54607166</v>
      </c>
      <c r="E18" s="5">
        <f>IF(A18&gt;=(Title_RESULTS!$H$7+Title_RESULTS!$C$17),0,(+'f-11B'!$N17))</f>
        <v>0</v>
      </c>
      <c r="F18" s="5">
        <f>IF(A18&gt;=(Title_RESULTS!$H$7+Title_RESULTS!$C$17),0,(SUM(B18:E18)))</f>
        <v>8790.61807166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418.2391609010406</v>
      </c>
      <c r="I18" s="5">
        <f>IF(A18&gt;=(Title_RESULTS!$H$7+Title_RESULTS!$C$17),0,(+'Sheet4(F_22)'!$H18))</f>
        <v>2770.086346967741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3188.3255078687816</v>
      </c>
      <c r="L18" s="23">
        <f>IF(A18&gt;=(Title_RESULTS!$H$7+Title_RESULTS!$C$17),0,(+$K18-$F18))</f>
        <v>-5602.292563791218</v>
      </c>
      <c r="M18" s="23">
        <f>IF(A18&gt;=(Title_RESULTS!$H$7+Title_RESULTS!$C$17),0,(+M17+$L18/(1+Title_RESULTS!$C$37)^('Sheet7(F_23)'!$A18-Title_RESULTS!$H$7)))</f>
        <v>-18883.626245568455</v>
      </c>
    </row>
    <row r="19" spans="1:13" ht="12.75">
      <c r="A19">
        <f aca="true" t="shared" si="0" ref="A19:A33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1297.750790254196</v>
      </c>
      <c r="H19" s="5">
        <f>IF(A19&gt;=(Title_RESULTS!$H$7+Title_RESULTS!$C$17),0,(+'Sheet4(F_22)'!$D19+'Sheet4(F_22)'!$G19))</f>
        <v>428.2769007626656</v>
      </c>
      <c r="I19" s="5">
        <f>IF(A19&gt;=(Title_RESULTS!$H$7+Title_RESULTS!$C$17),0,(+'Sheet4(F_22)'!$H19))</f>
        <v>3460.470959650695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5186.498650667557</v>
      </c>
      <c r="L19" s="23">
        <f>IF(A19&gt;=(Title_RESULTS!$H$7+Title_RESULTS!$C$17),0,(+$K19-$F19))</f>
        <v>5186.498650667557</v>
      </c>
      <c r="M19" s="23">
        <f>IF(A19&gt;=(Title_RESULTS!$H$7+Title_RESULTS!$C$17),0,(+M18+$L19/(1+Title_RESULTS!$C$37)^('Sheet7(F_23)'!$A19-Title_RESULTS!$H$7)))</f>
        <v>-14659.38043823386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1332.3549467460136</v>
      </c>
      <c r="H20" s="5">
        <f>IF(A20&gt;=(Title_RESULTS!$H$7+Title_RESULTS!$C$17),0,(+'Sheet4(F_22)'!$D20+'Sheet4(F_22)'!$G20))</f>
        <v>438.55554638096953</v>
      </c>
      <c r="I20" s="5">
        <f>IF(A20&gt;=(Title_RESULTS!$H$7+Title_RESULTS!$C$17),0,(+'Sheet4(F_22)'!$H20))</f>
        <v>3596.454425071861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5367.364918198844</v>
      </c>
      <c r="L20" s="23">
        <f>IF(A20&gt;=(Title_RESULTS!$H$7+Title_RESULTS!$C$17),0,(+$K20-$F20))</f>
        <v>5367.364918198844</v>
      </c>
      <c r="M20" s="23">
        <f>IF(A20&gt;=(Title_RESULTS!$H$7+Title_RESULTS!$C$17),0,(+M19+$L20/(1+Title_RESULTS!$C$37)^('Sheet7(F_23)'!$A20-Title_RESULTS!$H$7)))</f>
        <v>-10576.866527820976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1370.2120661630127</v>
      </c>
      <c r="H21" s="5">
        <f>IF(A21&gt;=(Title_RESULTS!$H$7+Title_RESULTS!$C$17),0,(+'Sheet4(F_22)'!$D21+'Sheet4(F_22)'!$G21))</f>
        <v>449.0808794941128</v>
      </c>
      <c r="I21" s="5">
        <f>IF(A21&gt;=(Title_RESULTS!$H$7+Title_RESULTS!$C$17),0,(+'Sheet4(F_22)'!$H21))</f>
        <v>3861.5092847475094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5680.802230404635</v>
      </c>
      <c r="L21" s="23">
        <f>IF(A21&gt;=(Title_RESULTS!$H$7+Title_RESULTS!$C$17),0,(+$K21-$F21))</f>
        <v>5680.802230404635</v>
      </c>
      <c r="M21" s="23">
        <f>IF(A21&gt;=(Title_RESULTS!$H$7+Title_RESULTS!$C$17),0,(+M20+$L21/(1+Title_RESULTS!$C$37)^('Sheet7(F_23)'!$A21-Title_RESULTS!$H$7)))</f>
        <v>-6541.640579793608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1412.6100246846418</v>
      </c>
      <c r="H22" s="5">
        <f>IF(A22&gt;=(Title_RESULTS!$H$7+Title_RESULTS!$C$17),0,(+'Sheet4(F_22)'!$D22+'Sheet4(F_22)'!$G22))</f>
        <v>459.8588206019715</v>
      </c>
      <c r="I22" s="5">
        <f>IF(A22&gt;=(Title_RESULTS!$H$7+Title_RESULTS!$C$17),0,(+'Sheet4(F_22)'!$H22))</f>
        <v>3985.3657453567225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5857.834590643336</v>
      </c>
      <c r="L22" s="23">
        <f>IF(A22&gt;=(Title_RESULTS!$H$7+Title_RESULTS!$C$17),0,(+$K22-$F22))</f>
        <v>5857.834590643336</v>
      </c>
      <c r="M22" s="23">
        <f>IF(A22&gt;=(Title_RESULTS!$H$7+Title_RESULTS!$C$17),0,(+M21+$L22/(1+Title_RESULTS!$C$37)^('Sheet7(F_23)'!$A22-Title_RESULTS!$H$7)))</f>
        <v>-2655.7825538515985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1450.6372667313817</v>
      </c>
      <c r="H23" s="5">
        <f>IF(A23&gt;=(Title_RESULTS!$H$7+Title_RESULTS!$C$17),0,(+'Sheet4(F_22)'!$D23+'Sheet4(F_22)'!$G23))</f>
        <v>470.89543229641885</v>
      </c>
      <c r="I23" s="5">
        <f>IF(A23&gt;=(Title_RESULTS!$H$7+Title_RESULTS!$C$17),0,(+'Sheet4(F_22)'!$H23))</f>
        <v>4234.43326674277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6155.965965770571</v>
      </c>
      <c r="L23" s="23">
        <f>IF(A23&gt;=(Title_RESULTS!$H$7+Title_RESULTS!$C$17),0,(+$K23-$F23))</f>
        <v>6155.965965770571</v>
      </c>
      <c r="M23" s="23">
        <f>IF(A23&gt;=(Title_RESULTS!$H$7+Title_RESULTS!$C$17),0,(+M22+$L23/(1+Title_RESULTS!$C$37)^('Sheet7(F_23)'!$A23-Title_RESULTS!$H$7)))</f>
        <v>1157.8396939059717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1474.1369215327927</v>
      </c>
      <c r="H24" s="5">
        <f>IF(A24&gt;=(Title_RESULTS!$H$7+Title_RESULTS!$C$17),0,(+'Sheet4(F_22)'!$D24+'Sheet4(F_22)'!$G24))</f>
        <v>482.1969226715329</v>
      </c>
      <c r="I24" s="5">
        <f>IF(A24&gt;=(Title_RESULTS!$H$7+Title_RESULTS!$C$17),0,(+'Sheet4(F_22)'!$H24))</f>
        <v>4692.2417317062855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6648.5755759106105</v>
      </c>
      <c r="L24" s="23">
        <f>IF(A24&gt;=(Title_RESULTS!$H$7+Title_RESULTS!$C$17),0,(+$K24-$F24))</f>
        <v>6648.5755759106105</v>
      </c>
      <c r="M24" s="23">
        <f>IF(A24&gt;=(Title_RESULTS!$H$7+Title_RESULTS!$C$17),0,(+M23+$L24/(1+Title_RESULTS!$C$37)^('Sheet7(F_23)'!$A24-Title_RESULTS!$H$7)))</f>
        <v>5004.304026951334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1514.1792648462228</v>
      </c>
      <c r="H25" s="5">
        <f>IF(A25&gt;=(Title_RESULTS!$H$7+Title_RESULTS!$C$17),0,(+'Sheet4(F_22)'!$D25+'Sheet4(F_22)'!$G25))</f>
        <v>493.76964881564965</v>
      </c>
      <c r="I25" s="5">
        <f>IF(A25&gt;=(Title_RESULTS!$H$7+Title_RESULTS!$C$17),0,(+'Sheet4(F_22)'!$H25))</f>
        <v>5027.100131495289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7035.049045157161</v>
      </c>
      <c r="L25" s="23">
        <f>IF(A25&gt;=(Title_RESULTS!$H$7+Title_RESULTS!$C$17),0,(+$K25-$F25))</f>
        <v>7035.049045157161</v>
      </c>
      <c r="M25" s="23">
        <f>IF(A25&gt;=(Title_RESULTS!$H$7+Title_RESULTS!$C$17),0,(+M24+$L25/(1+Title_RESULTS!$C$37)^('Sheet7(F_23)'!$A25-Title_RESULTS!$H$7)))</f>
        <v>8805.251490468087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1538.4242804927221</v>
      </c>
      <c r="H26" s="5">
        <f>IF(A26&gt;=(Title_RESULTS!$H$7+Title_RESULTS!$C$17),0,(+'Sheet4(F_22)'!$D26+'Sheet4(F_22)'!$G26))</f>
        <v>505.62012038722526</v>
      </c>
      <c r="I26" s="5">
        <f>IF(A26&gt;=(Title_RESULTS!$H$7+Title_RESULTS!$C$17),0,(+'Sheet4(F_22)'!$H26))</f>
        <v>5614.992344493578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7659.036745373525</v>
      </c>
      <c r="L26" s="23">
        <f>IF(A26&gt;=(Title_RESULTS!$H$7+Title_RESULTS!$C$17),0,(+$K26-$F26))</f>
        <v>7659.036745373525</v>
      </c>
      <c r="M26" s="23">
        <f>IF(A26&gt;=(Title_RESULTS!$H$7+Title_RESULTS!$C$17),0,(+M25+$L26/(1+Title_RESULTS!$C$37)^('Sheet7(F_23)'!$A26-Title_RESULTS!$H$7)))</f>
        <v>12669.726720582712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1591.5300080172694</v>
      </c>
      <c r="H27" s="5">
        <f>IF(A27&gt;=(Title_RESULTS!$H$7+Title_RESULTS!$C$17),0,(+'Sheet4(F_22)'!$D27+'Sheet4(F_22)'!$G27))</f>
        <v>517.7550032765189</v>
      </c>
      <c r="I27" s="5">
        <f>IF(A27&gt;=(Title_RESULTS!$H$7+Title_RESULTS!$C$17),0,(+'Sheet4(F_22)'!$H27))</f>
        <v>5594.111055117239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7703.396066411027</v>
      </c>
      <c r="L27" s="23">
        <f>IF(A27&gt;=(Title_RESULTS!$H$7+Title_RESULTS!$C$17),0,(+$K27-$F27))</f>
        <v>7703.396066411027</v>
      </c>
      <c r="M27" s="23">
        <f>IF(A27&gt;=(Title_RESULTS!$H$7+Title_RESULTS!$C$17),0,(+M26+$L27/(1+Title_RESULTS!$C$37)^('Sheet7(F_23)'!$A27-Title_RESULTS!$H$7)))</f>
        <v>16299.589769187332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1625.0825636960283</v>
      </c>
      <c r="H28" s="5">
        <f>IF(A28&gt;=(Title_RESULTS!$H$7+Title_RESULTS!$C$17),0,(+'Sheet4(F_22)'!$D28+'Sheet4(F_22)'!$G28))</f>
        <v>530.1811233551551</v>
      </c>
      <c r="I28" s="5">
        <f>IF(A28&gt;=(Title_RESULTS!$H$7+Title_RESULTS!$C$17),0,(+'Sheet4(F_22)'!$H28))</f>
        <v>6113.846353746356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8269.11004079754</v>
      </c>
      <c r="L28" s="23">
        <f>IF(A28&gt;=(Title_RESULTS!$H$7+Title_RESULTS!$C$17),0,(+$K28-$F28))</f>
        <v>8269.11004079754</v>
      </c>
      <c r="M28" s="23">
        <f>IF(A28&gt;=(Title_RESULTS!$H$7+Title_RESULTS!$C$17),0,(+M27+$L28/(1+Title_RESULTS!$C$37)^('Sheet7(F_23)'!$A28-Title_RESULTS!$H$7)))</f>
        <v>19938.391739043524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1683.1144793022802</v>
      </c>
      <c r="H29" s="5">
        <f>IF(A29&gt;=(Title_RESULTS!$H$7+Title_RESULTS!$C$17),0,(+'Sheet4(F_22)'!$D29+'Sheet4(F_22)'!$G29))</f>
        <v>542.9054703156789</v>
      </c>
      <c r="I29" s="5">
        <f>IF(A29&gt;=(Title_RESULTS!$H$7+Title_RESULTS!$C$17),0,(+'Sheet4(F_22)'!$H29))</f>
        <v>6519.860996715026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8745.880946332985</v>
      </c>
      <c r="L29" s="23">
        <f>IF(A29&gt;=(Title_RESULTS!$H$7+Title_RESULTS!$C$17),0,(+$K29-$F29))</f>
        <v>8745.880946332985</v>
      </c>
      <c r="M29" s="23">
        <f>IF(A29&gt;=(Title_RESULTS!$H$7+Title_RESULTS!$C$17),0,(+M28+$L29/(1+Title_RESULTS!$C$37)^('Sheet7(F_23)'!$A29-Title_RESULTS!$H$7)))</f>
        <v>23532.5305691315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1715.6191614346592</v>
      </c>
      <c r="H30" s="5">
        <f>IF(A30&gt;=(Title_RESULTS!$H$7+Title_RESULTS!$C$17),0,(+'Sheet4(F_22)'!$D30+'Sheet4(F_22)'!$G30))</f>
        <v>555.9352016032551</v>
      </c>
      <c r="I30" s="5">
        <f>IF(A30&gt;=(Title_RESULTS!$H$7+Title_RESULTS!$C$17),0,(+'Sheet4(F_22)'!$H30))</f>
        <v>6823.440525475406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9094.99488851332</v>
      </c>
      <c r="L30" s="23">
        <f>IF(A30&gt;=(Title_RESULTS!$H$7+Title_RESULTS!$C$17),0,(+$K30-$F30))</f>
        <v>9094.99488851332</v>
      </c>
      <c r="M30" s="23">
        <f>IF(A30&gt;=(Title_RESULTS!$H$7+Title_RESULTS!$C$17),0,(+M29+$L30/(1+Title_RESULTS!$C$37)^('Sheet7(F_23)'!$A30-Title_RESULTS!$H$7)))</f>
        <v>27023.01241939593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1766.5809566127543</v>
      </c>
      <c r="H31" s="5">
        <f>IF(A31&gt;=(Title_RESULTS!$H$7+Title_RESULTS!$C$17),0,(+'Sheet4(F_22)'!$D31+'Sheet4(F_22)'!$G31))</f>
        <v>569.2776464417334</v>
      </c>
      <c r="I31" s="5">
        <f>IF(A31&gt;=(Title_RESULTS!$H$7+Title_RESULTS!$C$17),0,(+'Sheet4(F_22)'!$H31))</f>
        <v>7514.976690292462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9850.83529334695</v>
      </c>
      <c r="L31" s="23">
        <f>IF(A31&gt;=(Title_RESULTS!$H$7+Title_RESULTS!$C$17),0,(+$K31-$F31))</f>
        <v>9850.83529334695</v>
      </c>
      <c r="M31" s="23">
        <f>IF(A31&gt;=(Title_RESULTS!$H$7+Title_RESULTS!$C$17),0,(+M30+$L31/(1+Title_RESULTS!$C$37)^('Sheet7(F_23)'!$A31-Title_RESULTS!$H$7)))</f>
        <v>30553.60512804236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1832.6573226449934</v>
      </c>
      <c r="H32" s="5">
        <f>IF(A32&gt;=(Title_RESULTS!$H$7+Title_RESULTS!$C$17),0,(+'Sheet4(F_22)'!$D32+'Sheet4(F_22)'!$G32))</f>
        <v>582.9403099563349</v>
      </c>
      <c r="I32" s="5">
        <f>IF(A32&gt;=(Title_RESULTS!$H$7+Title_RESULTS!$C$17),0,(+'Sheet4(F_22)'!$H32))</f>
        <v>7422.561692768991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9838.15932537032</v>
      </c>
      <c r="L32" s="23">
        <f>IF(A32&gt;=(Title_RESULTS!$H$7+Title_RESULTS!$C$17),0,(+$K32-$F32))</f>
        <v>9838.15932537032</v>
      </c>
      <c r="M32" s="23">
        <f>IF(A32&gt;=(Title_RESULTS!$H$7+Title_RESULTS!$C$17),0,(+M31+$L32/(1+Title_RESULTS!$C$37)^('Sheet7(F_23)'!$A32-Title_RESULTS!$H$7)))</f>
        <v>33846.516570969885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1875.7783657904217</v>
      </c>
      <c r="H33" s="5">
        <f>IF(A33&gt;=(Title_RESULTS!$H$7+Title_RESULTS!$C$17),0,(+'Sheet4(F_22)'!$D33+'Sheet4(F_22)'!$G33))</f>
        <v>596.9308773952869</v>
      </c>
      <c r="I33" s="5">
        <f>IF(A33&gt;=(Title_RESULTS!$H$7+Title_RESULTS!$C$17),0,(+'Sheet4(F_22)'!$H33))</f>
        <v>7922.208690369534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10394.917933555244</v>
      </c>
      <c r="L33" s="23">
        <f>IF(A33&gt;=(Title_RESULTS!$H$7+Title_RESULTS!$C$17),0,(+$K33-$F33))</f>
        <v>10394.917933555244</v>
      </c>
      <c r="M33" s="23">
        <f>IF(A33&gt;=(Title_RESULTS!$H$7+Title_RESULTS!$C$17),0,(+M32+$L33/(1+Title_RESULTS!$C$37)^('Sheet7(F_23)'!$A33-Title_RESULTS!$H$7)))</f>
        <v>37095.73495822926</v>
      </c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L35">SUM(B16:B34)</f>
        <v>0</v>
      </c>
      <c r="C35" s="5">
        <f t="shared" si="1"/>
        <v>384.072</v>
      </c>
      <c r="D35" s="5">
        <f t="shared" si="1"/>
        <v>25398.94049166</v>
      </c>
      <c r="E35" s="5">
        <f t="shared" si="1"/>
        <v>0</v>
      </c>
      <c r="F35" s="5">
        <f t="shared" si="1"/>
        <v>25783.01249166</v>
      </c>
      <c r="G35" s="5">
        <f t="shared" si="1"/>
        <v>23480.66841894939</v>
      </c>
      <c r="H35" s="5">
        <f t="shared" si="1"/>
        <v>8450.855745222972</v>
      </c>
      <c r="I35" s="5">
        <f t="shared" si="1"/>
        <v>87305.27682399315</v>
      </c>
      <c r="J35" s="5">
        <f t="shared" si="1"/>
        <v>0</v>
      </c>
      <c r="K35" s="5">
        <f t="shared" si="1"/>
        <v>119236.80098816552</v>
      </c>
      <c r="L35" s="5">
        <f t="shared" si="1"/>
        <v>93453.78849650553</v>
      </c>
      <c r="M35" s="5"/>
    </row>
    <row r="36" spans="2:1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t="s">
        <v>118</v>
      </c>
      <c r="B37" s="5">
        <f>NPV(Title_RESULTS!$C$37,'Sheet7(F_23)'!B17:B34)+'Sheet7(F_23)'!B16</f>
        <v>0</v>
      </c>
      <c r="C37" s="5">
        <f>NPV(Title_RESULTS!$C$37,'Sheet7(F_23)'!C17:C34)+'Sheet7(F_23)'!C16</f>
        <v>358.8491576370552</v>
      </c>
      <c r="D37" s="5">
        <f>NPV(Title_RESULTS!$C$37,'Sheet7(F_23)'!D17:D34)+'Sheet7(F_23)'!D16</f>
        <v>23731.994040098492</v>
      </c>
      <c r="E37" s="5">
        <f>NPV(Title_RESULTS!$C$37,'Sheet7(F_23)'!E17:E34)+'Sheet7(F_23)'!E16</f>
        <v>0</v>
      </c>
      <c r="F37" s="5">
        <f>NPV(Title_RESULTS!$C$37,'Sheet7(F_23)'!F17:F34)+'Sheet7(F_23)'!F16</f>
        <v>24090.84319773555</v>
      </c>
      <c r="G37" s="5">
        <f>NPV(Title_RESULTS!$C$37,'Sheet7(F_23)'!G17:G34)+'Sheet7(F_23)'!G16</f>
        <v>11974.63415084464</v>
      </c>
      <c r="H37" s="5">
        <f>NPV(Title_RESULTS!$C$37,'Sheet7(F_23)'!H17:H34)+'Sheet7(F_23)'!H16</f>
        <v>4644.687454327701</v>
      </c>
      <c r="I37" s="5">
        <f>NPV(Title_RESULTS!$C$37,'Sheet7(F_23)'!I17:I34)+'Sheet7(F_23)'!I16</f>
        <v>44567.25655079246</v>
      </c>
      <c r="J37" s="5">
        <f>NPV(Title_RESULTS!$C$37,'Sheet7(F_23)'!J17:J34)+'Sheet7(F_23)'!J16</f>
        <v>0</v>
      </c>
      <c r="K37" s="5">
        <f>NPV(Title_RESULTS!$C$37,'Sheet7(F_23)'!K17:K34)+'Sheet7(F_23)'!K16</f>
        <v>61186.578155964795</v>
      </c>
      <c r="L37" s="5">
        <f>NPV(Title_RESULTS!$C$37,'Sheet7(F_23)'!L17:L34)+'Sheet7(F_23)'!L16</f>
        <v>37095.734958229245</v>
      </c>
      <c r="M37" s="5"/>
    </row>
    <row r="39" spans="1:8" ht="12.75">
      <c r="A39" t="s">
        <v>162</v>
      </c>
      <c r="C39">
        <f>+Title_RESULTS!C37</f>
        <v>0.0708</v>
      </c>
      <c r="D39" t="s">
        <v>163</v>
      </c>
      <c r="H39" s="10">
        <f>+K37/F37</f>
        <v>2.539827172247591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HVAC Equipment Upgrades</v>
      </c>
      <c r="L2" t="s">
        <v>55</v>
      </c>
    </row>
    <row r="3" ht="12.75">
      <c r="L3" s="35">
        <f>+Title_RESULTS!I4</f>
        <v>43599.32303530093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1111.1296432887223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3643.06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4754.189643288722</v>
      </c>
      <c r="G16" s="5">
        <f>IF(A16&gt;=(Title_RESULTS!$H$7+Title_RESULTS!$C$17),0,(+'Sheet6(p_6)'!$H16))</f>
        <v>8274.54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8274.54</v>
      </c>
      <c r="K16" s="23">
        <f>IF(A16&gt;=(Title_RESULTS!$H$7+Title_RESULTS!$C$17),0,(+F16-J16))</f>
        <v>-3520.3503567112784</v>
      </c>
      <c r="L16" s="23">
        <f>IF(A16&gt;=(Title_RESULTS!$H$7+Title_RESULTS!$C$17),0,(+$K16/((1+Title_RESULTS!$C$37)^('Sheet8(F_24)'!$A16-Title_RESULTS!$H$7))))</f>
        <v>-3520.3503567112784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3415.288573228332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3643.06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7058.348573228332</v>
      </c>
      <c r="G17" s="5">
        <f>IF(A17&gt;=(Title_RESULTS!$H$7+Title_RESULTS!$C$17),0,(+'Sheet6(p_6)'!$H17))</f>
        <v>8464.85442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8464.85442</v>
      </c>
      <c r="K17" s="23">
        <f>IF(A17&gt;=(Title_RESULTS!$H$7+Title_RESULTS!$C$17),0,(+F17-J17))</f>
        <v>-1406.505846771668</v>
      </c>
      <c r="L17" s="23">
        <f>IF(A16&gt;=(Title_RESULTS!$H$7+Title_RESULTS!$C$17),0,(+$K17/((1+Title_RESULTS!$C$37)^('Sheet8(F_24)'!$A17-Title_RESULTS!$H$7))+L16))</f>
        <v>-4833.859739202564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5809.598583525644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3643.06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9452.658583525645</v>
      </c>
      <c r="G18" s="5">
        <f>IF(A18&gt;=(Title_RESULTS!$H$7+Title_RESULTS!$C$17),0,(+'Sheet6(p_6)'!$H18))</f>
        <v>8659.54607166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8659.54607166</v>
      </c>
      <c r="K18" s="23">
        <f>IF(A18&gt;=(Title_RESULTS!$H$7+Title_RESULTS!$C$17),0,(+F18-J18))</f>
        <v>793.1125118656455</v>
      </c>
      <c r="L18" s="23">
        <f>IF(A17&gt;=(Title_RESULTS!$H$7+Title_RESULTS!$C$17),0,(+$K18/((1+Title_RESULTS!$C$37)^('Sheet8(F_24)'!$A18-Title_RESULTS!$H$7))+L17))</f>
        <v>-4142.159260594858</v>
      </c>
      <c r="M18" s="5"/>
    </row>
    <row r="19" spans="1:13" ht="12.75">
      <c r="A19">
        <f aca="true" t="shared" si="0" ref="A19:A33">+A18+1</f>
        <v>2023</v>
      </c>
      <c r="B19" s="5">
        <f>IF(A19&gt;=(Title_RESULTS!$H$7+Title_RESULTS!$C$17),0,(+'Sheet6(p_6)'!N19-'Sheet6(p_6)'!R19))</f>
        <v>6990.164263245899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6990.164263245899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6990.164263245899</v>
      </c>
      <c r="L19" s="23">
        <f>IF(A18&gt;=(Title_RESULTS!$H$7+Title_RESULTS!$C$17),0,(+$K19/((1+Title_RESULTS!$C$37)^('Sheet8(F_24)'!$A19-Title_RESULTS!$H$7))+L18))</f>
        <v>1551.1174700943566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7190.105547176096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7190.105547176096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7190.105547176096</v>
      </c>
      <c r="L20" s="23">
        <f>IF(A19&gt;=(Title_RESULTS!$H$7+Title_RESULTS!$C$17),0,(+$K20/((1+Title_RESULTS!$C$37)^('Sheet8(F_24)'!$A20-Title_RESULTS!$H$7))+L19))</f>
        <v>7020.0405563848335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7401.419015091335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7401.419015091335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7401.419015091335</v>
      </c>
      <c r="L21" s="23">
        <f>IF(A20&gt;=(Title_RESULTS!$H$7+Title_RESULTS!$C$17),0,(+$K21/((1+Title_RESULTS!$C$37)^('Sheet8(F_24)'!$A21-Title_RESULTS!$H$7))+L20))</f>
        <v>12277.466682235437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7584.952691733819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7584.952691733819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7584.952691733819</v>
      </c>
      <c r="L22" s="23">
        <f>IF(A21&gt;=(Title_RESULTS!$H$7+Title_RESULTS!$C$17),0,(+$K22/((1+Title_RESULTS!$C$37)^('Sheet8(F_24)'!$A22-Title_RESULTS!$H$7))+L21))</f>
        <v>17309.02720814085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7819.700452635672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7819.700452635672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7819.700452635672</v>
      </c>
      <c r="L23" s="23">
        <f>IF(A22&gt;=(Title_RESULTS!$H$7+Title_RESULTS!$C$17),0,(+$K23/((1+Title_RESULTS!$C$37)^('Sheet8(F_24)'!$A23-Title_RESULTS!$H$7))+L22))</f>
        <v>22153.333330492595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8189.428468764669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8189.428468764669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8189.428468764669</v>
      </c>
      <c r="L24" s="23">
        <f>IF(A23&gt;=(Title_RESULTS!$H$7+Title_RESULTS!$C$17),0,(+$K24/((1+Title_RESULTS!$C$37)^('Sheet8(F_24)'!$A24-Title_RESULTS!$H$7))+L23))</f>
        <v>26891.242098088307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8425.616959898049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8425.616959898049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8425.616959898049</v>
      </c>
      <c r="L25" s="23">
        <f>IF(A24&gt;=(Title_RESULTS!$H$7+Title_RESULTS!$C$17),0,(+$K25/((1+Title_RESULTS!$C$37)^('Sheet8(F_24)'!$A25-Title_RESULTS!$H$7))+L24))</f>
        <v>31443.495708080416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8824.903012095112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8824.903012095112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8824.903012095112</v>
      </c>
      <c r="L26" s="23">
        <f>IF(A25&gt;=(Title_RESULTS!$H$7+Title_RESULTS!$C$17),0,(+$K26/((1+Title_RESULTS!$C$37)^('Sheet8(F_24)'!$A26-Title_RESULTS!$H$7))+L25))</f>
        <v>35896.22523950693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9018.741265832088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9018.741265832088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9018.741265832088</v>
      </c>
      <c r="L27" s="23">
        <f>IF(A26&gt;=(Title_RESULTS!$H$7+Title_RESULTS!$C$17),0,(+$K27/((1+Title_RESULTS!$C$37)^('Sheet8(F_24)'!$A27-Title_RESULTS!$H$7))+L26))</f>
        <v>40145.88284292566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9382.763980216208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9382.763980216208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9382.763980216208</v>
      </c>
      <c r="L28" s="23">
        <f>IF(A27&gt;=(Title_RESULTS!$H$7+Title_RESULTS!$C$17),0,(+$K28/((1+Title_RESULTS!$C$37)^('Sheet8(F_24)'!$A28-Title_RESULTS!$H$7))+L27))</f>
        <v>44274.745548278355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9529.074657894591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9529.074657894591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9529.074657894591</v>
      </c>
      <c r="L29" s="23">
        <f>IF(A28&gt;=(Title_RESULTS!$H$7+Title_RESULTS!$C$17),0,(+$K29/((1+Title_RESULTS!$C$37)^('Sheet8(F_24)'!$A29-Title_RESULTS!$H$7))+L28))</f>
        <v>48190.73954052522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9897.986498040718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9897.986498040718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9897.986498040718</v>
      </c>
      <c r="L30" s="23">
        <f>IF(A29&gt;=(Title_RESULTS!$H$7+Title_RESULTS!$C$17),0,(+$K30/((1+Title_RESULTS!$C$37)^('Sheet8(F_24)'!$A30-Title_RESULTS!$H$7))+L29))</f>
        <v>51989.39392670937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10166.361395701282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10166.361395701282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10166.361395701282</v>
      </c>
      <c r="L31" s="23">
        <f>IF(A30&gt;=(Title_RESULTS!$H$7+Title_RESULTS!$C$17),0,(+$K31/((1+Title_RESULTS!$C$37)^('Sheet8(F_24)'!$A31-Title_RESULTS!$H$7))+L30))</f>
        <v>55633.072898924955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10396.158662938404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10396.158662938404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10396.158662938404</v>
      </c>
      <c r="L32" s="23">
        <f>IF(A31&gt;=(Title_RESULTS!$H$7+Title_RESULTS!$C$17),0,(+$K32/((1+Title_RESULTS!$C$37)^('Sheet8(F_24)'!$A32-Title_RESULTS!$H$7))+L31))</f>
        <v>59112.75123015501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10758.168293442324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10758.168293442324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10758.168293442324</v>
      </c>
      <c r="L33" s="23">
        <f>IF(A32&gt;=(Title_RESULTS!$H$7+Title_RESULTS!$C$17),0,(+$K33/((1+Title_RESULTS!$C$37)^('Sheet8(F_24)'!$A33-Title_RESULTS!$H$7))+L32))</f>
        <v>62475.51353917193</v>
      </c>
      <c r="M33" s="5"/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K35">SUM(B16:B34)</f>
        <v>141911.56196474892</v>
      </c>
      <c r="C35" s="5">
        <f t="shared" si="1"/>
        <v>0</v>
      </c>
      <c r="D35" s="5">
        <f t="shared" si="1"/>
        <v>10929.18</v>
      </c>
      <c r="E35" s="5">
        <f t="shared" si="1"/>
        <v>0</v>
      </c>
      <c r="F35" s="5">
        <f t="shared" si="1"/>
        <v>152840.74196474894</v>
      </c>
      <c r="G35" s="5">
        <f t="shared" si="1"/>
        <v>25398.94049166</v>
      </c>
      <c r="H35" s="5">
        <f t="shared" si="1"/>
        <v>0</v>
      </c>
      <c r="I35" s="5">
        <f t="shared" si="1"/>
        <v>0</v>
      </c>
      <c r="J35" s="5">
        <f t="shared" si="1"/>
        <v>25398.94049166</v>
      </c>
      <c r="K35" s="5">
        <f t="shared" si="1"/>
        <v>127441.80147308896</v>
      </c>
      <c r="L35" s="5"/>
      <c r="M35" s="5"/>
    </row>
    <row r="36" ht="12.75">
      <c r="M36" s="5"/>
    </row>
    <row r="37" spans="1:13" ht="12.75">
      <c r="A37" t="s">
        <v>118</v>
      </c>
      <c r="B37" s="5">
        <f>NPV(Title_RESULTS!$C$37,'Sheet8(F_24)'!B17:B34)+'Sheet8(F_24)'!B16</f>
        <v>75985.02538835508</v>
      </c>
      <c r="C37" s="5">
        <f>NPV(Title_RESULTS!$C$37,'Sheet8(F_24)'!C17:C34)+'Sheet8(F_24)'!C16</f>
        <v>0</v>
      </c>
      <c r="D37" s="5">
        <f>NPV(Title_RESULTS!$C$37,'Sheet8(F_24)'!D17:D34)+'Sheet8(F_24)'!D16</f>
        <v>10222.48219091532</v>
      </c>
      <c r="E37" s="5">
        <f>NPV(Title_RESULTS!$C$37,'Sheet8(F_24)'!E17:E34)+'Sheet8(F_24)'!E16</f>
        <v>0</v>
      </c>
      <c r="F37" s="5">
        <f>NPV(Title_RESULTS!$C$37,'Sheet8(F_24)'!F17:F34)+'Sheet8(F_24)'!F16</f>
        <v>86207.5075792704</v>
      </c>
      <c r="G37" s="5">
        <f>NPV(Title_RESULTS!$C$37,'Sheet8(F_24)'!G17:G34)+'Sheet8(F_24)'!G16</f>
        <v>23731.994040098492</v>
      </c>
      <c r="H37" s="5">
        <f>NPV(Title_RESULTS!$C$37,'Sheet8(F_24)'!H17:H34)+'Sheet8(F_24)'!H16</f>
        <v>0</v>
      </c>
      <c r="I37" s="5">
        <f>NPV(Title_RESULTS!$C$37,'Sheet8(F_24)'!I17:I34)+'Sheet8(F_24)'!I16</f>
        <v>0</v>
      </c>
      <c r="J37" s="5">
        <f>NPV(Title_RESULTS!$C$37,'Sheet8(F_24)'!J17:J34)+'Sheet8(F_24)'!J16</f>
        <v>23731.994040098492</v>
      </c>
      <c r="K37" s="5">
        <f>NPV(Title_RESULTS!$C$37,'Sheet8(F_24)'!K17:K34)+'Sheet8(F_24)'!K16</f>
        <v>62475.51353917191</v>
      </c>
      <c r="L37" s="5"/>
      <c r="M37" s="5"/>
    </row>
    <row r="38" spans="2:1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1" ht="12.75">
      <c r="A39" t="s">
        <v>174</v>
      </c>
      <c r="D39">
        <f>+Title_RESULTS!H8</f>
        <v>2023</v>
      </c>
      <c r="F39">
        <f>+F37/J37</f>
        <v>3.6325437901935618</v>
      </c>
      <c r="K39" s="10"/>
    </row>
    <row r="40" spans="1:10" ht="12.75">
      <c r="A40" t="s">
        <v>175</v>
      </c>
      <c r="D40">
        <f>+Title_RESULTS!C37</f>
        <v>0.0708</v>
      </c>
      <c r="J40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HVAC Equipment Upgrades</v>
      </c>
      <c r="N2" t="s">
        <v>55</v>
      </c>
    </row>
    <row r="3" ht="12.75">
      <c r="N3" s="35">
        <f>+Title_RESULTS!I4</f>
        <v>43599.32303530093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3643.06</v>
      </c>
      <c r="E16" s="5">
        <f>+'Sheet6(p_6)'!M16</f>
        <v>680.50755</v>
      </c>
      <c r="F16">
        <f>IF(A16&gt;=(Title_RESULTS!$H$7+Title_RESULTS!$C$17),0,(+'f-11B'!$R15))</f>
        <v>0</v>
      </c>
      <c r="G16" s="5">
        <f>IF(A16&gt;=(Title_RESULTS!$H$7+Title_RESULTS!$C$17),0,(SUM(B16:F16)))</f>
        <v>4448.56755</v>
      </c>
      <c r="H16" s="5">
        <f>IF(A16&gt;=(Title_RESULTS!$H$7+Title_RESULTS!$C$17),0,(+'Sheet3(F_21)'!$J16+'Sheet4(F_22)'!$H16))</f>
        <v>541.2057116738592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541.2057116738592</v>
      </c>
      <c r="M16" s="23">
        <f>IF(A16&gt;=(Title_RESULTS!$H$7+Title_RESULTS!$C$17),0,(+L16-G16))</f>
        <v>-3907.3618383261405</v>
      </c>
      <c r="N16" s="24">
        <f>IF(A16&gt;=(Title_RESULTS!$H$7+Title_RESULTS!$C$17),0,(+$M16/((1+Title_RESULTS!$C$37)^('Sheet9(F_25)'!$A16-Title_RESULTS!$H$7))))</f>
        <v>-3907.3618383261405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3643.06</v>
      </c>
      <c r="E17" s="5">
        <f>+'Sheet6(p_6)'!M17</f>
        <v>2061.9378765</v>
      </c>
      <c r="F17">
        <f>IF(A17&gt;=(Title_RESULTS!$H$7+Title_RESULTS!$C$17),0,(+'f-11B'!$R16))</f>
        <v>0</v>
      </c>
      <c r="G17" s="5">
        <f>IF(A17&gt;=(Title_RESULTS!$H$7+Title_RESULTS!$C$17),0,(SUM(B17:F17)))</f>
        <v>5832.9978765</v>
      </c>
      <c r="H17" s="5">
        <f>IF(A17&gt;=(Title_RESULTS!$H$7+Title_RESULTS!$C$17),0,(+'Sheet3(F_21)'!$J17+'Sheet4(F_22)'!$H17))</f>
        <v>1610.410871601834</v>
      </c>
      <c r="I17" s="5">
        <f>IF(A17&gt;=(Title_RESULTS!$H$7+Title_RESULTS!$C$17),0,(+'Sheet4(F_22)'!$D17+'Sheet4(F_22)'!$G17))</f>
        <v>408.4366805674225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2018.8475521692567</v>
      </c>
      <c r="M17" s="23">
        <f>IF(A17&gt;=(Title_RESULTS!$H$7+Title_RESULTS!$C$17),0,(+L17-G17))</f>
        <v>-3814.150324330743</v>
      </c>
      <c r="N17" s="24">
        <f>(IF(A16&gt;=(Title_RESULTS!$H$7+Title_RESULTS!$C$17),0,(+$M17/((1+Title_RESULTS!$C$37)^('Sheet9(F_25)'!$A17-Title_RESULTS!$H$7))+N16)))</f>
        <v>-7469.325159516598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3643.06</v>
      </c>
      <c r="E18" s="5">
        <f>+'Sheet6(p_6)'!M18</f>
        <v>3470.9287587750005</v>
      </c>
      <c r="F18">
        <f>IF(A18&gt;=(Title_RESULTS!$H$7+Title_RESULTS!$C$17),0,(+'f-11B'!$R17))</f>
        <v>0</v>
      </c>
      <c r="G18" s="5">
        <f>IF(A18&gt;=(Title_RESULTS!$H$7+Title_RESULTS!$C$17),0,(SUM(B18:F18)))</f>
        <v>7245.060758775</v>
      </c>
      <c r="H18" s="5">
        <f>IF(A18&gt;=(Title_RESULTS!$H$7+Title_RESULTS!$C$17),0,(+'Sheet3(F_21)'!$J18+'Sheet4(F_22)'!$H18))</f>
        <v>2770.086346967741</v>
      </c>
      <c r="I18" s="5">
        <f>IF(A18&gt;=(Title_RESULTS!$H$7+Title_RESULTS!$C$17),0,(+'Sheet4(F_22)'!$D18+'Sheet4(F_22)'!$G18))</f>
        <v>418.2391609010406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3188.3255078687816</v>
      </c>
      <c r="M18" s="23">
        <f>IF(A18&gt;=(Title_RESULTS!$H$7+Title_RESULTS!$C$17),0,(+L18-G18))</f>
        <v>-4056.7352509062184</v>
      </c>
      <c r="N18" s="24">
        <f>(IF(A17&gt;=(Title_RESULTS!$H$7+Title_RESULTS!$C$17),0,(+$M18/((1+Title_RESULTS!$C$37)^('Sheet9(F_25)'!$A18-Title_RESULTS!$H$7))+N17)))</f>
        <v>-11007.342367233949</v>
      </c>
    </row>
    <row r="19" spans="1:14" ht="12.75">
      <c r="A19">
        <f aca="true" t="shared" si="0" ref="A19:A33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4206.7656556353</v>
      </c>
      <c r="F19">
        <f>IF(A19&gt;=(Title_RESULTS!$H$7+Title_RESULTS!$C$17),0,(+'f-11B'!$R18))</f>
        <v>0</v>
      </c>
      <c r="G19" s="5">
        <f>IF(A19&gt;=(Title_RESULTS!$H$7+Title_RESULTS!$C$17),0,(SUM(B19:F19)))</f>
        <v>4206.7656556353</v>
      </c>
      <c r="H19" s="5">
        <f>IF(A19&gt;=(Title_RESULTS!$H$7+Title_RESULTS!$C$17),0,(+'Sheet3(F_21)'!$J19+'Sheet4(F_22)'!$H19))</f>
        <v>4758.221749904891</v>
      </c>
      <c r="I19" s="5">
        <f>IF(A19&gt;=(Title_RESULTS!$H$7+Title_RESULTS!$C$17),0,(+'Sheet4(F_22)'!$D19+'Sheet4(F_22)'!$G19))</f>
        <v>428.2769007626656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5186.498650667557</v>
      </c>
      <c r="M19" s="23">
        <f>IF(A19&gt;=(Title_RESULTS!$H$7+Title_RESULTS!$C$17),0,(+L19-G19))</f>
        <v>979.7329950322564</v>
      </c>
      <c r="N19" s="24">
        <f>(IF(A18&gt;=(Title_RESULTS!$H$7+Title_RESULTS!$C$17),0,(+$M19/((1+Title_RESULTS!$C$37)^('Sheet9(F_25)'!$A19-Title_RESULTS!$H$7))+N18)))</f>
        <v>-10209.379565095807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4248.833312191654</v>
      </c>
      <c r="F20">
        <f>IF(A20&gt;=(Title_RESULTS!$H$7+Title_RESULTS!$C$17),0,(+'f-11B'!$R19))</f>
        <v>0</v>
      </c>
      <c r="G20" s="5">
        <f>IF(A20&gt;=(Title_RESULTS!$H$7+Title_RESULTS!$C$17),0,(SUM(B20:F20)))</f>
        <v>4248.833312191654</v>
      </c>
      <c r="H20" s="5">
        <f>IF(A20&gt;=(Title_RESULTS!$H$7+Title_RESULTS!$C$17),0,(+'Sheet3(F_21)'!$J20+'Sheet4(F_22)'!$H20))</f>
        <v>4928.809371817874</v>
      </c>
      <c r="I20" s="5">
        <f>IF(A20&gt;=(Title_RESULTS!$H$7+Title_RESULTS!$C$17),0,(+'Sheet4(F_22)'!$D20+'Sheet4(F_22)'!$G20))</f>
        <v>438.55554638096953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5367.364918198844</v>
      </c>
      <c r="M20" s="23">
        <f>IF(A20&gt;=(Title_RESULTS!$H$7+Title_RESULTS!$C$17),0,(+L20-G20))</f>
        <v>1118.53160600719</v>
      </c>
      <c r="N20" s="24">
        <f>(IF(A19&gt;=(Title_RESULTS!$H$7+Title_RESULTS!$C$17),0,(+$M20/((1+Title_RESULTS!$C$37)^('Sheet9(F_25)'!$A20-Title_RESULTS!$H$7))+N19)))</f>
        <v>-9358.604387638114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4291.32164531357</v>
      </c>
      <c r="F21">
        <f>IF(A21&gt;=(Title_RESULTS!$H$7+Title_RESULTS!$C$17),0,(+'f-11B'!$R20))</f>
        <v>0</v>
      </c>
      <c r="G21" s="5">
        <f>IF(A21&gt;=(Title_RESULTS!$H$7+Title_RESULTS!$C$17),0,(SUM(B21:F21)))</f>
        <v>4291.32164531357</v>
      </c>
      <c r="H21" s="5">
        <f>IF(A21&gt;=(Title_RESULTS!$H$7+Title_RESULTS!$C$17),0,(+'Sheet3(F_21)'!$J21+'Sheet4(F_22)'!$H21))</f>
        <v>5231.721350910522</v>
      </c>
      <c r="I21" s="5">
        <f>IF(A21&gt;=(Title_RESULTS!$H$7+Title_RESULTS!$C$17),0,(+'Sheet4(F_22)'!$D21+'Sheet4(F_22)'!$G21))</f>
        <v>449.0808794941128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5680.802230404635</v>
      </c>
      <c r="M21" s="23">
        <f>IF(A21&gt;=(Title_RESULTS!$H$7+Title_RESULTS!$C$17),0,(+L21-G21))</f>
        <v>1389.4805850910652</v>
      </c>
      <c r="N21" s="24">
        <f>(IF(A20&gt;=(Title_RESULTS!$H$7+Title_RESULTS!$C$17),0,(+$M21/((1+Title_RESULTS!$C$37)^('Sheet9(F_25)'!$A21-Title_RESULTS!$H$7))+N20)))</f>
        <v>-8371.619119742183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4334.234861766707</v>
      </c>
      <c r="F22">
        <f>IF(A22&gt;=(Title_RESULTS!$H$7+Title_RESULTS!$C$17),0,(+'f-11B'!$R21))</f>
        <v>0</v>
      </c>
      <c r="G22" s="5">
        <f>IF(A22&gt;=(Title_RESULTS!$H$7+Title_RESULTS!$C$17),0,(SUM(B22:F22)))</f>
        <v>4334.234861766707</v>
      </c>
      <c r="H22" s="5">
        <f>IF(A22&gt;=(Title_RESULTS!$H$7+Title_RESULTS!$C$17),0,(+'Sheet3(F_21)'!$J22+'Sheet4(F_22)'!$H22))</f>
        <v>5397.975770041365</v>
      </c>
      <c r="I22" s="5">
        <f>IF(A22&gt;=(Title_RESULTS!$H$7+Title_RESULTS!$C$17),0,(+'Sheet4(F_22)'!$D22+'Sheet4(F_22)'!$G22))</f>
        <v>459.8588206019715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5857.834590643336</v>
      </c>
      <c r="M22" s="23">
        <f>IF(A22&gt;=(Title_RESULTS!$H$7+Title_RESULTS!$C$17),0,(+L22-G22))</f>
        <v>1523.5997288766293</v>
      </c>
      <c r="N22" s="24">
        <f>(IF(A21&gt;=(Title_RESULTS!$H$7+Title_RESULTS!$C$17),0,(+$M22/((1+Title_RESULTS!$C$37)^('Sheet9(F_25)'!$A22-Title_RESULTS!$H$7))+N21)))</f>
        <v>-7360.922736434422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4377.577210384372</v>
      </c>
      <c r="F23">
        <f>IF(A23&gt;=(Title_RESULTS!$H$7+Title_RESULTS!$C$17),0,(+'f-11B'!$R22))</f>
        <v>0</v>
      </c>
      <c r="G23" s="5">
        <f>IF(A23&gt;=(Title_RESULTS!$H$7+Title_RESULTS!$C$17),0,(SUM(B23:F23)))</f>
        <v>4377.577210384372</v>
      </c>
      <c r="H23" s="5">
        <f>IF(A23&gt;=(Title_RESULTS!$H$7+Title_RESULTS!$C$17),0,(+'Sheet3(F_21)'!$J23+'Sheet4(F_22)'!$H23))</f>
        <v>5685.0705334741515</v>
      </c>
      <c r="I23" s="5">
        <f>IF(A23&gt;=(Title_RESULTS!$H$7+Title_RESULTS!$C$17),0,(+'Sheet4(F_22)'!$D23+'Sheet4(F_22)'!$G23))</f>
        <v>470.89543229641885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6155.965965770571</v>
      </c>
      <c r="M23" s="23">
        <f>IF(A23&gt;=(Title_RESULTS!$H$7+Title_RESULTS!$C$17),0,(+L23-G23))</f>
        <v>1778.3887553861987</v>
      </c>
      <c r="N23" s="24">
        <f>(IF(A22&gt;=(Title_RESULTS!$H$7+Title_RESULTS!$C$17),0,(+$M23/((1+Title_RESULTS!$C$37)^('Sheet9(F_25)'!$A23-Title_RESULTS!$H$7))+N22)))</f>
        <v>-6259.210517683753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4421.352982488217</v>
      </c>
      <c r="F24">
        <f>IF(A24&gt;=(Title_RESULTS!$H$7+Title_RESULTS!$C$17),0,(+'f-11B'!$R23))</f>
        <v>0</v>
      </c>
      <c r="G24" s="5">
        <f>IF(A24&gt;=(Title_RESULTS!$H$7+Title_RESULTS!$C$17),0,(SUM(B24:F24)))</f>
        <v>4421.352982488217</v>
      </c>
      <c r="H24" s="5">
        <f>IF(A24&gt;=(Title_RESULTS!$H$7+Title_RESULTS!$C$17),0,(+'Sheet3(F_21)'!$J24+'Sheet4(F_22)'!$H24))</f>
        <v>6166.378653239079</v>
      </c>
      <c r="I24" s="5">
        <f>IF(A24&gt;=(Title_RESULTS!$H$7+Title_RESULTS!$C$17),0,(+'Sheet4(F_22)'!$D24+'Sheet4(F_22)'!$G24))</f>
        <v>482.1969226715329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6648.575575910611</v>
      </c>
      <c r="M24" s="23">
        <f>IF(A24&gt;=(Title_RESULTS!$H$7+Title_RESULTS!$C$17),0,(+L24-G24))</f>
        <v>2227.2225934223943</v>
      </c>
      <c r="N24" s="24">
        <f>(IF(A23&gt;=(Title_RESULTS!$H$7+Title_RESULTS!$C$17),0,(+$M24/((1+Title_RESULTS!$C$37)^('Sheet9(F_25)'!$A24-Title_RESULTS!$H$7))+N23)))</f>
        <v>-4970.674022980724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4465.566512313099</v>
      </c>
      <c r="F25">
        <f>IF(A25&gt;=(Title_RESULTS!$H$7+Title_RESULTS!$C$17),0,(+'f-11B'!$R24))</f>
        <v>0</v>
      </c>
      <c r="G25" s="5">
        <f>IF(A25&gt;=(Title_RESULTS!$H$7+Title_RESULTS!$C$17),0,(SUM(B25:F25)))</f>
        <v>4465.566512313099</v>
      </c>
      <c r="H25" s="5">
        <f>IF(A25&gt;=(Title_RESULTS!$H$7+Title_RESULTS!$C$17),0,(+'Sheet3(F_21)'!$J25+'Sheet4(F_22)'!$H25))</f>
        <v>6541.2793963415115</v>
      </c>
      <c r="I25" s="5">
        <f>IF(A25&gt;=(Title_RESULTS!$H$7+Title_RESULTS!$C$17),0,(+'Sheet4(F_22)'!$D25+'Sheet4(F_22)'!$G25))</f>
        <v>493.76964881564965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7035.049045157161</v>
      </c>
      <c r="M25" s="23">
        <f>IF(A25&gt;=(Title_RESULTS!$H$7+Title_RESULTS!$C$17),0,(+L25-G25))</f>
        <v>2569.482532844062</v>
      </c>
      <c r="N25" s="24">
        <f>(IF(A24&gt;=(Title_RESULTS!$H$7+Title_RESULTS!$C$17),0,(+$M25/((1+Title_RESULTS!$C$37)^('Sheet9(F_25)'!$A25-Title_RESULTS!$H$7))+N24)))</f>
        <v>-3582.4153124764453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4510.222177436231</v>
      </c>
      <c r="F26">
        <f>IF(A26&gt;=(Title_RESULTS!$H$7+Title_RESULTS!$C$17),0,(+'f-11B'!$R25))</f>
        <v>0</v>
      </c>
      <c r="G26" s="5">
        <f>IF(A26&gt;=(Title_RESULTS!$H$7+Title_RESULTS!$C$17),0,(SUM(B26:F26)))</f>
        <v>4510.222177436231</v>
      </c>
      <c r="H26" s="5">
        <f>IF(A26&gt;=(Title_RESULTS!$H$7+Title_RESULTS!$C$17),0,(+'Sheet3(F_21)'!$J26+'Sheet4(F_22)'!$H26))</f>
        <v>7153.416624986299</v>
      </c>
      <c r="I26" s="5">
        <f>IF(A26&gt;=(Title_RESULTS!$H$7+Title_RESULTS!$C$17),0,(+'Sheet4(F_22)'!$D26+'Sheet4(F_22)'!$G26))</f>
        <v>505.62012038722526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7659.036745373524</v>
      </c>
      <c r="M26" s="23">
        <f>IF(A26&gt;=(Title_RESULTS!$H$7+Title_RESULTS!$C$17),0,(+L26-G26))</f>
        <v>3148.8145679372938</v>
      </c>
      <c r="N26" s="24">
        <f>(IF(A25&gt;=(Title_RESULTS!$H$7+Title_RESULTS!$C$17),0,(+$M26/((1+Title_RESULTS!$C$37)^('Sheet9(F_25)'!$A26-Title_RESULTS!$H$7))+N25)))</f>
        <v>-1993.6364220541998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4555.324399210593</v>
      </c>
      <c r="F27">
        <f>IF(A27&gt;=(Title_RESULTS!$H$7+Title_RESULTS!$C$17),0,(+'f-11B'!$R26))</f>
        <v>0</v>
      </c>
      <c r="G27" s="5">
        <f>IF(A27&gt;=(Title_RESULTS!$H$7+Title_RESULTS!$C$17),0,(SUM(B27:F27)))</f>
        <v>4555.324399210593</v>
      </c>
      <c r="H27" s="5">
        <f>IF(A27&gt;=(Title_RESULTS!$H$7+Title_RESULTS!$C$17),0,(+'Sheet3(F_21)'!$J27+'Sheet4(F_22)'!$H27))</f>
        <v>7185.641063134508</v>
      </c>
      <c r="I27" s="5">
        <f>IF(A27&gt;=(Title_RESULTS!$H$7+Title_RESULTS!$C$17),0,(+'Sheet4(F_22)'!$D27+'Sheet4(F_22)'!$G27))</f>
        <v>517.7550032765189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7703.396066411027</v>
      </c>
      <c r="M27" s="23">
        <f>IF(A27&gt;=(Title_RESULTS!$H$7+Title_RESULTS!$C$17),0,(+L27-G27))</f>
        <v>3148.0716672004346</v>
      </c>
      <c r="N27" s="24">
        <f>(IF(A26&gt;=(Title_RESULTS!$H$7+Title_RESULTS!$C$17),0,(+$M27/((1+Title_RESULTS!$C$37)^('Sheet9(F_25)'!$A27-Title_RESULTS!$H$7))+N26)))</f>
        <v>-510.2557259797459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4600.877643202698</v>
      </c>
      <c r="F28">
        <f>IF(A28&gt;=(Title_RESULTS!$H$7+Title_RESULTS!$C$17),0,(+'f-11B'!$R27))</f>
        <v>0</v>
      </c>
      <c r="G28" s="5">
        <f>IF(A28&gt;=(Title_RESULTS!$H$7+Title_RESULTS!$C$17),0,(SUM(B28:F28)))</f>
        <v>4600.877643202698</v>
      </c>
      <c r="H28" s="5">
        <f>IF(A28&gt;=(Title_RESULTS!$H$7+Title_RESULTS!$C$17),0,(+'Sheet3(F_21)'!$J28+'Sheet4(F_22)'!$H28))</f>
        <v>7738.928917442384</v>
      </c>
      <c r="I28" s="5">
        <f>IF(A28&gt;=(Title_RESULTS!$H$7+Title_RESULTS!$C$17),0,(+'Sheet4(F_22)'!$D28+'Sheet4(F_22)'!$G28))</f>
        <v>530.1811233551551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8269.11004079754</v>
      </c>
      <c r="M28" s="23">
        <f>IF(A28&gt;=(Title_RESULTS!$H$7+Title_RESULTS!$C$17),0,(+L28-G28))</f>
        <v>3668.232397594841</v>
      </c>
      <c r="N28" s="24">
        <f>(IF(A27&gt;=(Title_RESULTS!$H$7+Title_RESULTS!$C$17),0,(+$M28/((1+Title_RESULTS!$C$37)^('Sheet9(F_25)'!$A28-Title_RESULTS!$H$7))+N27)))</f>
        <v>1103.941111213513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4646.886419634725</v>
      </c>
      <c r="F29">
        <f>IF(A29&gt;=(Title_RESULTS!$H$7+Title_RESULTS!$C$17),0,(+'f-11B'!$R28))</f>
        <v>0</v>
      </c>
      <c r="G29" s="5">
        <f>IF(A29&gt;=(Title_RESULTS!$H$7+Title_RESULTS!$C$17),0,(SUM(B29:F29)))</f>
        <v>4646.886419634725</v>
      </c>
      <c r="H29" s="5">
        <f>IF(A29&gt;=(Title_RESULTS!$H$7+Title_RESULTS!$C$17),0,(+'Sheet3(F_21)'!$J29+'Sheet4(F_22)'!$H29))</f>
        <v>8202.975476017305</v>
      </c>
      <c r="I29" s="5">
        <f>IF(A29&gt;=(Title_RESULTS!$H$7+Title_RESULTS!$C$17),0,(+'Sheet4(F_22)'!$D29+'Sheet4(F_22)'!$G29))</f>
        <v>542.9054703156789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8745.880946332985</v>
      </c>
      <c r="M29" s="23">
        <f>IF(A29&gt;=(Title_RESULTS!$H$7+Title_RESULTS!$C$17),0,(+L29-G29))</f>
        <v>4098.99452669826</v>
      </c>
      <c r="N29" s="24">
        <f>(IF(A28&gt;=(Title_RESULTS!$H$7+Title_RESULTS!$C$17),0,(+$M29/((1+Title_RESULTS!$C$37)^('Sheet9(F_25)'!$A29-Title_RESULTS!$H$7))+N28)))</f>
        <v>2788.4318426933833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4693.355283831073</v>
      </c>
      <c r="F30">
        <f>IF(A30&gt;=(Title_RESULTS!$H$7+Title_RESULTS!$C$17),0,(+'f-11B'!$R29))</f>
        <v>0</v>
      </c>
      <c r="G30" s="5">
        <f>IF(A30&gt;=(Title_RESULTS!$H$7+Title_RESULTS!$C$17),0,(SUM(B30:F30)))</f>
        <v>4693.355283831073</v>
      </c>
      <c r="H30" s="5">
        <f>IF(A30&gt;=(Title_RESULTS!$H$7+Title_RESULTS!$C$17),0,(+'Sheet3(F_21)'!$J30+'Sheet4(F_22)'!$H30))</f>
        <v>8539.059686910065</v>
      </c>
      <c r="I30" s="5">
        <f>IF(A30&gt;=(Title_RESULTS!$H$7+Title_RESULTS!$C$17),0,(+'Sheet4(F_22)'!$D30+'Sheet4(F_22)'!$G30))</f>
        <v>555.9352016032551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9094.99488851332</v>
      </c>
      <c r="M30" s="23">
        <f>IF(A30&gt;=(Title_RESULTS!$H$7+Title_RESULTS!$C$17),0,(+L30-G30))</f>
        <v>4401.6396046822465</v>
      </c>
      <c r="N30" s="24">
        <f>(IF(A29&gt;=(Title_RESULTS!$H$7+Title_RESULTS!$C$17),0,(+$M30/((1+Title_RESULTS!$C$37)^('Sheet9(F_25)'!$A30-Title_RESULTS!$H$7))+N29)))</f>
        <v>4477.6953705874475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4740.288836669382</v>
      </c>
      <c r="F31">
        <f>IF(A31&gt;=(Title_RESULTS!$H$7+Title_RESULTS!$C$17),0,(+'f-11B'!$R30))</f>
        <v>0</v>
      </c>
      <c r="G31" s="5">
        <f>IF(A31&gt;=(Title_RESULTS!$H$7+Title_RESULTS!$C$17),0,(SUM(B31:F31)))</f>
        <v>4740.288836669382</v>
      </c>
      <c r="H31" s="5">
        <f>IF(A31&gt;=(Title_RESULTS!$H$7+Title_RESULTS!$C$17),0,(+'Sheet3(F_21)'!$J31+'Sheet4(F_22)'!$H31))</f>
        <v>9281.557646905216</v>
      </c>
      <c r="I31" s="5">
        <f>IF(A31&gt;=(Title_RESULTS!$H$7+Title_RESULTS!$C$17),0,(+'Sheet4(F_22)'!$D31+'Sheet4(F_22)'!$G31))</f>
        <v>569.2776464417334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9850.835293346949</v>
      </c>
      <c r="M31" s="23">
        <f>IF(A31&gt;=(Title_RESULTS!$H$7+Title_RESULTS!$C$17),0,(+L31-G31))</f>
        <v>5110.546456677566</v>
      </c>
      <c r="N31" s="24">
        <f>(IF(A30&gt;=(Title_RESULTS!$H$7+Title_RESULTS!$C$17),0,(+$M31/((1+Title_RESULTS!$C$37)^('Sheet9(F_25)'!$A31-Title_RESULTS!$H$7))+N30)))</f>
        <v>6309.342892836723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4787.6917250360775</v>
      </c>
      <c r="F32">
        <f>IF(A32&gt;=(Title_RESULTS!$H$7+Title_RESULTS!$C$17),0,(+'f-11B'!$R31))</f>
        <v>0</v>
      </c>
      <c r="G32" s="5">
        <f>IF(A32&gt;=(Title_RESULTS!$H$7+Title_RESULTS!$C$17),0,(SUM(B32:F32)))</f>
        <v>4787.6917250360775</v>
      </c>
      <c r="H32" s="5">
        <f>IF(A32&gt;=(Title_RESULTS!$H$7+Title_RESULTS!$C$17),0,(+'Sheet3(F_21)'!$J32+'Sheet4(F_22)'!$H32))</f>
        <v>9255.219015413984</v>
      </c>
      <c r="I32" s="5">
        <f>IF(A32&gt;=(Title_RESULTS!$H$7+Title_RESULTS!$C$17),0,(+'Sheet4(F_22)'!$D32+'Sheet4(F_22)'!$G32))</f>
        <v>582.9403099563349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9838.15932537032</v>
      </c>
      <c r="M32" s="23">
        <f>IF(A32&gt;=(Title_RESULTS!$H$7+Title_RESULTS!$C$17),0,(+L32-G32))</f>
        <v>5050.467600334242</v>
      </c>
      <c r="N32" s="24">
        <f>(IF(A31&gt;=(Title_RESULTS!$H$7+Title_RESULTS!$C$17),0,(+$M32/((1+Title_RESULTS!$C$37)^('Sheet9(F_25)'!$A32-Title_RESULTS!$H$7))+N31)))</f>
        <v>7999.775218972012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4835.568642286438</v>
      </c>
      <c r="F33">
        <f>IF(A33&gt;=(Title_RESULTS!$H$7+Title_RESULTS!$C$17),0,(+'f-11B'!$R32))</f>
        <v>0</v>
      </c>
      <c r="G33" s="5">
        <f>IF(A33&gt;=(Title_RESULTS!$H$7+Title_RESULTS!$C$17),0,(SUM(B33:F33)))</f>
        <v>4835.568642286438</v>
      </c>
      <c r="H33" s="5">
        <f>IF(A33&gt;=(Title_RESULTS!$H$7+Title_RESULTS!$C$17),0,(+'Sheet3(F_21)'!$J33+'Sheet4(F_22)'!$H33))</f>
        <v>9797.987056159956</v>
      </c>
      <c r="I33" s="5">
        <f>IF(A33&gt;=(Title_RESULTS!$H$7+Title_RESULTS!$C$17),0,(+'Sheet4(F_22)'!$D33+'Sheet4(F_22)'!$G33))</f>
        <v>596.9308773952869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10394.917933555244</v>
      </c>
      <c r="M33" s="23">
        <f>IF(A33&gt;=(Title_RESULTS!$H$7+Title_RESULTS!$C$17),0,(+L33-G33))</f>
        <v>5559.349291268805</v>
      </c>
      <c r="N33" s="24">
        <f>(IF(A32&gt;=(Title_RESULTS!$H$7+Title_RESULTS!$C$17),0,(+$M33/((1+Title_RESULTS!$C$37)^('Sheet9(F_25)'!$A33-Title_RESULTS!$H$7))+N32)))</f>
        <v>9737.503217774012</v>
      </c>
    </row>
    <row r="34" ht="12.75">
      <c r="E34" s="5"/>
    </row>
    <row r="35" spans="1:13" ht="12.75">
      <c r="A35" t="s">
        <v>87</v>
      </c>
      <c r="B35" s="5">
        <f aca="true" t="shared" si="1" ref="B35:M35">SUM(B16:B34)</f>
        <v>0</v>
      </c>
      <c r="C35" s="5">
        <f t="shared" si="1"/>
        <v>384.072</v>
      </c>
      <c r="D35" s="5">
        <f t="shared" si="1"/>
        <v>10929.18</v>
      </c>
      <c r="E35" s="5">
        <f t="shared" si="1"/>
        <v>73929.24149267514</v>
      </c>
      <c r="F35" s="5">
        <f t="shared" si="1"/>
        <v>0</v>
      </c>
      <c r="G35" s="5">
        <f t="shared" si="1"/>
        <v>85242.49349267513</v>
      </c>
      <c r="H35" s="5">
        <f t="shared" si="1"/>
        <v>110785.94524294254</v>
      </c>
      <c r="I35" s="5">
        <f t="shared" si="1"/>
        <v>8450.855745222972</v>
      </c>
      <c r="J35" s="5">
        <f t="shared" si="1"/>
        <v>0</v>
      </c>
      <c r="K35" s="9">
        <f t="shared" si="1"/>
        <v>0</v>
      </c>
      <c r="L35" s="5">
        <f t="shared" si="1"/>
        <v>119236.80098816552</v>
      </c>
      <c r="M35" s="5">
        <f t="shared" si="1"/>
        <v>33994.307495490386</v>
      </c>
    </row>
    <row r="37" spans="1:13" ht="12.75">
      <c r="A37" t="s">
        <v>118</v>
      </c>
      <c r="B37" s="5">
        <f>NPV(Title_RESULTS!$C$37,'Sheet9(F_25)'!B17:B34)+'Sheet9(F_25)'!B16</f>
        <v>0</v>
      </c>
      <c r="C37" s="5">
        <f>NPV(Title_RESULTS!$C$37,'Sheet9(F_25)'!C17:C34)+'Sheet9(F_25)'!C16</f>
        <v>358.8491576370552</v>
      </c>
      <c r="D37" s="5">
        <f>NPV(Title_RESULTS!$C$37,'Sheet9(F_25)'!D17:D34)+'Sheet9(F_25)'!D16</f>
        <v>10222.48219091532</v>
      </c>
      <c r="E37" s="5">
        <f>NPV(Title_RESULTS!$C$37,'Sheet9(F_25)'!E17:E34)+'Sheet9(F_25)'!E16</f>
        <v>40867.74358963841</v>
      </c>
      <c r="F37" s="5">
        <f>NPV(Title_RESULTS!$C$37,'Sheet9(F_25)'!F17:F34)+'Sheet9(F_25)'!F16</f>
        <v>0</v>
      </c>
      <c r="G37" s="5">
        <f>NPV(Title_RESULTS!$C$37,'Sheet9(F_25)'!G17:G34)+'Sheet9(F_25)'!G16</f>
        <v>51449.07493819078</v>
      </c>
      <c r="H37" s="5">
        <f>NPV(Title_RESULTS!$C$37,'Sheet9(F_25)'!H17:H34)+'Sheet9(F_25)'!H16</f>
        <v>56541.89070163711</v>
      </c>
      <c r="I37" s="5">
        <f>NPV(Title_RESULTS!$C$37,'Sheet9(F_25)'!I17:I34)+'Sheet9(F_25)'!I16</f>
        <v>4644.687454327701</v>
      </c>
      <c r="J37" s="5">
        <f>NPV(Title_RESULTS!$C$37,'Sheet9(F_25)'!J17:J34)+'Sheet9(F_25)'!J16</f>
        <v>0</v>
      </c>
      <c r="K37" s="9">
        <f>NPV(Title_RESULTS!$C$37,'Sheet9(F_25)'!K17:K34)+'Sheet9(F_25)'!K16</f>
        <v>0</v>
      </c>
      <c r="L37" s="5">
        <f>NPV(Title_RESULTS!$C$37,'Sheet9(F_25)'!L17:L34)+'Sheet9(F_25)'!L16</f>
        <v>61186.578155964795</v>
      </c>
      <c r="M37" s="5">
        <f>NPV(Title_RESULTS!$C$37,'Sheet9(F_25)'!M17:M34)+'Sheet9(F_25)'!M16</f>
        <v>9737.50321777401</v>
      </c>
    </row>
    <row r="39" spans="1:10" ht="12.75">
      <c r="A39" t="s">
        <v>175</v>
      </c>
      <c r="D39">
        <f>+Title_RESULTS!C37</f>
        <v>0.0708</v>
      </c>
      <c r="F39" t="s">
        <v>183</v>
      </c>
      <c r="J39" s="10">
        <f>+L37/G37</f>
        <v>1.1892648843438356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10261.26182036775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598.5690623999999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1275.3248256000002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59.15197358283639</v>
      </c>
      <c r="P24" s="48">
        <f aca="true" t="shared" si="4" ref="P24:P61">N24*$L$5</f>
        <v>126.03053704605674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60.57162094882446</v>
      </c>
      <c r="P25" s="48">
        <f t="shared" si="4"/>
        <v>129.0552699351621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1411.853809511372</v>
      </c>
      <c r="E26" s="11">
        <f>IF(B26=Title_RESULTS!$H$8,$F$16,+E25*(1+$F$7))</f>
        <v>0.09882230355451863</v>
      </c>
      <c r="F26" s="9">
        <f t="shared" si="1"/>
        <v>1014.0415304647742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82.35751370534692</v>
      </c>
      <c r="L26" s="5">
        <f t="shared" si="3"/>
        <v>175.4727873538711</v>
      </c>
      <c r="N26" s="11">
        <f>IF(+B26=Title_RESULTS!$H$9,'Value of Defferal'!$O$16,+'Value of Defferal'!N25*(1+'Value of Defferal'!$F$7))</f>
        <v>0.10362269577198292</v>
      </c>
      <c r="O26" s="5">
        <f t="shared" si="7"/>
        <v>62.02533985159625</v>
      </c>
      <c r="P26" s="48">
        <f t="shared" si="4"/>
        <v>132.152596413606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1370.1619301253747</v>
      </c>
      <c r="E27" s="11">
        <f>IF(B27=Title_RESULTS!$H$8,$F$16,+E26*(1+$F$7))</f>
        <v>0.10119403883982707</v>
      </c>
      <c r="F27" s="9">
        <f t="shared" si="1"/>
        <v>1038.3785271959287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79.92550586940652</v>
      </c>
      <c r="L27" s="5">
        <f t="shared" si="3"/>
        <v>170.2910962775023</v>
      </c>
      <c r="N27" s="11">
        <f>IF(+B27=Title_RESULTS!$H$9,'Value of Defferal'!$O$16,+'Value of Defferal'!N26*(1+'Value of Defferal'!$F$7))</f>
        <v>0.10610964047051051</v>
      </c>
      <c r="O27" s="5">
        <f t="shared" si="7"/>
        <v>63.51394800803456</v>
      </c>
      <c r="P27" s="48">
        <f t="shared" si="4"/>
        <v>135.32425872753254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1324.1343993458768</v>
      </c>
      <c r="E28" s="11">
        <f>IF(B28=Title_RESULTS!$H$8,$F$16,+E27*(1+$F$7))</f>
        <v>0.10362269577198292</v>
      </c>
      <c r="F28" s="9">
        <f t="shared" si="1"/>
        <v>1063.299611848631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77.2405869553812</v>
      </c>
      <c r="L28" s="5">
        <f t="shared" si="3"/>
        <v>164.57054711973234</v>
      </c>
      <c r="N28" s="11">
        <f>IF(+B28=Title_RESULTS!$H$9,'Value of Defferal'!$O$16,+'Value of Defferal'!N27*(1+'Value of Defferal'!$F$7))</f>
        <v>0.10865627184180277</v>
      </c>
      <c r="O28" s="5">
        <f t="shared" si="7"/>
        <v>65.03828276022739</v>
      </c>
      <c r="P28" s="48">
        <f t="shared" si="4"/>
        <v>138.57204093699332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1280.3113335706798</v>
      </c>
      <c r="E29" s="11">
        <f>IF(B29=Title_RESULTS!$H$8,$F$16,+E28*(1+$F$7))</f>
        <v>0.10610964047051051</v>
      </c>
      <c r="F29" s="9">
        <f t="shared" si="1"/>
        <v>1088.8188025329982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74.68426085711457</v>
      </c>
      <c r="L29" s="5">
        <f t="shared" si="3"/>
        <v>159.12398073292832</v>
      </c>
      <c r="N29" s="11">
        <f>IF(+B29=Title_RESULTS!$H$9,'Value of Defferal'!$O$16,+'Value of Defferal'!N28*(1+'Value of Defferal'!$F$7))</f>
        <v>0.11126402236600604</v>
      </c>
      <c r="O29" s="5">
        <f t="shared" si="7"/>
        <v>66.59920154647286</v>
      </c>
      <c r="P29" s="48">
        <f t="shared" si="4"/>
        <v>141.89776991948116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1238.471675644228</v>
      </c>
      <c r="E30" s="11">
        <f>IF(B30=Title_RESULTS!$H$8,$F$16,+E29*(1+$F$7))</f>
        <v>0.10865627184180277</v>
      </c>
      <c r="F30" s="9">
        <f t="shared" si="1"/>
        <v>1114.95045379379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72.24363267175212</v>
      </c>
      <c r="L30" s="5">
        <f t="shared" si="3"/>
        <v>153.92392294448925</v>
      </c>
      <c r="N30" s="11">
        <f>IF(+B30=Title_RESULTS!$H$9,'Value of Defferal'!$O$16,+'Value of Defferal'!N29*(1+'Value of Defferal'!$F$7))</f>
        <v>0.11393435890279018</v>
      </c>
      <c r="O30" s="5">
        <f t="shared" si="7"/>
        <v>68.1975823835882</v>
      </c>
      <c r="P30" s="48">
        <f t="shared" si="4"/>
        <v>145.3033163975487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1198.4187946159989</v>
      </c>
      <c r="E31" s="11">
        <f>IF(B31=Title_RESULTS!$H$8,$F$16,+E30*(1+$F$7))</f>
        <v>0.11126402236600604</v>
      </c>
      <c r="F31" s="9">
        <f t="shared" si="1"/>
        <v>1141.7092646848412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69.90723234758354</v>
      </c>
      <c r="L31" s="5">
        <f t="shared" si="3"/>
        <v>148.94593540199097</v>
      </c>
      <c r="N31" s="11">
        <f>IF(+B31=Title_RESULTS!$H$9,'Value of Defferal'!$O$16,+'Value of Defferal'!N30*(1+'Value of Defferal'!$F$7))</f>
        <v>0.11666878351645714</v>
      </c>
      <c r="O31" s="5">
        <f t="shared" si="7"/>
        <v>69.83432436079431</v>
      </c>
      <c r="P31" s="48">
        <f t="shared" si="4"/>
        <v>148.79059599108987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1159.6128713547457</v>
      </c>
      <c r="E32" s="11">
        <f>IF(B32=Title_RESULTS!$H$8,$F$16,+E31*(1+$F$7))</f>
        <v>0.11393435890279018</v>
      </c>
      <c r="F32" s="9">
        <f t="shared" si="1"/>
        <v>1169.1102870372772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67.64357067432336</v>
      </c>
      <c r="L32" s="5">
        <f t="shared" si="3"/>
        <v>144.12292647952387</v>
      </c>
      <c r="N32" s="11">
        <f>IF(+B32=Title_RESULTS!$H$9,'Value of Defferal'!$O$16,+'Value of Defferal'!N31*(1+'Value of Defferal'!$F$7))</f>
        <v>0.11946883432085212</v>
      </c>
      <c r="O32" s="5">
        <f t="shared" si="7"/>
        <v>71.51034814545338</v>
      </c>
      <c r="P32" s="48">
        <f t="shared" si="4"/>
        <v>152.36157029487603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1121.2063165457955</v>
      </c>
      <c r="E33" s="11">
        <f>IF(B33=Title_RESULTS!$H$8,$F$16,+E32*(1+$F$7))</f>
        <v>0.11666878351645714</v>
      </c>
      <c r="F33" s="9">
        <f t="shared" si="1"/>
        <v>1197.168933926172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65.40320531726987</v>
      </c>
      <c r="L33" s="5">
        <f t="shared" si="3"/>
        <v>139.34955321694923</v>
      </c>
      <c r="N33" s="11">
        <f>IF(+B33=Title_RESULTS!$H$9,'Value of Defferal'!$O$16,+'Value of Defferal'!N32*(1+'Value of Defferal'!$F$7))</f>
        <v>0.12233608634455258</v>
      </c>
      <c r="O33" s="5">
        <f t="shared" si="7"/>
        <v>73.22659650094427</v>
      </c>
      <c r="P33" s="48">
        <f t="shared" si="4"/>
        <v>156.01824798195307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1082.799761736845</v>
      </c>
      <c r="E34" s="11">
        <f>IF(B34=Title_RESULTS!$H$8,$F$16,+E33*(1+$F$7))</f>
        <v>0.11946883432085212</v>
      </c>
      <c r="F34" s="9">
        <f t="shared" si="1"/>
        <v>1225.9009883404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63.16283996021637</v>
      </c>
      <c r="L34" s="5">
        <f t="shared" si="3"/>
        <v>134.5761799543746</v>
      </c>
      <c r="N34" s="11">
        <f>IF(+B34=Title_RESULTS!$H$9,'Value of Defferal'!$O$16,+'Value of Defferal'!N33*(1+'Value of Defferal'!$F$7))</f>
        <v>0.12527215241682185</v>
      </c>
      <c r="O34" s="5">
        <f t="shared" si="7"/>
        <v>74.98403481696694</v>
      </c>
      <c r="P34" s="48">
        <f t="shared" si="4"/>
        <v>159.76268593351998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1044.3932069278949</v>
      </c>
      <c r="E35" s="11">
        <f>IF(B35=Title_RESULTS!$H$8,$F$16,+E34*(1+$F$7))</f>
        <v>0.12233608634455258</v>
      </c>
      <c r="F35" s="9">
        <f t="shared" si="1"/>
        <v>1255.3226120605698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60.92247460316287</v>
      </c>
      <c r="L35" s="5">
        <f t="shared" si="3"/>
        <v>129.80280669179996</v>
      </c>
      <c r="N35" s="11">
        <f>IF(+B35=Title_RESULTS!$H$9,'Value of Defferal'!$O$16,+'Value of Defferal'!N34*(1+'Value of Defferal'!$F$7))</f>
        <v>0.12827868407482557</v>
      </c>
      <c r="O35" s="5">
        <f t="shared" si="7"/>
        <v>76.78365165257414</v>
      </c>
      <c r="P35" s="48">
        <f t="shared" si="4"/>
        <v>163.59699039592442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1005.9866521189447</v>
      </c>
      <c r="E36" s="11">
        <f>IF(B36=Title_RESULTS!$H$8,$F$16,+E35*(1+$F$7))</f>
        <v>0.12527215241682185</v>
      </c>
      <c r="F36" s="9">
        <f t="shared" si="1"/>
        <v>1285.4503547500237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58.682109246109384</v>
      </c>
      <c r="L36" s="5">
        <f t="shared" si="3"/>
        <v>125.02943342922532</v>
      </c>
      <c r="N36" s="11">
        <f>IF(+B36=Title_RESULTS!$H$9,'Value of Defferal'!$O$16,+'Value of Defferal'!N35*(1+'Value of Defferal'!$F$7))</f>
        <v>0.1313573724926214</v>
      </c>
      <c r="O36" s="5">
        <f t="shared" si="7"/>
        <v>78.62645929223592</v>
      </c>
      <c r="P36" s="48">
        <f t="shared" si="4"/>
        <v>167.52331816542664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967.5800973099941</v>
      </c>
      <c r="E37" s="11">
        <f>IF(B37&gt;Title_RESULTS!$H$8-1+Title_RESULTS!$C$18,0,+E36*(1+$F$7))</f>
        <v>0.12827868407482557</v>
      </c>
      <c r="F37" s="9">
        <f t="shared" si="1"/>
        <v>1316.3011632640241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56.44174388905588</v>
      </c>
      <c r="L37" s="5">
        <f t="shared" si="3"/>
        <v>120.25606016665067</v>
      </c>
      <c r="N37" s="11">
        <f>IF(+B37=Title_RESULTS!$H$9,'Value of Defferal'!$O$16,+'Value of Defferal'!N36*(1+'Value of Defferal'!$F$7))</f>
        <v>0.1345099494324443</v>
      </c>
      <c r="O37" s="5">
        <f t="shared" si="7"/>
        <v>80.51349431524957</v>
      </c>
      <c r="P37" s="48">
        <f t="shared" si="4"/>
        <v>171.54387780139686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929.1735425010437</v>
      </c>
      <c r="E38" s="11">
        <f>IF(B38&gt;Title_RESULTS!$H$8-1+Title_RESULTS!$C$18,0,+E37*(1+$F$7))</f>
        <v>0.1313573724926214</v>
      </c>
      <c r="F38" s="9">
        <f t="shared" si="1"/>
        <v>1347.8923911823608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54.20137853200237</v>
      </c>
      <c r="L38" s="5">
        <f t="shared" si="3"/>
        <v>115.482686904076</v>
      </c>
      <c r="N38" s="11">
        <f>IF(+B38=Title_RESULTS!$H$9,'Value of Defferal'!$O$16,+'Value of Defferal'!N37*(1+'Value of Defferal'!$F$7))</f>
        <v>0.13773818821882297</v>
      </c>
      <c r="O38" s="5">
        <f t="shared" si="7"/>
        <v>82.44581817881557</v>
      </c>
      <c r="P38" s="48">
        <f t="shared" si="4"/>
        <v>175.6609308686304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890.7669876920933</v>
      </c>
      <c r="E39" s="11">
        <f>IF(B39&gt;Title_RESULTS!$H$8-1+Title_RESULTS!$C$18,0,+E38*(1+$F$7))</f>
        <v>0.1345099494324443</v>
      </c>
      <c r="F39" s="9">
        <f t="shared" si="1"/>
        <v>1380.2418085707372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51.961013174948874</v>
      </c>
      <c r="L39" s="5">
        <f t="shared" si="3"/>
        <v>110.70931364150135</v>
      </c>
      <c r="N39" s="11">
        <f>IF(+B39&gt;Title_RESULTS!$H$9+Title_RESULTS!$C$19-1,0,+'Value of Defferal'!N38*(1+'Value of Defferal'!$F$7))</f>
        <v>0.14104390473607473</v>
      </c>
      <c r="O39" s="5">
        <f t="shared" si="7"/>
        <v>84.42451781510715</v>
      </c>
      <c r="P39" s="48">
        <f t="shared" si="4"/>
        <v>179.87679320947754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852.3604328831433</v>
      </c>
      <c r="E40" s="11">
        <f>IF(B40&gt;Title_RESULTS!$H$8-1+Title_RESULTS!$C$18,0,+E39*(1+$F$7))</f>
        <v>0.13773818821882297</v>
      </c>
      <c r="F40" s="9">
        <f t="shared" si="1"/>
        <v>1413.3676119764352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49.72064781789539</v>
      </c>
      <c r="L40" s="5">
        <f t="shared" si="3"/>
        <v>105.93594037892674</v>
      </c>
      <c r="N40" s="11">
        <f>IF(+B40&gt;Title_RESULTS!$H$9+Title_RESULTS!$C$19-1,0,+'Value of Defferal'!N39*(1+'Value of Defferal'!$F$7))</f>
        <v>0.14442895844974052</v>
      </c>
      <c r="O40" s="5">
        <f t="shared" si="7"/>
        <v>86.45070624266972</v>
      </c>
      <c r="P40" s="48">
        <f t="shared" si="4"/>
        <v>184.193836246505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817.5604072474342</v>
      </c>
      <c r="E41" s="11">
        <f>IF(B41&gt;Title_RESULTS!$H$8-1+Title_RESULTS!$C$18,0,+E40*(1+$F$7))</f>
        <v>0.14104390473607473</v>
      </c>
      <c r="F41" s="9">
        <f t="shared" si="1"/>
        <v>1447.2884346638698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47.69066173227422</v>
      </c>
      <c r="L41" s="5">
        <f t="shared" si="3"/>
        <v>101.61080596547257</v>
      </c>
      <c r="N41" s="11">
        <f>IF(+B41&gt;Title_RESULTS!$H$9+Title_RESULTS!$C$19-1,0,+'Value of Defferal'!N40*(1+'Value of Defferal'!$F$7))</f>
        <v>0.1478952534525343</v>
      </c>
      <c r="O41" s="5">
        <f t="shared" si="7"/>
        <v>88.5255231924938</v>
      </c>
      <c r="P41" s="48">
        <f t="shared" si="4"/>
        <v>188.61448831642113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789.9722186479569</v>
      </c>
      <c r="E42" s="11">
        <f>IF(B42&gt;Title_RESULTS!$H$8-1+Title_RESULTS!$C$18,0,+E41*(1+$F$7))</f>
        <v>0.14442895844974052</v>
      </c>
      <c r="F42" s="9">
        <f t="shared" si="1"/>
        <v>1482.0233570958026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46.08136294696053</v>
      </c>
      <c r="L42" s="5">
        <f t="shared" si="3"/>
        <v>98.18199745925051</v>
      </c>
      <c r="N42" s="11">
        <f>IF(+B42&gt;Title_RESULTS!$H$9+Title_RESULTS!$C$19-1,0,+'Value of Defferal'!N41*(1+'Value of Defferal'!$F$7))</f>
        <v>0.1514447395353951</v>
      </c>
      <c r="O42" s="5">
        <f t="shared" si="7"/>
        <v>90.65013574911364</v>
      </c>
      <c r="P42" s="48">
        <f t="shared" si="4"/>
        <v>193.14123603601521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765.9893379114693</v>
      </c>
      <c r="E43" s="11">
        <f>IF(B43&gt;Title_RESULTS!$H$8-1+Title_RESULTS!$C$18,0,+E42*(1+$F$7))</f>
        <v>0.1478952534525343</v>
      </c>
      <c r="F43" s="9">
        <f t="shared" si="1"/>
        <v>1517.5919176661018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44.68237219052198</v>
      </c>
      <c r="L43" s="5">
        <f t="shared" si="3"/>
        <v>95.20127601114011</v>
      </c>
      <c r="N43" s="11">
        <f>IF(+B43&gt;Title_RESULTS!$H$9+Title_RESULTS!$C$19-1,0,+'Value of Defferal'!N42*(1+'Value of Defferal'!$F$7))</f>
        <v>0.1550794132842446</v>
      </c>
      <c r="O43" s="5">
        <f t="shared" si="7"/>
        <v>92.82573900709238</v>
      </c>
      <c r="P43" s="48">
        <f t="shared" si="4"/>
        <v>197.7766257008796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742.006457174982</v>
      </c>
      <c r="E44" s="11">
        <f>IF(B44&gt;Title_RESULTS!$H$8-1+Title_RESULTS!$C$18,0,+E43*(1+$F$7))</f>
        <v>0.1514447395353951</v>
      </c>
      <c r="F44" s="9">
        <f t="shared" si="1"/>
        <v>1554.0141236900884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43.28338143408343</v>
      </c>
      <c r="L44" s="5">
        <f t="shared" si="3"/>
        <v>92.22055456302972</v>
      </c>
      <c r="N44" s="11">
        <f>IF(+B44&gt;Title_RESULTS!$H$9+Title_RESULTS!$C$19-1,0,+'Value of Defferal'!N43*(1+'Value of Defferal'!$F$7))</f>
        <v>0.15880131920306648</v>
      </c>
      <c r="O44" s="5">
        <f t="shared" si="7"/>
        <v>95.0535567432626</v>
      </c>
      <c r="P44" s="48">
        <f t="shared" si="4"/>
        <v>202.5232647177007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718.0235764384942</v>
      </c>
      <c r="E45" s="11">
        <f>IF(B45&gt;Title_RESULTS!$H$8-1+Title_RESULTS!$C$18,0,+E44*(1+$F$7))</f>
        <v>0.1550794132842446</v>
      </c>
      <c r="F45" s="9">
        <f t="shared" si="1"/>
        <v>1591.3104626586505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41.88439067764486</v>
      </c>
      <c r="L45" s="5">
        <f t="shared" si="3"/>
        <v>89.23983311491929</v>
      </c>
      <c r="N45" s="11">
        <f>IF(+B45&gt;Title_RESULTS!$H$9+Title_RESULTS!$C$19-1,0,+'Value of Defferal'!N44*(1+'Value of Defferal'!$F$7))</f>
        <v>0.16261255086394008</v>
      </c>
      <c r="O45" s="5">
        <f t="shared" si="7"/>
        <v>97.3348421051009</v>
      </c>
      <c r="P45" s="48">
        <f t="shared" si="4"/>
        <v>207.38382307092553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694.0406957020067</v>
      </c>
      <c r="E46" s="11">
        <f>IF(B46&gt;Title_RESULTS!$H$8-1+Title_RESULTS!$C$18,0,+E45*(1+$F$7))</f>
        <v>0.15880131920306648</v>
      </c>
      <c r="F46" s="9">
        <f t="shared" si="1"/>
        <v>1629.5019137624581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40.4853999212063</v>
      </c>
      <c r="L46" s="5">
        <f t="shared" si="3"/>
        <v>86.25911166680889</v>
      </c>
      <c r="N46" s="11">
        <f>IF(+B46&gt;Title_RESULTS!$H$9+Title_RESULTS!$C$19-1,0,+'Value of Defferal'!N45*(1+'Value of Defferal'!$F$7))</f>
        <v>0.16651525208467466</v>
      </c>
      <c r="O46" s="5">
        <f t="shared" si="7"/>
        <v>99.67087831562334</v>
      </c>
      <c r="P46" s="48">
        <f t="shared" si="4"/>
        <v>212.36103482462778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670.0578149655192</v>
      </c>
      <c r="E47" s="11">
        <f>IF(B47&gt;Title_RESULTS!$H$8-1+Title_RESULTS!$C$18,0,+E46*(1+$F$7))</f>
        <v>0.16261255086394008</v>
      </c>
      <c r="F47" s="9">
        <f t="shared" si="1"/>
        <v>1668.6099596927572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39.08640916476776</v>
      </c>
      <c r="L47" s="5">
        <f t="shared" si="3"/>
        <v>83.2783902186985</v>
      </c>
      <c r="N47" s="11">
        <f>IF(+B47&gt;Title_RESULTS!$H$9+Title_RESULTS!$C$19-1,0,+'Value of Defferal'!N46*(1+'Value of Defferal'!$F$7))</f>
        <v>0.17051161813470686</v>
      </c>
      <c r="O47" s="5">
        <f t="shared" si="7"/>
        <v>102.0629793951983</v>
      </c>
      <c r="P47" s="48">
        <f t="shared" si="4"/>
        <v>217.45769966041885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646.0749342290318</v>
      </c>
      <c r="E48" s="11">
        <f>IF(B48&gt;Title_RESULTS!$H$8-1+Title_RESULTS!$C$18,0,+E47*(1+$F$7))</f>
        <v>0.16651525208467466</v>
      </c>
      <c r="F48" s="9">
        <f t="shared" si="1"/>
        <v>1708.6565987253834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37.6874184083292</v>
      </c>
      <c r="L48" s="5">
        <f t="shared" si="3"/>
        <v>80.2976687705881</v>
      </c>
      <c r="N48" s="11">
        <f>IF(+B48&gt;Title_RESULTS!$H$9+Title_RESULTS!$C$19-1,0,+'Value of Defferal'!N47*(1+'Value of Defferal'!$F$7))</f>
        <v>0.17460389696993983</v>
      </c>
      <c r="O48" s="5">
        <f t="shared" si="7"/>
        <v>104.51249090068306</v>
      </c>
      <c r="P48" s="48">
        <f t="shared" si="4"/>
        <v>222.67668445226892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622.0920534925441</v>
      </c>
      <c r="E49" s="11">
        <f>IF(B49&gt;Title_RESULTS!$H$8-1+Title_RESULTS!$C$18,0,+E48*(1+$F$7))</f>
        <v>0.17051161813470686</v>
      </c>
      <c r="F49" s="9">
        <f t="shared" si="1"/>
        <v>1749.6643570947929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36.28842765189063</v>
      </c>
      <c r="L49" s="5">
        <f t="shared" si="3"/>
        <v>77.31694732247767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598.1091727560565</v>
      </c>
      <c r="E50" s="11">
        <f>IF(B50&gt;Title_RESULTS!$H$8-1+Title_RESULTS!$C$18,0,+E49*(1+$F$7))</f>
        <v>0.17460389696993983</v>
      </c>
      <c r="F50" s="9">
        <f t="shared" si="1"/>
        <v>1791.656301665068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34.88943689545208</v>
      </c>
      <c r="L50" s="5">
        <f t="shared" si="3"/>
        <v>74.33622587436727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574.1262920195691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33.49044613901352</v>
      </c>
      <c r="L51" s="5">
        <f t="shared" si="3"/>
        <v>71.35550442625687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24515.28477246909</v>
      </c>
      <c r="F63" s="9">
        <f>SUM(F23:F61)</f>
        <v>34192.27176834393</v>
      </c>
      <c r="J63" t="s">
        <v>87</v>
      </c>
      <c r="K63" s="9">
        <f>SUM(K23:K61)</f>
        <v>1430.0474227837137</v>
      </c>
      <c r="O63" s="9">
        <f>SUM(O23:O61)</f>
        <v>1994.5340458109595</v>
      </c>
    </row>
    <row r="64" spans="3:15" ht="12.75">
      <c r="C64" t="s">
        <v>89</v>
      </c>
      <c r="D64" s="9">
        <f>NPV(+Title_RESULTS!$C$37,'Value of Defferal'!D24:D61)+'Value of Defferal'!D23</f>
        <v>10946.222916817342</v>
      </c>
      <c r="F64" s="9">
        <f>NPV(+Title_RESULTS!$C$37,'Value of Defferal'!F24:F61)+'Value of Defferal'!F23</f>
        <v>12714.244144232367</v>
      </c>
      <c r="J64" t="s">
        <v>89</v>
      </c>
      <c r="K64" s="9">
        <f>NPV(+Title_RESULTS!$C$37,'Value of Defferal'!K24:K61)+'Value of Defferal'!K23</f>
        <v>638.5248230520183</v>
      </c>
      <c r="O64" s="9">
        <f>NPV(+Title_RESULTS!$C$37,'Value of Defferal'!O24:O61)+'Value of Defferal'!O23</f>
        <v>850.3951388019427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5.600903200734353</v>
      </c>
      <c r="C25" t="s">
        <v>372</v>
      </c>
    </row>
    <row r="26" spans="2:3" ht="18">
      <c r="B26" s="15">
        <f>+((Input!$C$6*'EUE_Line Losses'!C4)+(Input!$C$7*'EUE_Line Losses'!C3))/'EUE_Line Losses'!C22</f>
        <v>5.582835771054565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4.92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5.04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35375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18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8274.54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3643.06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HVAC Equipment Upgrades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43599.32303530093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5.04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5.582835771054565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37315.40084388186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35375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18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8274.54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3643.06</v>
      </c>
      <c r="D39" s="13" t="s">
        <v>189</v>
      </c>
      <c r="G39" s="20" t="s">
        <v>346</v>
      </c>
      <c r="H39" s="79">
        <f>+'Sheet7(F_23)'!H39</f>
        <v>2.539827172247591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+'Sheet8(F_24)'!K37</f>
        <v>62475.51353917191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+'Sheet9(F_25)'!J39</f>
        <v>1.1892648843438356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2019-05-14T11:45:11Z</dcterms:created>
  <dcterms:modified xsi:type="dcterms:W3CDTF">2019-05-14T11:45:13Z</dcterms:modified>
  <cp:category/>
  <cp:version/>
  <cp:contentType/>
  <cp:contentStatus/>
</cp:coreProperties>
</file>