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<sst xmlns="http://schemas.openxmlformats.org/spreadsheetml/2006/main" count="1258" uniqueCount="468">
  <si>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</si>
  <si>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</si>
  <si>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</si>
  <si>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</si>
  <si>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</si>
  <si>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</si>
  <si>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</si>
  <si>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</si>
  <si>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</si>
  <si>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</si>
  <si>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</si>
  <si>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</si>
  <si>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</si>
  <si>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</si>
  <si>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</si>
  <si>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</si>
  <si>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</si>
  <si>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</si>
  <si>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</si>
  <si>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</si>
  <si>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</si>
  <si>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</si>
  <si>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</si>
  <si>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</si>
  <si>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</si>
  <si>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</si>
  <si>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</si>
  <si>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</si>
  <si>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</si>
  <si>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</si>
  <si>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</si>
  <si>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</si>
  <si>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</si>
  <si>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</si>
  <si>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</si>
  <si>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</si>
  <si>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</si>
  <si>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</si>
  <si>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</si>
  <si>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</si>
  <si>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</si>
  <si>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</si>
  <si>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</si>
  <si>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</si>
  <si>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</si>
  <si>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</si>
  <si>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</si>
  <si>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</si>
  <si>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</si>
  <si>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</si>
  <si>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</si>
  <si>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</si>
  <si>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</si>
  <si>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</si>
  <si>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</si>
  <si>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</si>
  <si>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</si>
  <si>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</si>
  <si>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</si>
  <si>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</si>
  <si>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</si>
  <si>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</si>
  <si>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</si>
  <si>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</si>
  <si>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</si>
  <si>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</si>
  <si>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</si>
  <si>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</si>
  <si>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</si>
  <si>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</si>
  <si>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</si>
  <si>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</si>
  <si>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</si>
  <si>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</si>
  <si>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</si>
  <si>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</si>
  <si>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</si>
  <si>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</si>
  <si>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</si>
  <si>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</si>
  <si>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</si>
  <si>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</si>
  <si>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</si>
  <si>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</si>
  <si>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</si>
  <si>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</si>
  <si>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</si>
  <si>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</si>
  <si>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</si>
  <si>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</si>
  <si>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</si>
  <si>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</si>
  <si>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</si>
  <si>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</si>
  <si>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</si>
  <si>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</si>
  <si>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</si>
  <si>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</si>
  <si>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</si>
  <si>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</si>
  <si>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</si>
  <si>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</si>
  <si>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</si>
  <si>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</si>
  <si>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</si>
  <si>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</si>
  <si>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</si>
  <si>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</si>
  <si>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</si>
  <si>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</si>
  <si>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</si>
  <si>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</si>
  <si>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</si>
  <si>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</si>
  <si>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</si>
  <si>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</si>
  <si>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</si>
  <si>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</si>
  <si>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</si>
  <si>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</si>
  <si>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</si>
  <si>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</si>
  <si>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</si>
  <si>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</si>
  <si>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</si>
  <si>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</si>
  <si>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</si>
  <si>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</si>
  <si>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</si>
  <si>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</si>
  <si>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</si>
  <si>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</si>
  <si>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</si>
  <si>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</si>
  <si>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</si>
  <si>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</si>
  <si>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</si>
  <si>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</si>
  <si>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</si>
  <si>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</si>
  <si>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</si>
  <si>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</si>
  <si>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</si>
  <si>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</si>
  <si>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</si>
  <si>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</si>
  <si>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</si>
  <si>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</si>
  <si>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</si>
  <si>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</si>
  <si>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</si>
  <si>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</si>
  <si>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</si>
  <si>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</si>
  <si>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</si>
  <si>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</si>
  <si>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</si>
  <si>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</si>
  <si>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</si>
  <si>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</si>
  <si>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</si>
  <si>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</si>
  <si>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</si>
  <si>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</si>
  <si>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</si>
  <si>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</si>
  <si>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</si>
  <si>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</si>
  <si>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</si>
  <si>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</si>
  <si>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</si>
  <si>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</si>
  <si>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</si>
  <si>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</si>
  <si>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</si>
  <si>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</si>
  <si>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</si>
  <si>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</si>
  <si>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</si>
  <si>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</si>
  <si>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</si>
  <si>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</si>
  <si>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</si>
  <si>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</si>
  <si>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</si>
  <si>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</si>
  <si>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</si>
  <si>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</si>
  <si>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</si>
  <si>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</si>
  <si>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</si>
  <si>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</si>
  <si>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</si>
  <si>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</si>
  <si>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</si>
  <si>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</si>
  <si>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</si>
  <si>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</si>
  <si>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</si>
  <si>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</si>
  <si>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</si>
  <si>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</si>
  <si>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</si>
  <si>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</si>
  <si>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</si>
  <si>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</si>
  <si>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</si>
  <si>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</si>
  <si>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</si>
  <si>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</si>
  <si>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</si>
  <si>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</si>
  <si>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</si>
  <si>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</si>
  <si>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</si>
  <si>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</si>
  <si>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</si>
  <si>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</si>
  <si>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</si>
  <si>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</si>
  <si>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</si>
  <si>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</si>
  <si>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</si>
  <si>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</si>
  <si>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</si>
  <si>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</si>
  <si>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</si>
  <si>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</si>
  <si>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</si>
  <si>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</si>
  <si>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</si>
  <si>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</si>
  <si>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</si>
  <si>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</si>
  <si>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</si>
  <si>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</si>
  <si>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</si>
  <si>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</si>
  <si>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</si>
  <si>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</si>
  <si>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</si>
  <si>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</si>
  <si>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</si>
  <si>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</si>
  <si>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</si>
  <si>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</si>
  <si>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</si>
  <si>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</si>
  <si>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</si>
  <si>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</si>
  <si>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</si>
  <si>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</si>
  <si>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</si>
  <si>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</si>
  <si>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</si>
  <si>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</si>
  <si>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</si>
  <si>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</si>
  <si>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</si>
  <si>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</si>
  <si>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</si>
  <si>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</si>
  <si>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</si>
  <si>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</si>
  <si>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</si>
  <si>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</si>
  <si>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</si>
  <si>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</si>
  <si>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</si>
  <si>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</si>
  <si>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</si>
  <si>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</si>
  <si>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</si>
  <si>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</si>
  <si>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</si>
  <si>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</si>
  <si>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</si>
  <si>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</si>
  <si>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</si>
  <si>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</si>
  <si>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</si>
  <si>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</si>
  <si>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</si>
  <si>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</si>
  <si>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</si>
  <si>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</si>
  <si>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</si>
  <si>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</si>
  <si>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</si>
  <si>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</si>
  <si>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</si>
  <si>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</si>
  <si>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</si>
  <si>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</si>
  <si>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</si>
  <si>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</si>
  <si>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</si>
  <si>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</si>
  <si>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</si>
  <si>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</si>
  <si>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</si>
  <si>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</si>
  <si>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</si>
  <si>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</si>
  <si>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</si>
  <si>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</si>
  <si>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</si>
  <si>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</si>
  <si>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</si>
  <si>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</si>
  <si>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</si>
  <si>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</si>
  <si>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</si>
  <si>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</si>
  <si>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</si>
  <si>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</si>
  <si>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</si>
  <si>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</si>
  <si>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</si>
  <si>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</si>
  <si>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</si>
  <si>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</si>
  <si>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</si>
  <si>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</si>
  <si>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</si>
  <si>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</si>
  <si>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</si>
  <si>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</si>
  <si>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</si>
  <si>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</si>
  <si>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</si>
  <si>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</si>
  <si>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</si>
  <si>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</si>
  <si>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</si>
  <si>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</si>
  <si>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</si>
  <si>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</si>
  <si>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</si>
  <si>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</si>
  <si>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</si>
  <si>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</si>
  <si>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</si>
  <si>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</si>
  <si>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</si>
  <si>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</si>
  <si>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</si>
  <si>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</si>
  <si>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</si>
  <si>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</si>
  <si>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</si>
  <si>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</si>
  <si>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</si>
  <si>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</si>
  <si>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</si>
  <si>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</si>
  <si>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</si>
  <si>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</si>
  <si>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</si>
  <si>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</si>
  <si>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</si>
  <si>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</si>
  <si>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</si>
  <si>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</si>
  <si>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</si>
  <si>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</si>
  <si>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</si>
  <si>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</si>
  <si>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</si>
  <si>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</si>
  <si>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</si>
  <si>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</si>
  <si>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</si>
  <si>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</si>
  <si>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</si>
  <si>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</si>
  <si>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</si>
  <si>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</si>
  <si>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</si>
  <si>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</si>
  <si>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</si>
  <si>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</si>
  <si>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</si>
  <si>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</si>
  <si>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</si>
  <si>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</si>
  <si>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</si>
  <si>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</si>
  <si>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</si>
  <si>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</si>
  <si>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</si>
  <si>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</si>
  <si>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</si>
  <si>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</si>
  <si>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</si>
  <si>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</si>
  <si>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</si>
  <si>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</si>
  <si>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</si>
  <si>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</si>
  <si>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</si>
  <si>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</si>
  <si>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</si>
  <si>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</si>
  <si>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</si>
  <si>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</si>
  <si>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</si>
  <si>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</si>
  <si>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</si>
  <si>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</si>
  <si>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</si>
  <si>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</si>
  <si>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</si>
  <si>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</si>
  <si>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</si>
  <si>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</si>
  <si>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</si>
  <si>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</si>
  <si>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</si>
  <si>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</si>
  <si>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</si>
  <si>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</si>
  <si>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</si>
  <si>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</si>
  <si>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</si>
  <si>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</si>
  <si>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</si>
  <si>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</si>
  <si>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</si>
  <si>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</si>
  <si>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</si>
  <si>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</si>
  <si>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</si>
  <si>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</si>
  <si>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</si>
  <si>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</si>
  <si>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</si>
  <si>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</si>
  <si>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</si>
  <si>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</si>
  <si>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</si>
  <si>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</si>
  <si>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</si>
  <si>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</si>
  <si>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</si>
  <si>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</si>
  <si>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</si>
  <si>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</si>
  <si>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</si>
  <si>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</si>
  <si>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</si>
  <si>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</si>
  <si>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</si>
  <si>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</si>
  <si>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</si>
  <si>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</si>
  <si>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</si>
  <si>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</si>
  <si>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</si>
  <si>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</si>
  <si>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</si>
  <si>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</si>
  <si>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</si>
  <si>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</si>
  <si>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</si>
  <si>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</si>
  <si>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</si>
  <si>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HVAC Improved Controls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</si>
</sst>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43599.32309733796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12227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43599.32309733796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HVAC Improved Controls</v>
      </c>
      <c r="J2" t="s">
        <v>55</v>
      </c>
    </row>
    <row r="3" ht="12.75">
      <c r="J3" s="35">
        <f>+Title_RESULTS!I4</f>
        <v>43599.32309733796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12227</v>
      </c>
      <c r="H5" t="s">
        <v>59</v>
      </c>
    </row>
    <row r="6" spans="3:7" ht="12.75">
      <c r="C6" t="s">
        <v>61</v>
      </c>
      <c r="G6" s="36">
        <f>+'Value of Defferal'!E3</f>
        <v>7490.8620381895325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740.2642422229861</v>
      </c>
      <c r="D19" s="5">
        <f>IF((Title_RESULTS!$H$8-Title_RESULTS!$H$7)&lt;=('Sheet3(F_21)'!A19-Title_RESULTS!$H$7),((Title_RESULTS!$C$8*Partcipation!$C$26*8760*Title_RESULTS!$H$21/100000)),0)</f>
        <v>9747.230908835905</v>
      </c>
      <c r="E19" s="5">
        <f>IF($G19=0,0,((Title_RESULTS!$H$14*((1+Title_RESULTS!$H$15/100)^($A19-Title_RESULTS!$H$7))*'EUE_Line Losses'!$B$25*Partcipation!$C$26))/1000)</f>
        <v>76.79048226510861</v>
      </c>
      <c r="F19" s="5">
        <f>IF($G19=0,0,(Title_RESULTS!$H$19/100*((1+Title_RESULTS!$H$20/100)^($A19-Title_RESULTS!$H$7))*$D19*1000)/1000)</f>
        <v>21.97861993950555</v>
      </c>
      <c r="G19" s="5">
        <f>(+Title_RESULTS!$H$22/100*((1+Title_RESULTS!$H$23/100)^(+'Sheet4(F_22)'!A19-Title_RESULTS!$H$7)))*'Sheet3(F_21)'!D19</f>
        <v>417.5995379756705</v>
      </c>
      <c r="H19" s="5">
        <f>IF($G19=0,0,(($D19))*(Partcipation!$G19/100))</f>
        <v>309.2433358976475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947.389546505623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758.0305840363377</v>
      </c>
      <c r="D20" s="5">
        <f>IF((Title_RESULTS!$H$8-Title_RESULTS!$H$7)&lt;=('Sheet3(F_21)'!A20-Title_RESULTS!$H$7),((Title_RESULTS!$C$8*Partcipation!$C$26*8760*Title_RESULTS!$H$21/100000)),0)</f>
        <v>9747.230908835905</v>
      </c>
      <c r="E20" s="5">
        <f>IF($G20=0,0,((Title_RESULTS!$H$14*((1+Title_RESULTS!$H$15/100)^($A20-Title_RESULTS!$H$7))*'EUE_Line Losses'!$B$25*Partcipation!$C$26))/1000)</f>
        <v>78.6334538394712</v>
      </c>
      <c r="F20" s="5">
        <f>IF($G20=0,0,(Title_RESULTS!$H$19/100*((1+Title_RESULTS!$H$20/100)^($A20-Title_RESULTS!$H$7))*$D20*1000)/1000)</f>
        <v>22.50610681805368</v>
      </c>
      <c r="G20" s="5">
        <f>(+Title_RESULTS!$H$22/100*((1+Title_RESULTS!$H$23/100)^(+'Sheet4(F_22)'!A20-Title_RESULTS!$H$7)))*'Sheet3(F_21)'!D20</f>
        <v>436.558556999766</v>
      </c>
      <c r="H20" s="5">
        <f>IF($G20=0,0,(($D20))*(Partcipation!$G20/100))</f>
        <v>323.077151826193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972.6515498674356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776.2233180532098</v>
      </c>
      <c r="D21" s="5">
        <f>IF((Title_RESULTS!$H$8-Title_RESULTS!$H$7)&lt;=('Sheet3(F_21)'!A21-Title_RESULTS!$H$7),((Title_RESULTS!$C$8*Partcipation!$C$26*8760*Title_RESULTS!$H$21/100000)),0)</f>
        <v>9747.230908835905</v>
      </c>
      <c r="E21" s="5">
        <f>IF($G21=0,0,((Title_RESULTS!$H$14*((1+Title_RESULTS!$H$15/100)^($A21-Title_RESULTS!$H$7))*'EUE_Line Losses'!$B$25*Partcipation!$C$26))/1000)</f>
        <v>80.52065673161853</v>
      </c>
      <c r="F21" s="5">
        <f>IF($G21=0,0,(Title_RESULTS!$H$19/100*((1+Title_RESULTS!$H$20/100)^($A21-Title_RESULTS!$H$7))*$D21*1000)/1000)</f>
        <v>23.04625338168697</v>
      </c>
      <c r="G21" s="5">
        <f>(+Title_RESULTS!$H$22/100*((1+Title_RESULTS!$H$23/100)^(+'Sheet4(F_22)'!A21-Title_RESULTS!$H$7)))*'Sheet3(F_21)'!D21</f>
        <v>456.3783154875554</v>
      </c>
      <c r="H21" s="5">
        <f>IF($G21=0,0,(($D21))*(Partcipation!$G21/100))</f>
        <v>335.88015442489564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1000.2883892291752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794.8526776864869</v>
      </c>
      <c r="D22" s="5">
        <f>IF((Title_RESULTS!$H$8-Title_RESULTS!$H$7)&lt;=('Sheet3(F_21)'!A22-Title_RESULTS!$H$7),((Title_RESULTS!$C$8*Partcipation!$C$26*8760*Title_RESULTS!$H$21/100000)),0)</f>
        <v>9747.230908835905</v>
      </c>
      <c r="E22" s="5">
        <f>IF($G22=0,0,((Title_RESULTS!$H$14*((1+Title_RESULTS!$H$15/100)^($A22-Title_RESULTS!$H$7))*'EUE_Line Losses'!$B$25*Partcipation!$C$26))/1000)</f>
        <v>82.45315249317734</v>
      </c>
      <c r="F22" s="5">
        <f>IF($G22=0,0,(Title_RESULTS!$H$19/100*((1+Title_RESULTS!$H$20/100)^($A22-Title_RESULTS!$H$7))*$D22*1000)/1000)</f>
        <v>23.599363462847457</v>
      </c>
      <c r="G22" s="5">
        <f>(+Title_RESULTS!$H$22/100*((1+Title_RESULTS!$H$23/100)^(+'Sheet4(F_22)'!A22-Title_RESULTS!$H$7)))*'Sheet3(F_21)'!D22</f>
        <v>477.0978910106905</v>
      </c>
      <c r="H22" s="5">
        <f>IF($G22=0,0,(($D22))*(Partcipation!$G22/100))</f>
        <v>346.76279148323005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1031.2402931699721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813.9291419509626</v>
      </c>
      <c r="D23" s="5">
        <f>IF((Title_RESULTS!$H$8-Title_RESULTS!$H$7)&lt;=('Sheet3(F_21)'!A23-Title_RESULTS!$H$7),((Title_RESULTS!$C$8*Partcipation!$C$26*8760*Title_RESULTS!$H$21/100000)),0)</f>
        <v>9747.230908835905</v>
      </c>
      <c r="E23" s="5">
        <f>IF($G23=0,0,((Title_RESULTS!$H$14*((1+Title_RESULTS!$H$15/100)^($A23-Title_RESULTS!$H$7))*'EUE_Line Losses'!$B$25*Partcipation!$C$26))/1000)</f>
        <v>84.43202815301363</v>
      </c>
      <c r="F23" s="5">
        <f>IF($G23=0,0,(Title_RESULTS!$H$19/100*((1+Title_RESULTS!$H$20/100)^($A23-Title_RESULTS!$H$7))*$D23*1000)/1000)</f>
        <v>24.165748185955795</v>
      </c>
      <c r="G23" s="5">
        <f>(+Title_RESULTS!$H$22/100*((1+Title_RESULTS!$H$23/100)^(+'Sheet4(F_22)'!A23-Title_RESULTS!$H$7)))*'Sheet3(F_21)'!D23</f>
        <v>498.7581352625759</v>
      </c>
      <c r="H23" s="5">
        <f>IF($G23=0,0,(($D23))*(Partcipation!$G23/100))</f>
        <v>362.2837792186468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1059.0012743338611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833.4634413577857</v>
      </c>
      <c r="D24" s="5">
        <f>IF((Title_RESULTS!$H$8-Title_RESULTS!$H$7)&lt;=('Sheet3(F_21)'!A24-Title_RESULTS!$H$7),((Title_RESULTS!$C$8*Partcipation!$C$26*8760*Title_RESULTS!$H$21/100000)),0)</f>
        <v>9747.230908835905</v>
      </c>
      <c r="E24" s="5">
        <f>IF($G24=0,0,((Title_RESULTS!$H$14*((1+Title_RESULTS!$H$15/100)^($A24-Title_RESULTS!$H$7))*'EUE_Line Losses'!$B$25*Partcipation!$C$26))/1000)</f>
        <v>86.45839682868593</v>
      </c>
      <c r="F24" s="5">
        <f>IF($G24=0,0,(Title_RESULTS!$H$19/100*((1+Title_RESULTS!$H$20/100)^($A24-Title_RESULTS!$H$7))*$D24*1000)/1000)</f>
        <v>24.745726142418732</v>
      </c>
      <c r="G24" s="5">
        <f>(+Title_RESULTS!$H$22/100*((1+Title_RESULTS!$H$23/100)^(+'Sheet4(F_22)'!A24-Title_RESULTS!$H$7)))*'Sheet3(F_21)'!D24</f>
        <v>521.4017546034969</v>
      </c>
      <c r="H24" s="5">
        <f>IF($G24=0,0,(($D24))*(Partcipation!$G24/100))</f>
        <v>389.91313068399324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1076.1561882483938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853.4665639503726</v>
      </c>
      <c r="D25" s="5">
        <f>IF((Title_RESULTS!$H$8-Title_RESULTS!$H$7)&lt;=('Sheet3(F_21)'!A25-Title_RESULTS!$H$7),((Title_RESULTS!$C$8*Partcipation!$C$26*8760*Title_RESULTS!$H$21/100000)),0)</f>
        <v>9747.230908835905</v>
      </c>
      <c r="E25" s="5">
        <f>IF($G25=0,0,((Title_RESULTS!$H$14*((1+Title_RESULTS!$H$15/100)^($A25-Title_RESULTS!$H$7))*'EUE_Line Losses'!$B$25*Partcipation!$C$26))/1000)</f>
        <v>88.5333983525744</v>
      </c>
      <c r="F25" s="5">
        <f>IF($G25=0,0,(Title_RESULTS!$H$19/100*((1+Title_RESULTS!$H$20/100)^($A25-Title_RESULTS!$H$7))*$D25*1000)/1000)</f>
        <v>25.339623569836778</v>
      </c>
      <c r="G25" s="5">
        <f>(+Title_RESULTS!$H$22/100*((1+Title_RESULTS!$H$23/100)^(+'Sheet4(F_22)'!A25-Title_RESULTS!$H$7)))*'Sheet3(F_21)'!D25</f>
        <v>545.0733942624958</v>
      </c>
      <c r="H25" s="5">
        <f>IF($G25=0,0,(($D25))*(Partcipation!$G25/100))</f>
        <v>407.0247232510013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1105.3882568842782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873.9497614851815</v>
      </c>
      <c r="D26" s="5">
        <f>IF((Title_RESULTS!$H$8-Title_RESULTS!$H$7)&lt;=('Sheet3(F_21)'!A26-Title_RESULTS!$H$7),((Title_RESULTS!$C$8*Partcipation!$C$26*8760*Title_RESULTS!$H$21/100000)),0)</f>
        <v>9747.230908835905</v>
      </c>
      <c r="E26" s="5">
        <f>IF($G26=0,0,((Title_RESULTS!$H$14*((1+Title_RESULTS!$H$15/100)^($A26-Title_RESULTS!$H$7))*'EUE_Line Losses'!$B$25*Partcipation!$C$26))/1000)</f>
        <v>90.65819991303619</v>
      </c>
      <c r="F26" s="5">
        <f>IF($G26=0,0,(Title_RESULTS!$H$19/100*((1+Title_RESULTS!$H$20/100)^($A26-Title_RESULTS!$H$7))*$D26*1000)/1000)</f>
        <v>25.947774535512863</v>
      </c>
      <c r="G26" s="5">
        <f>(+Title_RESULTS!$H$22/100*((1+Title_RESULTS!$H$23/100)^(+'Sheet4(F_22)'!A26-Title_RESULTS!$H$7)))*'Sheet3(F_21)'!D26</f>
        <v>569.8197263620131</v>
      </c>
      <c r="H26" s="5">
        <f>IF($G26=0,0,(($D26))*(Partcipation!$G26/100))</f>
        <v>437.28819451931025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1123.0872677764335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894.9245557608259</v>
      </c>
      <c r="D27" s="5">
        <f>IF((Title_RESULTS!$H$8-Title_RESULTS!$H$7)&lt;=('Sheet3(F_21)'!A27-Title_RESULTS!$H$7),((Title_RESULTS!$C$8*Partcipation!$C$26*8760*Title_RESULTS!$H$21/100000)),0)</f>
        <v>9747.230908835905</v>
      </c>
      <c r="E27" s="5">
        <f>IF($G27=0,0,((Title_RESULTS!$H$14*((1+Title_RESULTS!$H$15/100)^($A27-Title_RESULTS!$H$7))*'EUE_Line Losses'!$B$25*Partcipation!$C$26))/1000)</f>
        <v>92.83399671094907</v>
      </c>
      <c r="F27" s="5">
        <f>IF($G27=0,0,(Title_RESULTS!$H$19/100*((1+Title_RESULTS!$H$20/100)^($A27-Title_RESULTS!$H$7))*$D27*1000)/1000)</f>
        <v>26.570521124365175</v>
      </c>
      <c r="G27" s="5">
        <f>(+Title_RESULTS!$H$22/100*((1+Title_RESULTS!$H$23/100)^(+'Sheet4(F_22)'!A27-Title_RESULTS!$H$7)))*'Sheet3(F_21)'!D27</f>
        <v>595.6895419388485</v>
      </c>
      <c r="H27" s="5">
        <f>IF($G27=0,0,(($D27))*(Partcipation!$G27/100))</f>
        <v>448.1622648396446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1161.856350695344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916.4027450990858</v>
      </c>
      <c r="D28" s="5">
        <f>IF((Title_RESULTS!$H$8-Title_RESULTS!$H$7)&lt;=('Sheet3(F_21)'!A28-Title_RESULTS!$H$7),((Title_RESULTS!$C$8*Partcipation!$C$26*8760*Title_RESULTS!$H$21/100000)),0)</f>
        <v>9747.230908835905</v>
      </c>
      <c r="E28" s="5">
        <f>IF($G28=0,0,((Title_RESULTS!$H$14*((1+Title_RESULTS!$H$15/100)^($A28-Title_RESULTS!$H$7))*'EUE_Line Losses'!$B$25*Partcipation!$C$26))/1000)</f>
        <v>95.06201263201183</v>
      </c>
      <c r="F28" s="5">
        <f>IF($G28=0,0,(Title_RESULTS!$H$19/100*((1+Title_RESULTS!$H$20/100)^($A28-Title_RESULTS!$H$7))*$D28*1000)/1000)</f>
        <v>27.20821363134994</v>
      </c>
      <c r="G28" s="5">
        <f>(+Title_RESULTS!$H$22/100*((1+Title_RESULTS!$H$23/100)^(+'Sheet4(F_22)'!A28-Title_RESULTS!$H$7)))*'Sheet3(F_21)'!D28</f>
        <v>622.7338471428723</v>
      </c>
      <c r="H28" s="5">
        <f>IF($G28=0,0,(($D28))*(Partcipation!$G28/100))</f>
        <v>475.0564426843021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1186.350375821018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938.3964109814639</v>
      </c>
      <c r="D29" s="5">
        <f>IF((Title_RESULTS!$H$8-Title_RESULTS!$H$7)&lt;=('Sheet3(F_21)'!A29-Title_RESULTS!$H$7),((Title_RESULTS!$C$8*Partcipation!$C$26*8760*Title_RESULTS!$H$21/100000)),0)</f>
        <v>9747.230908835905</v>
      </c>
      <c r="E29" s="5">
        <f>IF($G29=0,0,((Title_RESULTS!$H$14*((1+Title_RESULTS!$H$15/100)^($A29-Title_RESULTS!$H$7))*'EUE_Line Losses'!$B$25*Partcipation!$C$26))/1000)</f>
        <v>97.34350093518012</v>
      </c>
      <c r="F29" s="5">
        <f>IF($G29=0,0,(Title_RESULTS!$H$19/100*((1+Title_RESULTS!$H$20/100)^($A29-Title_RESULTS!$H$7))*$D29*1000)/1000)</f>
        <v>27.861210758502338</v>
      </c>
      <c r="G29" s="5">
        <f>(+Title_RESULTS!$H$22/100*((1+Title_RESULTS!$H$23/100)^(+'Sheet4(F_22)'!A29-Title_RESULTS!$H$7)))*'Sheet3(F_21)'!D29</f>
        <v>651.0059638031587</v>
      </c>
      <c r="H29" s="5">
        <f>IF($G29=0,0,(($D29))*(Partcipation!$G29/100))</f>
        <v>485.8912729461118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1228.7158135321934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960.917924845019</v>
      </c>
      <c r="D30" s="5">
        <f>IF((Title_RESULTS!$H$8-Title_RESULTS!$H$7)&lt;=('Sheet3(F_21)'!A30-Title_RESULTS!$H$7),((Title_RESULTS!$C$8*Partcipation!$C$26*8760*Title_RESULTS!$H$21/100000)),0)</f>
        <v>9747.230908835905</v>
      </c>
      <c r="E30" s="5">
        <f>IF($G30=0,0,((Title_RESULTS!$H$14*((1+Title_RESULTS!$H$15/100)^($A30-Title_RESULTS!$H$7))*'EUE_Line Losses'!$B$25*Partcipation!$C$26))/1000)</f>
        <v>99.67974495762442</v>
      </c>
      <c r="F30" s="5">
        <f>IF($G30=0,0,(Title_RESULTS!$H$19/100*((1+Title_RESULTS!$H$20/100)^($A30-Title_RESULTS!$H$7))*$D30*1000)/1000)</f>
        <v>28.52987981670639</v>
      </c>
      <c r="G30" s="5">
        <f>(+Title_RESULTS!$H$22/100*((1+Title_RESULTS!$H$23/100)^(+'Sheet4(F_22)'!A30-Title_RESULTS!$H$7)))*'Sheet3(F_21)'!D30</f>
        <v>680.5616345598222</v>
      </c>
      <c r="H30" s="5">
        <f>IF($G30=0,0,(($D30))*(Partcipation!$G30/100))</f>
        <v>517.2444267661377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1252.4447574130345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10154.821367429717</v>
      </c>
      <c r="D32" s="9">
        <f t="shared" si="1"/>
        <v>116966.77090603086</v>
      </c>
      <c r="E32" s="9">
        <f t="shared" si="1"/>
        <v>1053.3990238124513</v>
      </c>
      <c r="F32" s="9">
        <f t="shared" si="1"/>
        <v>301.4990413667417</v>
      </c>
      <c r="G32" s="9">
        <f t="shared" si="1"/>
        <v>6472.678299408965</v>
      </c>
      <c r="H32" s="9">
        <f t="shared" si="1"/>
        <v>4837.827668541114</v>
      </c>
      <c r="I32" s="9">
        <f t="shared" si="1"/>
        <v>0</v>
      </c>
      <c r="J32" s="9">
        <f t="shared" si="1"/>
        <v>13144.57006347676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5726.012025799208</v>
      </c>
      <c r="D34" s="5"/>
      <c r="E34" s="5">
        <f>NPV(Title_RESULTS!$C$37,E17:E31)+'Sheet3(F_21)'!E16</f>
        <v>593.9814458638717</v>
      </c>
      <c r="F34" s="5">
        <f>NPV(Title_RESULTS!$C$37,F17:F31)+'Sheet3(F_21)'!F16</f>
        <v>170.0066474994883</v>
      </c>
      <c r="G34" s="5">
        <f>NPV(Title_RESULTS!$C$37,G17:G31)+'Sheet3(F_21)'!G16</f>
        <v>3588.923184895633</v>
      </c>
      <c r="H34" s="5">
        <f>NPV(Title_RESULTS!$C$37,H17:H31)+'Sheet3(F_21)'!H16</f>
        <v>2675.195636302594</v>
      </c>
      <c r="I34" s="5">
        <f>NPV(Title_RESULTS!$C$37,I17:I31)+'Sheet3(F_21)'!I16</f>
        <v>0</v>
      </c>
      <c r="J34" s="5">
        <f>NPV(Title_RESULTS!$C$37,J17:J31)+'Sheet3(F_21)'!J16</f>
        <v>7403.7276677556065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HVAC Improved Controls</v>
      </c>
      <c r="F2" t="s">
        <v>55</v>
      </c>
    </row>
    <row r="3" spans="6:7" ht="12.75">
      <c r="F3" s="35">
        <f>+Title_RESULTS!I4</f>
        <v>43599.32309733796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13620.253164556963</v>
      </c>
      <c r="C16" s="5">
        <f>$B16*'Sheet2(F_12)'!$E16/100</f>
        <v>395.0839942972647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395.0839942972647</v>
      </c>
      <c r="G16" s="5">
        <f>+$F16*'Sheet2(F_12)'!$I16</f>
        <v>395.0839942972647</v>
      </c>
    </row>
    <row r="17" spans="1:7" ht="12.75">
      <c r="A17">
        <f>+A16+1</f>
        <v>2021</v>
      </c>
      <c r="B17" s="5">
        <f>(+Partcipation!$C16+(Partcipation!$C17-Partcipation!$C16)/2)*Title_RESULTS!$C$10/1000</f>
        <v>40860.759493670885</v>
      </c>
      <c r="C17" s="5">
        <f>$B17*'Sheet2(F_12)'!$E17/100</f>
        <v>1175.611317264898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1175.611317264898</v>
      </c>
      <c r="G17" s="5">
        <f>+$F17*'Sheet2(F_12)'!$I17</f>
        <v>1175.611317264898</v>
      </c>
    </row>
    <row r="18" spans="1:7" ht="12.75">
      <c r="A18">
        <f>+A17+1</f>
        <v>2022</v>
      </c>
      <c r="B18" s="5">
        <f>(+Partcipation!$C17+(Partcipation!$C18-Partcipation!$C17)/2)*Title_RESULTS!$C$10/1000</f>
        <v>68101.26582278482</v>
      </c>
      <c r="C18" s="5">
        <f>$B18*'Sheet2(F_12)'!$E18/100</f>
        <v>2022.1826098684085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2022.1826098684085</v>
      </c>
      <c r="G18" s="5">
        <f>+$F18*'Sheet2(F_12)'!$I18</f>
        <v>2022.1826098684085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81721.51898734177</v>
      </c>
      <c r="C19" s="5">
        <f>$B19*'Sheet2(F_12)'!$E19/100</f>
        <v>2526.1682561701637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2526.1682561701637</v>
      </c>
      <c r="G19" s="5">
        <f>+$F19*'Sheet2(F_12)'!$I19</f>
        <v>2526.1682561701637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81721.51898734177</v>
      </c>
      <c r="C20" s="5">
        <f>$B20*'Sheet2(F_12)'!$E20/100</f>
        <v>2625.437146941505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2625.437146941505</v>
      </c>
      <c r="G20" s="5">
        <f>+$F20*'Sheet2(F_12)'!$I20</f>
        <v>2625.437146941505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81721.51898734177</v>
      </c>
      <c r="C21" s="5">
        <f>$B21*'Sheet2(F_12)'!$E21/100</f>
        <v>2818.9290676839487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2818.9290676839487</v>
      </c>
      <c r="G21" s="5">
        <f>+$F21*'Sheet2(F_12)'!$I21</f>
        <v>2818.9290676839487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81721.51898734177</v>
      </c>
      <c r="C22" s="5">
        <f>$B22*'Sheet2(F_12)'!$E22/100</f>
        <v>2909.34515923935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2909.34515923935</v>
      </c>
      <c r="G22" s="5">
        <f>+$F22*'Sheet2(F_12)'!$I22</f>
        <v>2909.34515923935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81721.51898734177</v>
      </c>
      <c r="C23" s="5">
        <f>$B23*'Sheet2(F_12)'!$E23/100</f>
        <v>3091.166210045662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3091.166210045662</v>
      </c>
      <c r="G23" s="5">
        <f>+$F23*'Sheet2(F_12)'!$I23</f>
        <v>3091.166210045662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81721.51898734177</v>
      </c>
      <c r="C24" s="5">
        <f>$B24*'Sheet2(F_12)'!$E24/100</f>
        <v>3425.3696248645406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3425.3696248645406</v>
      </c>
      <c r="G24" s="5">
        <f>+$F24*'Sheet2(F_12)'!$I24</f>
        <v>3425.3696248645406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81721.51898734177</v>
      </c>
      <c r="C25" s="5">
        <f>$B25*'Sheet2(F_12)'!$E25/100</f>
        <v>3669.8186232009703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3669.8186232009703</v>
      </c>
      <c r="G25" s="5">
        <f>+$F25*'Sheet2(F_12)'!$I25</f>
        <v>3669.8186232009703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81721.51898734177</v>
      </c>
      <c r="C26" s="5">
        <f>$B26*'Sheet2(F_12)'!$E26/100</f>
        <v>4098.984093405007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4098.984093405007</v>
      </c>
      <c r="G26" s="5">
        <f>+$F26*'Sheet2(F_12)'!$I26</f>
        <v>4098.984093405007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81721.51898734177</v>
      </c>
      <c r="C27" s="5">
        <f>$B27*'Sheet2(F_12)'!$E27/100</f>
        <v>4083.740604589331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4083.740604589331</v>
      </c>
      <c r="G27" s="5">
        <f>+$F27*'Sheet2(F_12)'!$I27</f>
        <v>4083.740604589331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81721.51898734177</v>
      </c>
      <c r="C28" s="5">
        <f>$B28*'Sheet2(F_12)'!$E28/100</f>
        <v>4463.1510456295655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4463.1510456295655</v>
      </c>
      <c r="G28" s="5">
        <f>+$F28*'Sheet2(F_12)'!$I28</f>
        <v>4463.1510456295655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81721.51898734177</v>
      </c>
      <c r="C29" s="5">
        <f>$B29*'Sheet2(F_12)'!$E29/100</f>
        <v>4759.54460435813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4759.54460435813</v>
      </c>
      <c r="G29" s="5">
        <f>+$F29*'Sheet2(F_12)'!$I29</f>
        <v>4759.54460435813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81721.51898734177</v>
      </c>
      <c r="C30" s="5">
        <f>$B30*'Sheet2(F_12)'!$E30/100</f>
        <v>4981.159805791572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4981.159805791572</v>
      </c>
      <c r="G30" s="5">
        <f>+$F30*'Sheet2(F_12)'!$I30</f>
        <v>4981.159805791572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1103240.5063291139</v>
      </c>
      <c r="C32" s="5">
        <f t="shared" si="2"/>
        <v>47045.692163350315</v>
      </c>
      <c r="D32" s="5">
        <f t="shared" si="2"/>
        <v>0</v>
      </c>
      <c r="E32" s="5">
        <f t="shared" si="2"/>
        <v>0</v>
      </c>
      <c r="F32" s="5">
        <f t="shared" si="2"/>
        <v>47045.692163350315</v>
      </c>
      <c r="G32" s="5">
        <f t="shared" si="2"/>
        <v>47045.692163350315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26946.861778436214</v>
      </c>
      <c r="D34" s="5"/>
      <c r="E34" s="5">
        <f>NPV(+Title_RESULTS!$C$37,E17:E31)+E16</f>
        <v>0</v>
      </c>
      <c r="F34" s="5">
        <f>NPV(+Title_RESULTS!$C$37,F17:F31)+F16</f>
        <v>26946.861778436214</v>
      </c>
      <c r="G34" s="5">
        <f>NPV(+Title_RESULTS!$C$37,G17:G31)+G16</f>
        <v>26946.861778436214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HVAC Improved Controls</v>
      </c>
      <c r="J2" t="s">
        <v>42</v>
      </c>
    </row>
    <row r="3" spans="9:10" ht="12.75">
      <c r="I3" s="4"/>
      <c r="J3" s="35">
        <f>+Title_RESULTS!I4</f>
        <v>43599.32309733796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HVAC Improved Controls</v>
      </c>
      <c r="H2" t="s">
        <v>108</v>
      </c>
    </row>
    <row r="3" ht="12.75">
      <c r="H3" s="35">
        <f>+Title_RESULTS!I4</f>
        <v>43599.32309733796</v>
      </c>
    </row>
    <row r="5" spans="3:6" ht="12.75">
      <c r="C5" t="s">
        <v>60</v>
      </c>
      <c r="F5" s="38">
        <f>+'Value of Defferal'!L4</f>
        <v>436.96363519999994</v>
      </c>
    </row>
    <row r="6" spans="3:6" ht="12.75">
      <c r="C6" t="s">
        <v>62</v>
      </c>
      <c r="F6" s="38">
        <f>+'Value of Defferal'!L5</f>
        <v>931.1895552000002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395.0839942972647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43.181753000020336</v>
      </c>
      <c r="C17" s="5">
        <f>IF(+Title_RESULTS!$H$9&lt;='Sheet4(F_22)'!$A17,(+Title_RESULTS!$H$16*((1+Title_RESULTS!$H$18/100)^('Sheet4(F_22)'!$A17-Title_RESULTS!$H$7))*Title_RESULTS!$C$8*Partcipation!$C$26/1000),0)</f>
        <v>34.808115275228744</v>
      </c>
      <c r="D17" s="5">
        <f>(+B17+C17)*+Partcipation!$H17</f>
        <v>77.98986827524908</v>
      </c>
      <c r="E17" s="5">
        <f>VLOOKUP(A17,'Value of Defferal'!$I24:$P$58,'Value of Defferal'!$K$13)</f>
        <v>92.0222968907716</v>
      </c>
      <c r="F17" s="5">
        <f>IF(+'Value of Defferal'!P24=0,0,Title_RESULTS!$H$17*Title_RESULTS!$C$7*Partcipation!$C$26*(1+Title_RESULTS!$H$18/100)^('Sheet4(F_22)'!A17-Title_RESULTS!$H$7))/1000</f>
        <v>128.19824640000002</v>
      </c>
      <c r="G17" s="5">
        <f>(+E17+F17)*Partcipation!$H17</f>
        <v>220.22054329077162</v>
      </c>
      <c r="H17" s="5">
        <f>+'Sheet5(p_5)'!$F17*'Sheet2(F_12)'!$I17</f>
        <v>1175.611317264898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44.21811507202082</v>
      </c>
      <c r="C18" s="5">
        <f>IF(+Title_RESULTS!$H$9&lt;='Sheet4(F_22)'!$A18,(+Title_RESULTS!$H$16*((1+Title_RESULTS!$H$18/100)^('Sheet4(F_22)'!$A18-Title_RESULTS!$H$7))*Title_RESULTS!$C$8*Partcipation!$C$26/1000),0)</f>
        <v>35.64351004183423</v>
      </c>
      <c r="D18" s="5">
        <f>(+B18+C18)*+Partcipation!$H18</f>
        <v>79.86162511385506</v>
      </c>
      <c r="E18" s="5">
        <f>VLOOKUP(A18,'Value of Defferal'!$I25:$P$58,'Value of Defferal'!$K$13)</f>
        <v>94.23083201615012</v>
      </c>
      <c r="F18" s="5">
        <f>IF(+'Value of Defferal'!P25=0,0,Title_RESULTS!$H$17*Title_RESULTS!$C$7*Partcipation!$C$26*(1+Title_RESULTS!$H$18/100)^('Sheet4(F_22)'!A18-Title_RESULTS!$H$7))/1000</f>
        <v>131.2750043136</v>
      </c>
      <c r="G18" s="5">
        <f>(+E18+F18)*Partcipation!$H18</f>
        <v>225.5058363297501</v>
      </c>
      <c r="H18" s="5">
        <f>+'Sheet5(p_5)'!$F18*'Sheet2(F_12)'!$I18</f>
        <v>2022.1826098684085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45.27934983374932</v>
      </c>
      <c r="C19" s="5">
        <f>IF(+Title_RESULTS!$H$9&lt;='Sheet4(F_22)'!$A19,(+Title_RESULTS!$H$16*((1+Title_RESULTS!$H$18/100)^('Sheet4(F_22)'!$A19-Title_RESULTS!$H$7))*Title_RESULTS!$C$8*Partcipation!$C$26/1000),0)</f>
        <v>36.49895428283826</v>
      </c>
      <c r="D19" s="5">
        <f>(+B19+C19)*+Partcipation!$H19</f>
        <v>81.77830411658758</v>
      </c>
      <c r="E19" s="5">
        <f>VLOOKUP(A19,'Value of Defferal'!$I26:$P$58,'Value of Defferal'!$K$13)</f>
        <v>96.49237198453771</v>
      </c>
      <c r="F19" s="5">
        <f>IF(+'Value of Defferal'!P26=0,0,Title_RESULTS!$H$17*Title_RESULTS!$C$7*Partcipation!$C$26*(1+Title_RESULTS!$H$18/100)^('Sheet4(F_22)'!A19-Title_RESULTS!$H$7))/1000</f>
        <v>134.4256044171264</v>
      </c>
      <c r="G19" s="5">
        <f>(+E19+F19)*Partcipation!$H19</f>
        <v>230.91797640166413</v>
      </c>
      <c r="H19" s="5">
        <f>+'Sheet5(p_5)'!$F19*'Sheet2(F_12)'!$I19</f>
        <v>2526.1682561701637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46.36605422975931</v>
      </c>
      <c r="C20" s="5">
        <f>IF(+Title_RESULTS!$H$9&lt;='Sheet4(F_22)'!$A20,(+Title_RESULTS!$H$16*((1+Title_RESULTS!$H$18/100)^('Sheet4(F_22)'!$A20-Title_RESULTS!$H$7))*Title_RESULTS!$C$8*Partcipation!$C$26/1000),0)</f>
        <v>37.37492918562638</v>
      </c>
      <c r="D20" s="5">
        <f>(+B20+C20)*+Partcipation!$H20</f>
        <v>83.74098341538568</v>
      </c>
      <c r="E20" s="5">
        <f>VLOOKUP(A20,'Value of Defferal'!$I27:$P$58,'Value of Defferal'!$K$13)</f>
        <v>98.80818891216663</v>
      </c>
      <c r="F20" s="5">
        <f>IF(+'Value of Defferal'!P27=0,0,Title_RESULTS!$H$17*Title_RESULTS!$C$7*Partcipation!$C$26*(1+Title_RESULTS!$H$18/100)^('Sheet4(F_22)'!A20-Title_RESULTS!$H$7))/1000</f>
        <v>137.65181892313745</v>
      </c>
      <c r="G20" s="5">
        <f>(+E20+F20)*Partcipation!$H20</f>
        <v>236.46000783530408</v>
      </c>
      <c r="H20" s="5">
        <f>+'Sheet5(p_5)'!$F20*'Sheet2(F_12)'!$I20</f>
        <v>2625.437146941505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47.47883953127353</v>
      </c>
      <c r="C21" s="5">
        <f>IF(+Title_RESULTS!$H$9&lt;='Sheet4(F_22)'!$A21,(+Title_RESULTS!$H$16*((1+Title_RESULTS!$H$18/100)^('Sheet4(F_22)'!$A21-Title_RESULTS!$H$7))*Title_RESULTS!$C$8*Partcipation!$C$26/1000),0)</f>
        <v>38.27192748608141</v>
      </c>
      <c r="D21" s="5">
        <f>(+B21+C21)*+Partcipation!$H21</f>
        <v>85.75076701735495</v>
      </c>
      <c r="E21" s="5">
        <f>VLOOKUP(A21,'Value of Defferal'!$I28:$P$58,'Value of Defferal'!$K$13)</f>
        <v>101.17958544605862</v>
      </c>
      <c r="F21" s="5">
        <f>IF(+'Value of Defferal'!P28=0,0,Title_RESULTS!$H$17*Title_RESULTS!$C$7*Partcipation!$C$26*(1+Title_RESULTS!$H$18/100)^('Sheet4(F_22)'!A21-Title_RESULTS!$H$7))/1000</f>
        <v>140.95546257729276</v>
      </c>
      <c r="G21" s="5">
        <f>(+E21+F21)*Partcipation!$H21</f>
        <v>242.13504802335137</v>
      </c>
      <c r="H21" s="5">
        <f>+'Sheet5(p_5)'!$F21*'Sheet2(F_12)'!$I21</f>
        <v>2818.9290676839487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48.6183316800241</v>
      </c>
      <c r="C22" s="5">
        <f>IF(+Title_RESULTS!$H$9&lt;='Sheet4(F_22)'!$A22,(+Title_RESULTS!$H$16*((1+Title_RESULTS!$H$18/100)^('Sheet4(F_22)'!$A22-Title_RESULTS!$H$7))*Title_RESULTS!$C$8*Partcipation!$C$26/1000),0)</f>
        <v>39.190453745747355</v>
      </c>
      <c r="D22" s="5">
        <f>(+B22+C22)*+Partcipation!$H22</f>
        <v>87.80878542577145</v>
      </c>
      <c r="E22" s="5">
        <f>VLOOKUP(A22,'Value of Defferal'!$I29:$P$58,'Value of Defferal'!$K$13)</f>
        <v>103.60789549676403</v>
      </c>
      <c r="F22" s="5">
        <f>IF(+'Value of Defferal'!P29=0,0,Title_RESULTS!$H$17*Title_RESULTS!$C$7*Partcipation!$C$26*(1+Title_RESULTS!$H$18/100)^('Sheet4(F_22)'!A22-Title_RESULTS!$H$7))/1000</f>
        <v>144.33839367914777</v>
      </c>
      <c r="G22" s="5">
        <f>(+E22+F22)*Partcipation!$H22</f>
        <v>247.9462891759118</v>
      </c>
      <c r="H22" s="5">
        <f>+'Sheet5(p_5)'!$F22*'Sheet2(F_12)'!$I22</f>
        <v>2909.34515923935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49.78517164034467</v>
      </c>
      <c r="C23" s="5">
        <f>IF(+Title_RESULTS!$H$9&lt;='Sheet4(F_22)'!$A23,(+Title_RESULTS!$H$16*((1+Title_RESULTS!$H$18/100)^('Sheet4(F_22)'!$A23-Title_RESULTS!$H$7))*Title_RESULTS!$C$8*Partcipation!$C$26/1000),0)</f>
        <v>40.131024635645296</v>
      </c>
      <c r="D23" s="5">
        <f>(+B23+C23)*+Partcipation!$H23</f>
        <v>89.91619627598996</v>
      </c>
      <c r="E23" s="5">
        <f>VLOOKUP(A23,'Value of Defferal'!$I30:$P$58,'Value of Defferal'!$K$13)</f>
        <v>106.09448498868636</v>
      </c>
      <c r="F23" s="5">
        <f>IF(+'Value of Defferal'!P30=0,0,Title_RESULTS!$H$17*Title_RESULTS!$C$7*Partcipation!$C$26*(1+Title_RESULTS!$H$18/100)^('Sheet4(F_22)'!A23-Title_RESULTS!$H$7))/1000</f>
        <v>147.80251512744732</v>
      </c>
      <c r="G23" s="5">
        <f>(+E23+F23)*Partcipation!$H23</f>
        <v>253.89700011613368</v>
      </c>
      <c r="H23" s="5">
        <f>+'Sheet5(p_5)'!$F23*'Sheet2(F_12)'!$I23</f>
        <v>3091.166210045662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50.98001575971294</v>
      </c>
      <c r="C24" s="5">
        <f>IF(+Title_RESULTS!$H$9&lt;='Sheet4(F_22)'!$A24,(+Title_RESULTS!$H$16*((1+Title_RESULTS!$H$18/100)^('Sheet4(F_22)'!$A24-Title_RESULTS!$H$7))*Title_RESULTS!$C$8*Partcipation!$C$26/1000),0)</f>
        <v>41.09416922690078</v>
      </c>
      <c r="D24" s="5">
        <f>(+B24+C24)*+Partcipation!$H24</f>
        <v>92.07418498661372</v>
      </c>
      <c r="E24" s="5">
        <f>VLOOKUP(A24,'Value of Defferal'!$I31:$P$58,'Value of Defferal'!$K$13)</f>
        <v>108.64075262841484</v>
      </c>
      <c r="F24" s="5">
        <f>IF(+'Value of Defferal'!P31=0,0,Title_RESULTS!$H$17*Title_RESULTS!$C$7*Partcipation!$C$26*(1+Title_RESULTS!$H$18/100)^('Sheet4(F_22)'!A24-Title_RESULTS!$H$7))/1000</f>
        <v>151.34977549050603</v>
      </c>
      <c r="G24" s="5">
        <f>(+E24+F24)*Partcipation!$H24</f>
        <v>259.9905281189209</v>
      </c>
      <c r="H24" s="5">
        <f>+'Sheet5(p_5)'!$F24*'Sheet2(F_12)'!$I24</f>
        <v>3425.3696248645406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52.20353613794606</v>
      </c>
      <c r="C25" s="5">
        <f>IF(+Title_RESULTS!$H$9&lt;='Sheet4(F_22)'!$A25,(+Title_RESULTS!$H$16*((1+Title_RESULTS!$H$18/100)^('Sheet4(F_22)'!$A25-Title_RESULTS!$H$7))*Title_RESULTS!$C$8*Partcipation!$C$26/1000),0)</f>
        <v>42.0804292883464</v>
      </c>
      <c r="D25" s="5">
        <f>(+B25+C25)*+Partcipation!$H25</f>
        <v>94.28396542629247</v>
      </c>
      <c r="E25" s="5">
        <f>VLOOKUP(A25,'Value of Defferal'!$I32:$P$58,'Value of Defferal'!$K$13)</f>
        <v>111.2481306914968</v>
      </c>
      <c r="F25" s="5">
        <f>IF(+'Value of Defferal'!P32=0,0,Title_RESULTS!$H$17*Title_RESULTS!$C$7*Partcipation!$C$26*(1+Title_RESULTS!$H$18/100)^('Sheet4(F_22)'!A25-Title_RESULTS!$H$7))/1000</f>
        <v>154.9821701022782</v>
      </c>
      <c r="G25" s="5">
        <f>(+E25+F25)*Partcipation!$H25</f>
        <v>266.230300793775</v>
      </c>
      <c r="H25" s="5">
        <f>+'Sheet5(p_5)'!$F25*'Sheet2(F_12)'!$I25</f>
        <v>3669.8186232009703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53.456421005256765</v>
      </c>
      <c r="C26" s="5">
        <f>IF(+Title_RESULTS!$H$9&lt;='Sheet4(F_22)'!$A26,(+Title_RESULTS!$H$16*((1+Title_RESULTS!$H$18/100)^('Sheet4(F_22)'!$A26-Title_RESULTS!$H$7))*Title_RESULTS!$C$8*Partcipation!$C$26/1000),0)</f>
        <v>43.090359591266726</v>
      </c>
      <c r="D26" s="5">
        <f>(+B26+C26)*+Partcipation!$H26</f>
        <v>96.54678059652349</v>
      </c>
      <c r="E26" s="5">
        <f>VLOOKUP(A26,'Value of Defferal'!$I33:$P$58,'Value of Defferal'!$K$13)</f>
        <v>113.91808582809273</v>
      </c>
      <c r="F26" s="5">
        <f>IF(+'Value of Defferal'!P33=0,0,Title_RESULTS!$H$17*Title_RESULTS!$C$7*Partcipation!$C$26*(1+Title_RESULTS!$H$18/100)^('Sheet4(F_22)'!A26-Title_RESULTS!$H$7))/1000</f>
        <v>158.70174218473286</v>
      </c>
      <c r="G26" s="5">
        <f>(+E26+F26)*Partcipation!$H26</f>
        <v>272.61982801282556</v>
      </c>
      <c r="H26" s="5">
        <f>+'Sheet5(p_5)'!$F26*'Sheet2(F_12)'!$I26</f>
        <v>4098.984093405007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54.739375109382934</v>
      </c>
      <c r="C27" s="5">
        <f>IF(+Title_RESULTS!$H$9&lt;='Sheet4(F_22)'!$A27,(+Title_RESULTS!$H$16*((1+Title_RESULTS!$H$18/100)^('Sheet4(F_22)'!$A27-Title_RESULTS!$H$7))*Title_RESULTS!$C$8*Partcipation!$C$26/1000),0)</f>
        <v>44.124528221457126</v>
      </c>
      <c r="D27" s="5">
        <f>(+B27+C27)*+Partcipation!$H27</f>
        <v>98.86390333084006</v>
      </c>
      <c r="E27" s="5">
        <f>VLOOKUP(A27,'Value of Defferal'!$I34:$P$58,'Value of Defferal'!$K$13)</f>
        <v>116.65211988796698</v>
      </c>
      <c r="F27" s="5">
        <f>IF(+'Value of Defferal'!P34=0,0,Title_RESULTS!$H$17*Title_RESULTS!$C$7*Partcipation!$C$26*(1+Title_RESULTS!$H$18/100)^('Sheet4(F_22)'!A27-Title_RESULTS!$H$7))/1000</f>
        <v>162.51058399716646</v>
      </c>
      <c r="G27" s="5">
        <f>(+E27+F27)*Partcipation!$H27</f>
        <v>279.16270388513345</v>
      </c>
      <c r="H27" s="5">
        <f>+'Sheet5(p_5)'!$F27*'Sheet2(F_12)'!$I27</f>
        <v>4083.740604589331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56.05312011200812</v>
      </c>
      <c r="C28" s="5">
        <f>IF(+Title_RESULTS!$H$9&lt;='Sheet4(F_22)'!$A28,(+Title_RESULTS!$H$16*((1+Title_RESULTS!$H$18/100)^('Sheet4(F_22)'!$A28-Title_RESULTS!$H$7))*Title_RESULTS!$C$8*Partcipation!$C$26/1000),0)</f>
        <v>45.18351689877209</v>
      </c>
      <c r="D28" s="5">
        <f>(+B28+C28)*+Partcipation!$H28</f>
        <v>101.23663701078021</v>
      </c>
      <c r="E28" s="5">
        <f>VLOOKUP(A28,'Value of Defferal'!$I35:$P$58,'Value of Defferal'!$K$13)</f>
        <v>119.45177076527817</v>
      </c>
      <c r="F28" s="5">
        <f>IF(+'Value of Defferal'!P35=0,0,Title_RESULTS!$H$17*Title_RESULTS!$C$7*Partcipation!$C$26*(1+Title_RESULTS!$H$18/100)^('Sheet4(F_22)'!A28-Title_RESULTS!$H$7))/1000</f>
        <v>166.41083801309844</v>
      </c>
      <c r="G28" s="5">
        <f>(+E28+F28)*Partcipation!$H28</f>
        <v>285.8626087783766</v>
      </c>
      <c r="H28" s="5">
        <f>+'Sheet5(p_5)'!$F28*'Sheet2(F_12)'!$I28</f>
        <v>4463.1510456295655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57.39839499469632</v>
      </c>
      <c r="C29" s="5">
        <f>IF(+Title_RESULTS!$H$9&lt;='Sheet4(F_22)'!$A29,(+Title_RESULTS!$H$16*((1+Title_RESULTS!$H$18/100)^('Sheet4(F_22)'!$A29-Title_RESULTS!$H$7))*Title_RESULTS!$C$8*Partcipation!$C$26/1000),0)</f>
        <v>46.26792130434262</v>
      </c>
      <c r="D29" s="5">
        <f>(+B29+C29)*+Partcipation!$H29</f>
        <v>103.66631629903894</v>
      </c>
      <c r="E29" s="5">
        <f>VLOOKUP(A29,'Value of Defferal'!$I36:$P$58,'Value of Defferal'!$K$13)</f>
        <v>122.31861326364485</v>
      </c>
      <c r="F29" s="5">
        <f>IF(+'Value of Defferal'!P36=0,0,Title_RESULTS!$H$17*Title_RESULTS!$C$7*Partcipation!$C$26*(1+Title_RESULTS!$H$18/100)^('Sheet4(F_22)'!A29-Title_RESULTS!$H$7))/1000</f>
        <v>170.4046981254128</v>
      </c>
      <c r="G29" s="5">
        <f>(+E29+F29)*Partcipation!$H29</f>
        <v>292.72331138905764</v>
      </c>
      <c r="H29" s="5">
        <f>+'Sheet5(p_5)'!$F29*'Sheet2(F_12)'!$I29</f>
        <v>4759.54460435813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58.77595647456903</v>
      </c>
      <c r="C30" s="5">
        <f>IF(+Title_RESULTS!$H$9&lt;='Sheet4(F_22)'!$A30,(+Title_RESULTS!$H$16*((1+Title_RESULTS!$H$18/100)^('Sheet4(F_22)'!$A30-Title_RESULTS!$H$7))*Title_RESULTS!$C$8*Partcipation!$C$26/1000),0)</f>
        <v>47.37835141564684</v>
      </c>
      <c r="D30" s="5">
        <f>(+B30+C30)*+Partcipation!$H30</f>
        <v>106.15430789021588</v>
      </c>
      <c r="E30" s="5">
        <f>VLOOKUP(A30,'Value of Defferal'!$I37:$P$58,'Value of Defferal'!$K$13)</f>
        <v>125.25425998197233</v>
      </c>
      <c r="F30" s="5">
        <f>IF(+'Value of Defferal'!P37=0,0,Title_RESULTS!$H$17*Title_RESULTS!$C$7*Partcipation!$C$26*(1+Title_RESULTS!$H$18/100)^('Sheet4(F_22)'!A30-Title_RESULTS!$H$7))/1000</f>
        <v>174.49441088042272</v>
      </c>
      <c r="G30" s="5">
        <f>(+E30+F30)*Partcipation!$H30</f>
        <v>299.74867086239504</v>
      </c>
      <c r="H30" s="5">
        <f>+'Sheet5(p_5)'!$F30*'Sheet2(F_12)'!$I30</f>
        <v>4981.159805791572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708.5344345807644</v>
      </c>
      <c r="C32" s="5">
        <f t="shared" si="1"/>
        <v>571.1381905997343</v>
      </c>
      <c r="D32" s="5">
        <f t="shared" si="1"/>
        <v>1279.6726251804987</v>
      </c>
      <c r="E32" s="5">
        <f t="shared" si="1"/>
        <v>1509.9193887820018</v>
      </c>
      <c r="F32" s="5">
        <f t="shared" si="1"/>
        <v>2103.5012642313695</v>
      </c>
      <c r="G32" s="5">
        <f t="shared" si="1"/>
        <v>3613.4206530133706</v>
      </c>
      <c r="H32" s="5">
        <f t="shared" si="1"/>
        <v>47045.692163350315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429.13069155604575</v>
      </c>
      <c r="C34" s="5">
        <f>NPV(Title_RESULTS!$C$37,'Sheet4(F_22)'!C17:C31)+'Sheet4(F_22)'!C16</f>
        <v>345.91533557737773</v>
      </c>
      <c r="D34" s="5">
        <f>NPV(Title_RESULTS!$C$37,'Sheet4(F_22)'!D17:D31)+'Sheet4(F_22)'!D16</f>
        <v>775.0460271334234</v>
      </c>
      <c r="E34" s="5">
        <f>NPV(Title_RESULTS!$C$37,'Sheet4(F_22)'!E17:E31)+'Sheet4(F_22)'!E16</f>
        <v>914.497192906781</v>
      </c>
      <c r="F34" s="5">
        <f>NPV(Title_RESULTS!$C$37,'Sheet4(F_22)'!F17:F31)+'Sheet4(F_22)'!F16</f>
        <v>1274.0057619679878</v>
      </c>
      <c r="G34" s="5">
        <f>NPV(Title_RESULTS!$C$37,'Sheet4(F_22)'!G17:G31)+'Sheet4(F_22)'!G16</f>
        <v>2188.5029548747684</v>
      </c>
      <c r="H34" s="5">
        <f>NPV(Title_RESULTS!$C$37,'Sheet4(F_22)'!H17:H31)+'Sheet4(F_22)'!H16</f>
        <v>26946.861778436214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HVAC Improved Controls</v>
      </c>
      <c r="P2" t="s">
        <v>121</v>
      </c>
    </row>
    <row r="3" ht="12.75">
      <c r="P3" s="35">
        <f>+Title_RESULTS!I4</f>
        <v>43599.32309733796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131.3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131.3</v>
      </c>
      <c r="H16" s="5">
        <f>IF(Partcipation!$B17&lt;Partcipation!$B16,0,IF(Partcipation!$B16=0,0,(Partcipation!$B16-Partcipation!$B15)*(+Title_RESULTS!$C$29*(1+Title_RESULTS!$C$30/100)^(+'Sheet8(F_24)'!$A16-Title_RESULTS!$H$7))/1000))</f>
        <v>3511.9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3511.9</v>
      </c>
      <c r="K16" s="5">
        <f>(+Partcipation!$B15+(Partcipation!$B16-Partcipation!$B15)/2)*(+Title_RESULTS!$C$14)/1000</f>
        <v>12912</v>
      </c>
      <c r="L16" s="5">
        <f>($K16)*Partcipation!$E73*Title_RESULTS!$C$12/100</f>
        <v>314.35717136644416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496.8297600000001</v>
      </c>
      <c r="N16" s="5">
        <f>'Sheet2(F_12)'!$I16*('Sheet6(p_6)'!$L16+'Sheet6(p_6)'!$M16)</f>
        <v>811.1869313664442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131.3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131.3</v>
      </c>
      <c r="H17" s="5">
        <f>IF(Partcipation!$B18&lt;Partcipation!$B17,0,IF(Partcipation!$B17=0,0,(Partcipation!$B17-Partcipation!$B16)*(+Title_RESULTS!$C$29*(1+Title_RESULTS!$C$30/100)^(+'Sheet8(F_24)'!$A17-Title_RESULTS!$H$7))/1000))</f>
        <v>3592.6737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3592.6737</v>
      </c>
      <c r="K17" s="5">
        <f>(+Partcipation!$B16+(Partcipation!$B17-Partcipation!$B16)/2)*(+Title_RESULTS!$C$14)/1000</f>
        <v>38736</v>
      </c>
      <c r="L17" s="5">
        <f>($K17)*Partcipation!$E74*Title_RESULTS!$C$12/100</f>
        <v>987.9555729275602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1505.3941728000002</v>
      </c>
      <c r="N17" s="5">
        <f>'Sheet2(F_12)'!$I17*('Sheet6(p_6)'!$L17+'Sheet6(p_6)'!$M17)</f>
        <v>2493.3497457275603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131.3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131.3</v>
      </c>
      <c r="H18" s="5">
        <f>IF(Partcipation!$B19&lt;Partcipation!$B18,0,IF(Partcipation!$B18=0,0,(Partcipation!$B18-Partcipation!$B17)*(+Title_RESULTS!$C$29*(1+Title_RESULTS!$C$30/100)^(+'Sheet8(F_24)'!$A18-Title_RESULTS!$H$7))/1000))</f>
        <v>3675.3051950999993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3675.3051950999993</v>
      </c>
      <c r="K18" s="5">
        <f>(+Partcipation!$B17+(Partcipation!$B18-Partcipation!$B17)/2)*(+Title_RESULTS!$C$14)/1000</f>
        <v>64560</v>
      </c>
      <c r="L18" s="5">
        <f>($K18)*Partcipation!$E75*Title_RESULTS!$C$12/100</f>
        <v>1707.2454997699117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2534.0801908800004</v>
      </c>
      <c r="N18" s="5">
        <f>'Sheet2(F_12)'!$I18*('Sheet6(p_6)'!$L18+'Sheet6(p_6)'!$M18)</f>
        <v>4241.325690649912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77472</v>
      </c>
      <c r="L19" s="5">
        <f>($K19)*Partcipation!$E76*Title_RESULTS!$C$12/100</f>
        <v>2031.9006542172742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3071.3051913465597</v>
      </c>
      <c r="N19" s="5">
        <f>'Sheet2(F_12)'!$I19*('Sheet6(p_6)'!$L19+'Sheet6(p_6)'!$M19)</f>
        <v>5103.205845563834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77472</v>
      </c>
      <c r="L20" s="5">
        <f>($K20)*Partcipation!$E77*Title_RESULTS!$C$12/100</f>
        <v>2147.149517914862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3102.018243260026</v>
      </c>
      <c r="N20" s="5">
        <f>'Sheet2(F_12)'!$I20*('Sheet6(p_6)'!$L20+'Sheet6(p_6)'!$M20)</f>
        <v>5249.167761174887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77472</v>
      </c>
      <c r="L21" s="5">
        <f>($K21)*Partcipation!$E78*Title_RESULTS!$C$12/100</f>
        <v>2270.3930594244803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3133.038425692626</v>
      </c>
      <c r="N21" s="5">
        <f>'Sheet2(F_12)'!$I21*('Sheet6(p_6)'!$L21+'Sheet6(p_6)'!$M21)</f>
        <v>5403.431485117106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77472</v>
      </c>
      <c r="L22" s="5">
        <f>($K22)*Partcipation!$E79*Title_RESULTS!$C$12/100</f>
        <v>2373.0469891468756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3164.368809949553</v>
      </c>
      <c r="N22" s="5">
        <f>'Sheet2(F_12)'!$I22*('Sheet6(p_6)'!$L22+'Sheet6(p_6)'!$M22)</f>
        <v>5537.415799096429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77472</v>
      </c>
      <c r="L23" s="5">
        <f>($K23)*Partcipation!$E80*Title_RESULTS!$C$12/100</f>
        <v>2512.774292802758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3196.0124980490473</v>
      </c>
      <c r="N23" s="5">
        <f>'Sheet2(F_12)'!$I23*('Sheet6(p_6)'!$L23+'Sheet6(p_6)'!$M23)</f>
        <v>5708.786790851806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77472</v>
      </c>
      <c r="L24" s="5">
        <f>($K24)*Partcipation!$E81*Title_RESULTS!$C$12/100</f>
        <v>2750.7217344905466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3227.972623029539</v>
      </c>
      <c r="N24" s="5">
        <f>'Sheet2(F_12)'!$I24*('Sheet6(p_6)'!$L24+'Sheet6(p_6)'!$M24)</f>
        <v>5978.694357520086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77472</v>
      </c>
      <c r="L25" s="5">
        <f>($K25)*Partcipation!$E82*Title_RESULTS!$C$12/100</f>
        <v>2890.8648129592566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3260.252349259835</v>
      </c>
      <c r="N25" s="5">
        <f>'Sheet2(F_12)'!$I25*('Sheet6(p_6)'!$L25+'Sheet6(p_6)'!$M25)</f>
        <v>6151.117162219091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77472</v>
      </c>
      <c r="L26" s="5">
        <f>($K26)*Partcipation!$E83*Title_RESULTS!$C$12/100</f>
        <v>3149.7475017450447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3292.854872752433</v>
      </c>
      <c r="N26" s="5">
        <f>'Sheet2(F_12)'!$I26*('Sheet6(p_6)'!$L26+'Sheet6(p_6)'!$M26)</f>
        <v>6442.602374497477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77472</v>
      </c>
      <c r="L27" s="5">
        <f>($K27)*Partcipation!$E84*Title_RESULTS!$C$12/100</f>
        <v>3258.325856215788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3325.783421479957</v>
      </c>
      <c r="N27" s="5">
        <f>'Sheet2(F_12)'!$I27*('Sheet6(p_6)'!$L27+'Sheet6(p_6)'!$M27)</f>
        <v>6584.109277695745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77472</v>
      </c>
      <c r="L28" s="5">
        <f>($K28)*Partcipation!$E85*Title_RESULTS!$C$12/100</f>
        <v>3490.810820269594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3359.041255694756</v>
      </c>
      <c r="N28" s="5">
        <f>'Sheet2(F_12)'!$I28*('Sheet6(p_6)'!$L28+'Sheet6(p_6)'!$M28)</f>
        <v>6849.85207596435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77472</v>
      </c>
      <c r="L29" s="5">
        <f>($K29)*Partcipation!$E86*Title_RESULTS!$C$12/100</f>
        <v>3564.0319170267926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3392.6316682517036</v>
      </c>
      <c r="N29" s="5">
        <f>'Sheet2(F_12)'!$I29*('Sheet6(p_6)'!$L29+'Sheet6(p_6)'!$M29)</f>
        <v>6956.663585278497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77472</v>
      </c>
      <c r="L30" s="5">
        <f>($K30)*Partcipation!$E87*Title_RESULTS!$C$12/100</f>
        <v>3799.417568219078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3426.557984934221</v>
      </c>
      <c r="N30" s="5">
        <f>'Sheet2(F_12)'!$I30*('Sheet6(p_6)'!$L30+'Sheet6(p_6)'!$M30)</f>
        <v>7225.975553153299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384.072</v>
      </c>
      <c r="C32" s="5">
        <f t="shared" si="4"/>
        <v>0</v>
      </c>
      <c r="D32" s="5">
        <f t="shared" si="4"/>
        <v>384.072</v>
      </c>
      <c r="E32" s="5">
        <f t="shared" si="4"/>
        <v>393.90000000000003</v>
      </c>
      <c r="F32" s="5">
        <f t="shared" si="4"/>
        <v>0</v>
      </c>
      <c r="G32" s="5">
        <f t="shared" si="4"/>
        <v>393.90000000000003</v>
      </c>
      <c r="H32" s="5">
        <f t="shared" si="4"/>
        <v>10779.878895099999</v>
      </c>
      <c r="I32" s="5">
        <f t="shared" si="4"/>
        <v>0</v>
      </c>
      <c r="J32" s="5">
        <f t="shared" si="4"/>
        <v>10779.878895099999</v>
      </c>
      <c r="K32" s="5">
        <f t="shared" si="4"/>
        <v>1045872</v>
      </c>
      <c r="L32" s="5">
        <f t="shared" si="4"/>
        <v>37248.74296849627</v>
      </c>
      <c r="M32" s="5">
        <f t="shared" si="4"/>
        <v>43488.14146738025</v>
      </c>
      <c r="N32" s="5">
        <f t="shared" si="4"/>
        <v>80736.88443587653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358.8491576370552</v>
      </c>
      <c r="C34" s="5">
        <f>NPV(Title_RESULTS!$C$37,'Sheet6(p_6)'!C17:C31)+'Sheet6(p_6)'!C16</f>
        <v>0</v>
      </c>
      <c r="D34" s="5">
        <f>NPV(Title_RESULTS!$C$37,'Sheet6(p_6)'!D17:D31)+'Sheet6(p_6)'!D16</f>
        <v>358.8491576370552</v>
      </c>
      <c r="E34" s="5">
        <f>NPV(Title_RESULTS!$C$37,'Sheet6(p_6)'!E17:E31)+'Sheet6(p_6)'!E16</f>
        <v>368.4298122092916</v>
      </c>
      <c r="F34" s="5">
        <f>NPV(Title_RESULTS!$C$37,'Sheet6(p_6)'!F17:F31)+'Sheet6(p_6)'!F16</f>
        <v>0</v>
      </c>
      <c r="G34" s="5">
        <f>NPV(Title_RESULTS!$C$37,'Sheet6(p_6)'!G17:G31)+'Sheet6(p_6)'!G16</f>
        <v>368.4298122092916</v>
      </c>
      <c r="H34" s="5">
        <f>NPV(Title_RESULTS!$C$37,'Sheet6(p_6)'!H17:H31)+'Sheet6(p_6)'!H16</f>
        <v>10072.389506778854</v>
      </c>
      <c r="I34" s="5">
        <f>NPV(Title_RESULTS!$C$37,'Sheet6(p_6)'!I17:I31)+'Sheet6(p_6)'!I16</f>
        <v>0</v>
      </c>
      <c r="J34" s="5">
        <f>NPV(Title_RESULTS!$C$37,'Sheet6(p_6)'!J17:J31)+'Sheet6(p_6)'!J16</f>
        <v>10072.389506778854</v>
      </c>
      <c r="K34" s="5"/>
      <c r="L34" s="5">
        <f>NPV(Title_RESULTS!$C$37,'Sheet6(p_6)'!L17:L31)+'Sheet6(p_6)'!L16</f>
        <v>21494.384206216593</v>
      </c>
      <c r="M34" s="5">
        <f>NPV(Title_RESULTS!$C$37,'Sheet6(p_6)'!M17:M31)+'Sheet6(p_6)'!M16</f>
        <v>26323.1642150484</v>
      </c>
      <c r="N34" s="5">
        <f>NPV(Title_RESULTS!$C$37,'Sheet6(p_6)'!N17:N31)+'Sheet6(p_6)'!N16</f>
        <v>47817.548421265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HVAC Improved Controls</v>
      </c>
      <c r="M2" t="s">
        <v>55</v>
      </c>
    </row>
    <row r="3" ht="12.75">
      <c r="M3" s="35">
        <f>+Title_RESULTS!I4</f>
        <v>43599.32309733796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3511.9</v>
      </c>
      <c r="E16" s="5">
        <f>IF(A16&gt;=(Title_RESULTS!$H$7+Title_RESULTS!$C$17),0,(+'f-11B'!$N15))</f>
        <v>0</v>
      </c>
      <c r="F16" s="5">
        <f>IF(A16&gt;=(Title_RESULTS!$H$7+Title_RESULTS!$C$17),0,(SUM(B16:E16)))</f>
        <v>3636.9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395.0839942972647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395.0839942972647</v>
      </c>
      <c r="L16" s="23">
        <f>IF(A16&gt;=(Title_RESULTS!$H$7+Title_RESULTS!$C$17),0,(+$K16-$F16))</f>
        <v>-3241.8160057027353</v>
      </c>
      <c r="M16" s="23">
        <f>IF(A16&gt;=(Title_RESULTS!$H$7+Title_RESULTS!$C$17),0,(+$L16/(1+Title_RESULTS!$C$37)^('Sheet7(F_23)'!$A16-Title_RESULTS!$H$7)))</f>
        <v>-3241.8160057027353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3592.6737</v>
      </c>
      <c r="E17" s="5">
        <f>IF(A17&gt;=(Title_RESULTS!$H$7+Title_RESULTS!$C$17),0,(+'f-11B'!$N16))</f>
        <v>0</v>
      </c>
      <c r="F17" s="5">
        <f>IF(A17&gt;=(Title_RESULTS!$H$7+Title_RESULTS!$C$17),0,(SUM(B17:E17)))</f>
        <v>3720.6737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298.2104115660207</v>
      </c>
      <c r="I17" s="5">
        <f>IF(A17&gt;=(Title_RESULTS!$H$7+Title_RESULTS!$C$17),0,(+'Sheet4(F_22)'!$H17))</f>
        <v>1175.611317264898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1473.8217288309186</v>
      </c>
      <c r="L17" s="23">
        <f>IF(A17&gt;=(Title_RESULTS!$H$7+Title_RESULTS!$C$17),0,(+$K17-$F17))</f>
        <v>-2246.8519711690815</v>
      </c>
      <c r="M17" s="23">
        <f>IF(A17&gt;=(Title_RESULTS!$H$7+Title_RESULTS!$C$17),0,(+M16+$L17/(1+Title_RESULTS!$C$37)^('Sheet7(F_23)'!$A17-Title_RESULTS!$H$7)))</f>
        <v>-5340.1088439256355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3675.3051950999993</v>
      </c>
      <c r="E18" s="5">
        <f>IF(A18&gt;=(Title_RESULTS!$H$7+Title_RESULTS!$C$17),0,(+'f-11B'!$N17))</f>
        <v>0</v>
      </c>
      <c r="F18" s="5">
        <f>IF(A18&gt;=(Title_RESULTS!$H$7+Title_RESULTS!$C$17),0,(SUM(B18:E18)))</f>
        <v>3806.3771950999994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305.3674614436052</v>
      </c>
      <c r="I18" s="5">
        <f>IF(A18&gt;=(Title_RESULTS!$H$7+Title_RESULTS!$C$17),0,(+'Sheet4(F_22)'!$H18))</f>
        <v>2022.1826098684085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2327.5500713120136</v>
      </c>
      <c r="L18" s="23">
        <f>IF(A18&gt;=(Title_RESULTS!$H$7+Title_RESULTS!$C$17),0,(+$K18-$F18))</f>
        <v>-1478.8271237879858</v>
      </c>
      <c r="M18" s="23">
        <f>IF(A18&gt;=(Title_RESULTS!$H$7+Title_RESULTS!$C$17),0,(+M17+$L18/(1+Title_RESULTS!$C$37)^('Sheet7(F_23)'!$A18-Title_RESULTS!$H$7)))</f>
        <v>-6629.84442872434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947.389546505623</v>
      </c>
      <c r="H19" s="5">
        <f>IF(A19&gt;=(Title_RESULTS!$H$7+Title_RESULTS!$C$17),0,(+'Sheet4(F_22)'!$D19+'Sheet4(F_22)'!$G19))</f>
        <v>312.6962805182517</v>
      </c>
      <c r="I19" s="5">
        <f>IF(A19&gt;=(Title_RESULTS!$H$7+Title_RESULTS!$C$17),0,(+'Sheet4(F_22)'!$H19))</f>
        <v>2526.1682561701637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3786.2540831940382</v>
      </c>
      <c r="L19" s="23">
        <f>IF(A19&gt;=(Title_RESULTS!$H$7+Title_RESULTS!$C$17),0,(+$K19-$F19))</f>
        <v>3786.2540831940382</v>
      </c>
      <c r="M19" s="23">
        <f>IF(A19&gt;=(Title_RESULTS!$H$7+Title_RESULTS!$C$17),0,(+M18+$L19/(1+Title_RESULTS!$C$37)^('Sheet7(F_23)'!$A19-Title_RESULTS!$H$7)))</f>
        <v>-3546.055342154867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972.6515498674356</v>
      </c>
      <c r="H20" s="5">
        <f>IF(A20&gt;=(Title_RESULTS!$H$7+Title_RESULTS!$C$17),0,(+'Sheet4(F_22)'!$D20+'Sheet4(F_22)'!$G20))</f>
        <v>320.20099125068975</v>
      </c>
      <c r="I20" s="5">
        <f>IF(A20&gt;=(Title_RESULTS!$H$7+Title_RESULTS!$C$17),0,(+'Sheet4(F_22)'!$H20))</f>
        <v>2625.437146941505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3918.2896880596304</v>
      </c>
      <c r="L20" s="23">
        <f>IF(A20&gt;=(Title_RESULTS!$H$7+Title_RESULTS!$C$17),0,(+$K20-$F20))</f>
        <v>3918.2896880596304</v>
      </c>
      <c r="M20" s="23">
        <f>IF(A20&gt;=(Title_RESULTS!$H$7+Title_RESULTS!$C$17),0,(+M19+$L20/(1+Title_RESULTS!$C$37)^('Sheet7(F_23)'!$A20-Title_RESULTS!$H$7)))</f>
        <v>-565.7340112365237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1000.2883892291752</v>
      </c>
      <c r="H21" s="5">
        <f>IF(A21&gt;=(Title_RESULTS!$H$7+Title_RESULTS!$C$17),0,(+'Sheet4(F_22)'!$D21+'Sheet4(F_22)'!$G21))</f>
        <v>327.88581504070635</v>
      </c>
      <c r="I21" s="5">
        <f>IF(A21&gt;=(Title_RESULTS!$H$7+Title_RESULTS!$C$17),0,(+'Sheet4(F_22)'!$H21))</f>
        <v>2818.9290676839487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4147.103271953831</v>
      </c>
      <c r="L21" s="23">
        <f>IF(A21&gt;=(Title_RESULTS!$H$7+Title_RESULTS!$C$17),0,(+$K21-$F21))</f>
        <v>4147.103271953831</v>
      </c>
      <c r="M21" s="23">
        <f>IF(A21&gt;=(Title_RESULTS!$H$7+Title_RESULTS!$C$17),0,(+M20+$L21/(1+Title_RESULTS!$C$37)^('Sheet7(F_23)'!$A21-Title_RESULTS!$H$7)))</f>
        <v>2380.064496335411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1031.2402931699721</v>
      </c>
      <c r="H22" s="5">
        <f>IF(A22&gt;=(Title_RESULTS!$H$7+Title_RESULTS!$C$17),0,(+'Sheet4(F_22)'!$D22+'Sheet4(F_22)'!$G22))</f>
        <v>335.75507460168325</v>
      </c>
      <c r="I22" s="5">
        <f>IF(A22&gt;=(Title_RESULTS!$H$7+Title_RESULTS!$C$17),0,(+'Sheet4(F_22)'!$H22))</f>
        <v>2909.34515923935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4276.340527011005</v>
      </c>
      <c r="L22" s="23">
        <f>IF(A22&gt;=(Title_RESULTS!$H$7+Title_RESULTS!$C$17),0,(+$K22-$F22))</f>
        <v>4276.340527011005</v>
      </c>
      <c r="M22" s="23">
        <f>IF(A22&gt;=(Title_RESULTS!$H$7+Title_RESULTS!$C$17),0,(+M21+$L22/(1+Title_RESULTS!$C$37)^('Sheet7(F_23)'!$A22-Title_RESULTS!$H$7)))</f>
        <v>5216.821304916073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1059.0012743338611</v>
      </c>
      <c r="H23" s="5">
        <f>IF(A23&gt;=(Title_RESULTS!$H$7+Title_RESULTS!$C$17),0,(+'Sheet4(F_22)'!$D23+'Sheet4(F_22)'!$G23))</f>
        <v>343.81319639212364</v>
      </c>
      <c r="I23" s="5">
        <f>IF(A23&gt;=(Title_RESULTS!$H$7+Title_RESULTS!$C$17),0,(+'Sheet4(F_22)'!$H23))</f>
        <v>3091.166210045662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4493.980680771647</v>
      </c>
      <c r="L23" s="23">
        <f>IF(A23&gt;=(Title_RESULTS!$H$7+Title_RESULTS!$C$17),0,(+$K23-$F23))</f>
        <v>4493.980680771647</v>
      </c>
      <c r="M23" s="23">
        <f>IF(A23&gt;=(Title_RESULTS!$H$7+Title_RESULTS!$C$17),0,(+M22+$L23/(1+Title_RESULTS!$C$37)^('Sheet7(F_23)'!$A23-Title_RESULTS!$H$7)))</f>
        <v>8000.843309014041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1076.1561882483938</v>
      </c>
      <c r="H24" s="5">
        <f>IF(A24&gt;=(Title_RESULTS!$H$7+Title_RESULTS!$C$17),0,(+'Sheet4(F_22)'!$D24+'Sheet4(F_22)'!$G24))</f>
        <v>352.0647131055346</v>
      </c>
      <c r="I24" s="5">
        <f>IF(A24&gt;=(Title_RESULTS!$H$7+Title_RESULTS!$C$17),0,(+'Sheet4(F_22)'!$H24))</f>
        <v>3425.3696248645406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4853.590526218469</v>
      </c>
      <c r="L24" s="23">
        <f>IF(A24&gt;=(Title_RESULTS!$H$7+Title_RESULTS!$C$17),0,(+$K24-$F24))</f>
        <v>4853.590526218469</v>
      </c>
      <c r="M24" s="23">
        <f>IF(A24&gt;=(Title_RESULTS!$H$7+Title_RESULTS!$C$17),0,(+M23+$L24/(1+Title_RESULTS!$C$37)^('Sheet7(F_23)'!$A24-Title_RESULTS!$H$7)))</f>
        <v>10808.837688133244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1105.3882568842782</v>
      </c>
      <c r="H25" s="5">
        <f>IF(A25&gt;=(Title_RESULTS!$H$7+Title_RESULTS!$C$17),0,(+'Sheet4(F_22)'!$D25+'Sheet4(F_22)'!$G25))</f>
        <v>360.51426622006744</v>
      </c>
      <c r="I25" s="5">
        <f>IF(A25&gt;=(Title_RESULTS!$H$7+Title_RESULTS!$C$17),0,(+'Sheet4(F_22)'!$H25))</f>
        <v>3669.8186232009703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5135.721146305315</v>
      </c>
      <c r="L25" s="23">
        <f>IF(A25&gt;=(Title_RESULTS!$H$7+Title_RESULTS!$C$17),0,(+$K25-$F25))</f>
        <v>5135.721146305315</v>
      </c>
      <c r="M25" s="23">
        <f>IF(A25&gt;=(Title_RESULTS!$H$7+Title_RESULTS!$C$17),0,(+M24+$L25/(1+Title_RESULTS!$C$37)^('Sheet7(F_23)'!$A25-Title_RESULTS!$H$7)))</f>
        <v>13583.602460784869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1123.0872677764335</v>
      </c>
      <c r="H26" s="5">
        <f>IF(A26&gt;=(Title_RESULTS!$H$7+Title_RESULTS!$C$17),0,(+'Sheet4(F_22)'!$D26+'Sheet4(F_22)'!$G26))</f>
        <v>369.16660860934905</v>
      </c>
      <c r="I26" s="5">
        <f>IF(A26&gt;=(Title_RESULTS!$H$7+Title_RESULTS!$C$17),0,(+'Sheet4(F_22)'!$H26))</f>
        <v>4098.984093405007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5591.237969790789</v>
      </c>
      <c r="L26" s="23">
        <f>IF(A26&gt;=(Title_RESULTS!$H$7+Title_RESULTS!$C$17),0,(+$K26-$F26))</f>
        <v>5591.237969790789</v>
      </c>
      <c r="M26" s="23">
        <f>IF(A26&gt;=(Title_RESULTS!$H$7+Title_RESULTS!$C$17),0,(+M25+$L26/(1+Title_RESULTS!$C$37)^('Sheet7(F_23)'!$A26-Title_RESULTS!$H$7)))</f>
        <v>16404.74059581011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1161.856350695344</v>
      </c>
      <c r="H27" s="5">
        <f>IF(A27&gt;=(Title_RESULTS!$H$7+Title_RESULTS!$C$17),0,(+'Sheet4(F_22)'!$D27+'Sheet4(F_22)'!$G27))</f>
        <v>378.0266072159735</v>
      </c>
      <c r="I27" s="5">
        <f>IF(A27&gt;=(Title_RESULTS!$H$7+Title_RESULTS!$C$17),0,(+'Sheet4(F_22)'!$H27))</f>
        <v>4083.740604589331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5623.623562500648</v>
      </c>
      <c r="L27" s="23">
        <f>IF(A27&gt;=(Title_RESULTS!$H$7+Title_RESULTS!$C$17),0,(+$K27-$F27))</f>
        <v>5623.623562500648</v>
      </c>
      <c r="M27" s="23">
        <f>IF(A27&gt;=(Title_RESULTS!$H$7+Title_RESULTS!$C$17),0,(+M26+$L27/(1+Title_RESULTS!$C$37)^('Sheet7(F_23)'!$A27-Title_RESULTS!$H$7)))</f>
        <v>19054.60867902989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1186.350375821018</v>
      </c>
      <c r="H28" s="5">
        <f>IF(A28&gt;=(Title_RESULTS!$H$7+Title_RESULTS!$C$17),0,(+'Sheet4(F_22)'!$D28+'Sheet4(F_22)'!$G28))</f>
        <v>387.09924578915684</v>
      </c>
      <c r="I28" s="5">
        <f>IF(A28&gt;=(Title_RESULTS!$H$7+Title_RESULTS!$C$17),0,(+'Sheet4(F_22)'!$H28))</f>
        <v>4463.1510456295655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6036.60066723974</v>
      </c>
      <c r="L28" s="23">
        <f>IF(A28&gt;=(Title_RESULTS!$H$7+Title_RESULTS!$C$17),0,(+$K28-$F28))</f>
        <v>6036.60066723974</v>
      </c>
      <c r="M28" s="23">
        <f>IF(A28&gt;=(Title_RESULTS!$H$7+Title_RESULTS!$C$17),0,(+M27+$L28/(1+Title_RESULTS!$C$37)^('Sheet7(F_23)'!$A28-Title_RESULTS!$H$7)))</f>
        <v>21711.00027266124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1228.7158135321934</v>
      </c>
      <c r="H29" s="5">
        <f>IF(A29&gt;=(Title_RESULTS!$H$7+Title_RESULTS!$C$17),0,(+'Sheet4(F_22)'!$D29+'Sheet4(F_22)'!$G29))</f>
        <v>396.3896276880966</v>
      </c>
      <c r="I29" s="5">
        <f>IF(A29&gt;=(Title_RESULTS!$H$7+Title_RESULTS!$C$17),0,(+'Sheet4(F_22)'!$H29))</f>
        <v>4759.54460435813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6384.65004557842</v>
      </c>
      <c r="L29" s="23">
        <f>IF(A29&gt;=(Title_RESULTS!$H$7+Title_RESULTS!$C$17),0,(+$K29-$F29))</f>
        <v>6384.65004557842</v>
      </c>
      <c r="M29" s="23">
        <f>IF(A29&gt;=(Title_RESULTS!$H$7+Title_RESULTS!$C$17),0,(+M28+$L29/(1+Title_RESULTS!$C$37)^('Sheet7(F_23)'!$A29-Title_RESULTS!$H$7)))</f>
        <v>24334.78611952414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1252.4447574130345</v>
      </c>
      <c r="H30" s="5">
        <f>IF(A30&gt;=(Title_RESULTS!$H$7+Title_RESULTS!$C$17),0,(+'Sheet4(F_22)'!$D30+'Sheet4(F_22)'!$G30))</f>
        <v>405.9029787526109</v>
      </c>
      <c r="I30" s="5">
        <f>IF(A30&gt;=(Title_RESULTS!$H$7+Title_RESULTS!$C$17),0,(+'Sheet4(F_22)'!$H30))</f>
        <v>4981.159805791572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6639.507541957217</v>
      </c>
      <c r="L30" s="23">
        <f>IF(A30&gt;=(Title_RESULTS!$H$7+Title_RESULTS!$C$17),0,(+$K30-$F30))</f>
        <v>6639.507541957217</v>
      </c>
      <c r="M30" s="23">
        <f>IF(A30&gt;=(Title_RESULTS!$H$7+Title_RESULTS!$C$17),0,(+M29+$L30/(1+Title_RESULTS!$C$37)^('Sheet7(F_23)'!$A30-Title_RESULTS!$H$7)))</f>
        <v>26882.89976378411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384.072</v>
      </c>
      <c r="D32" s="5">
        <f t="shared" si="1"/>
        <v>10779.878895099999</v>
      </c>
      <c r="E32" s="5">
        <f t="shared" si="1"/>
        <v>0</v>
      </c>
      <c r="F32" s="5">
        <f t="shared" si="1"/>
        <v>11163.950895099999</v>
      </c>
      <c r="G32" s="5">
        <f t="shared" si="1"/>
        <v>13144.57006347676</v>
      </c>
      <c r="H32" s="5">
        <f t="shared" si="1"/>
        <v>4893.093278193869</v>
      </c>
      <c r="I32" s="5">
        <f t="shared" si="1"/>
        <v>47045.692163350315</v>
      </c>
      <c r="J32" s="5">
        <f t="shared" si="1"/>
        <v>0</v>
      </c>
      <c r="K32" s="5">
        <f t="shared" si="1"/>
        <v>65083.35550502095</v>
      </c>
      <c r="L32" s="5">
        <f t="shared" si="1"/>
        <v>53919.404609920944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358.8491576370552</v>
      </c>
      <c r="D34" s="5">
        <f>NPV(Title_RESULTS!$C$37,'Sheet7(F_23)'!D17:D31)+'Sheet7(F_23)'!D16</f>
        <v>10072.389506778854</v>
      </c>
      <c r="E34" s="5">
        <f>NPV(Title_RESULTS!$C$37,'Sheet7(F_23)'!E17:E31)+'Sheet7(F_23)'!E16</f>
        <v>0</v>
      </c>
      <c r="F34" s="5">
        <f>NPV(Title_RESULTS!$C$37,'Sheet7(F_23)'!F17:F31)+'Sheet7(F_23)'!F16</f>
        <v>10431.238664415909</v>
      </c>
      <c r="G34" s="5">
        <f>NPV(Title_RESULTS!$C$37,'Sheet7(F_23)'!G17:G31)+'Sheet7(F_23)'!G16</f>
        <v>7403.7276677556065</v>
      </c>
      <c r="H34" s="5">
        <f>NPV(Title_RESULTS!$C$37,'Sheet7(F_23)'!H17:H31)+'Sheet7(F_23)'!H16</f>
        <v>2963.5489820081925</v>
      </c>
      <c r="I34" s="5">
        <f>NPV(Title_RESULTS!$C$37,'Sheet7(F_23)'!I17:I31)+'Sheet7(F_23)'!I16</f>
        <v>26946.861778436214</v>
      </c>
      <c r="J34" s="5">
        <f>NPV(Title_RESULTS!$C$37,'Sheet7(F_23)'!J17:J31)+'Sheet7(F_23)'!J16</f>
        <v>0</v>
      </c>
      <c r="K34" s="5">
        <f>NPV(Title_RESULTS!$C$37,'Sheet7(F_23)'!K17:K31)+'Sheet7(F_23)'!K16</f>
        <v>37314.13842820002</v>
      </c>
      <c r="L34" s="5">
        <f>NPV(Title_RESULTS!$C$37,'Sheet7(F_23)'!L17:L31)+'Sheet7(F_23)'!L16</f>
        <v>26882.899763784106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3.57715316738843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HVAC Improved Controls</v>
      </c>
      <c r="L2" t="s">
        <v>55</v>
      </c>
    </row>
    <row r="3" ht="12.75">
      <c r="L3" s="35">
        <f>+Title_RESULTS!I4</f>
        <v>43599.32309733796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811.1869313664442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131.3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942.4869313664442</v>
      </c>
      <c r="G16" s="5">
        <f>IF(A16&gt;=(Title_RESULTS!$H$7+Title_RESULTS!$C$17),0,(+'Sheet6(p_6)'!$H16))</f>
        <v>3511.9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3511.9</v>
      </c>
      <c r="K16" s="23">
        <f>IF(A16&gt;=(Title_RESULTS!$H$7+Title_RESULTS!$C$17),0,(+F16-J16))</f>
        <v>-2569.4130686335557</v>
      </c>
      <c r="L16" s="23">
        <f>IF(A16&gt;=(Title_RESULTS!$H$7+Title_RESULTS!$C$17),0,(+$K16/((1+Title_RESULTS!$C$37)^('Sheet8(F_24)'!$A16-Title_RESULTS!$H$7))))</f>
        <v>-2569.4130686335557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2493.3497457275603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131.3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2624.6497457275605</v>
      </c>
      <c r="G17" s="5">
        <f>IF(A17&gt;=(Title_RESULTS!$H$7+Title_RESULTS!$C$17),0,(+'Sheet6(p_6)'!$H17))</f>
        <v>3592.6737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3592.6737</v>
      </c>
      <c r="K17" s="23">
        <f>IF(A17&gt;=(Title_RESULTS!$H$7+Title_RESULTS!$C$17),0,(+F17-J17))</f>
        <v>-968.0239542724394</v>
      </c>
      <c r="L17" s="23">
        <f>IF(A16&gt;=(Title_RESULTS!$H$7+Title_RESULTS!$C$17),0,(+$K17/((1+Title_RESULTS!$C$37)^('Sheet8(F_24)'!$A17-Title_RESULTS!$H$7))+L16))</f>
        <v>-3473.4324506586204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4241.325690649912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131.3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4372.625690649912</v>
      </c>
      <c r="G18" s="5">
        <f>IF(A18&gt;=(Title_RESULTS!$H$7+Title_RESULTS!$C$17),0,(+'Sheet6(p_6)'!$H18))</f>
        <v>3675.3051950999993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3675.3051950999993</v>
      </c>
      <c r="K18" s="23">
        <f>IF(A18&gt;=(Title_RESULTS!$H$7+Title_RESULTS!$C$17),0,(+F18-J18))</f>
        <v>697.3204955499127</v>
      </c>
      <c r="L18" s="23">
        <f>IF(A17&gt;=(Title_RESULTS!$H$7+Title_RESULTS!$C$17),0,(+$K18/((1+Title_RESULTS!$C$37)^('Sheet8(F_24)'!$A18-Title_RESULTS!$H$7))+L17))</f>
        <v>-2865.275457421643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5103.205845563834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5103.205845563834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5103.205845563834</v>
      </c>
      <c r="L19" s="23">
        <f>IF(A18&gt;=(Title_RESULTS!$H$7+Title_RESULTS!$C$17),0,(+$K19/((1+Title_RESULTS!$C$37)^('Sheet8(F_24)'!$A19-Title_RESULTS!$H$7))+L18))</f>
        <v>1291.1308870230419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5249.167761174887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5249.167761174887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5249.167761174887</v>
      </c>
      <c r="L20" s="23">
        <f>IF(A19&gt;=(Title_RESULTS!$H$7+Title_RESULTS!$C$17),0,(+$K20/((1+Title_RESULTS!$C$37)^('Sheet8(F_24)'!$A20-Title_RESULTS!$H$7))+L19))</f>
        <v>5283.741922361152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5403.431485117106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5403.431485117106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5403.431485117106</v>
      </c>
      <c r="L21" s="23">
        <f>IF(A20&gt;=(Title_RESULTS!$H$7+Title_RESULTS!$C$17),0,(+$K21/((1+Title_RESULTS!$C$37)^('Sheet8(F_24)'!$A21-Title_RESULTS!$H$7))+L20))</f>
        <v>9121.944002418342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5537.415799096429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5537.415799096429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5537.415799096429</v>
      </c>
      <c r="L22" s="23">
        <f>IF(A21&gt;=(Title_RESULTS!$H$7+Title_RESULTS!$C$17),0,(+$K22/((1+Title_RESULTS!$C$37)^('Sheet8(F_24)'!$A22-Title_RESULTS!$H$7))+L21))</f>
        <v>12795.248752311216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5708.786790851806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5708.786790851806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5708.786790851806</v>
      </c>
      <c r="L23" s="23">
        <f>IF(A22&gt;=(Title_RESULTS!$H$7+Title_RESULTS!$C$17),0,(+$K23/((1+Title_RESULTS!$C$37)^('Sheet8(F_24)'!$A23-Title_RESULTS!$H$7))+L22))</f>
        <v>16331.84340445072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5978.694357520086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5978.694357520086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5978.694357520086</v>
      </c>
      <c r="L24" s="23">
        <f>IF(A23&gt;=(Title_RESULTS!$H$7+Title_RESULTS!$C$17),0,(+$K24/((1+Title_RESULTS!$C$37)^('Sheet8(F_24)'!$A24-Title_RESULTS!$H$7))+L23))</f>
        <v>19790.754917422557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6151.117162219091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6151.117162219091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6151.117162219091</v>
      </c>
      <c r="L25" s="23">
        <f>IF(A24&gt;=(Title_RESULTS!$H$7+Title_RESULTS!$C$17),0,(+$K25/((1+Title_RESULTS!$C$37)^('Sheet8(F_24)'!$A25-Title_RESULTS!$H$7))+L24))</f>
        <v>23114.125234453335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6442.602374497477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6442.602374497477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6442.602374497477</v>
      </c>
      <c r="L26" s="23">
        <f>IF(A25&gt;=(Title_RESULTS!$H$7+Title_RESULTS!$C$17),0,(+$K26/((1+Title_RESULTS!$C$37)^('Sheet8(F_24)'!$A26-Title_RESULTS!$H$7))+L25))</f>
        <v>26364.831311658472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6584.109277695745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6584.109277695745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6584.109277695745</v>
      </c>
      <c r="L27" s="23">
        <f>IF(A26&gt;=(Title_RESULTS!$H$7+Title_RESULTS!$C$17),0,(+$K27/((1+Title_RESULTS!$C$37)^('Sheet8(F_24)'!$A27-Title_RESULTS!$H$7))+L26))</f>
        <v>29467.28310941697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6849.85207596435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6849.85207596435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6849.85207596435</v>
      </c>
      <c r="L28" s="23">
        <f>IF(A27&gt;=(Title_RESULTS!$H$7+Title_RESULTS!$C$17),0,(+$K28/((1+Title_RESULTS!$C$37)^('Sheet8(F_24)'!$A28-Title_RESULTS!$H$7))+L27))</f>
        <v>32481.544027976302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6956.663585278497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6956.663585278497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6956.663585278497</v>
      </c>
      <c r="L29" s="23">
        <f>IF(A28&gt;=(Title_RESULTS!$H$7+Title_RESULTS!$C$17),0,(+$K29/((1+Title_RESULTS!$C$37)^('Sheet8(F_24)'!$A29-Title_RESULTS!$H$7))+L28))</f>
        <v>35340.40008526027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7225.975553153299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7225.975553153299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7225.975553153299</v>
      </c>
      <c r="L30" s="23">
        <f>IF(A29&gt;=(Title_RESULTS!$H$7+Title_RESULTS!$C$17),0,(+$K30/((1+Title_RESULTS!$C$37)^('Sheet8(F_24)'!$A30-Title_RESULTS!$H$7))+L29))</f>
        <v>38113.58872669544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80736.88443587653</v>
      </c>
      <c r="C32" s="5">
        <f t="shared" si="1"/>
        <v>0</v>
      </c>
      <c r="D32" s="5">
        <f t="shared" si="1"/>
        <v>393.90000000000003</v>
      </c>
      <c r="E32" s="5">
        <f t="shared" si="1"/>
        <v>0</v>
      </c>
      <c r="F32" s="5">
        <f t="shared" si="1"/>
        <v>81130.78443587653</v>
      </c>
      <c r="G32" s="5">
        <f t="shared" si="1"/>
        <v>10779.878895099999</v>
      </c>
      <c r="H32" s="5">
        <f t="shared" si="1"/>
        <v>0</v>
      </c>
      <c r="I32" s="5">
        <f t="shared" si="1"/>
        <v>0</v>
      </c>
      <c r="J32" s="5">
        <f t="shared" si="1"/>
        <v>10779.878895099999</v>
      </c>
      <c r="K32" s="5">
        <f t="shared" si="1"/>
        <v>70350.90554077653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47817.548421265</v>
      </c>
      <c r="C34" s="5">
        <f>NPV(Title_RESULTS!$C$37,'Sheet8(F_24)'!C17:C31)+'Sheet8(F_24)'!C16</f>
        <v>0</v>
      </c>
      <c r="D34" s="5">
        <f>NPV(Title_RESULTS!$C$37,'Sheet8(F_24)'!D17:D31)+'Sheet8(F_24)'!D16</f>
        <v>368.4298122092916</v>
      </c>
      <c r="E34" s="5">
        <f>NPV(Title_RESULTS!$C$37,'Sheet8(F_24)'!E17:E31)+'Sheet8(F_24)'!E16</f>
        <v>0</v>
      </c>
      <c r="F34" s="5">
        <f>NPV(Title_RESULTS!$C$37,'Sheet8(F_24)'!F17:F31)+'Sheet8(F_24)'!F16</f>
        <v>48185.978233474285</v>
      </c>
      <c r="G34" s="5">
        <f>NPV(Title_RESULTS!$C$37,'Sheet8(F_24)'!G17:G31)+'Sheet8(F_24)'!G16</f>
        <v>10072.389506778854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10072.389506778854</v>
      </c>
      <c r="K34" s="5">
        <f>NPV(Title_RESULTS!$C$37,'Sheet8(F_24)'!K17:K31)+'Sheet8(F_24)'!K16</f>
        <v>38113.58872669544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4.783966922749013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HVAC Improved Controls</v>
      </c>
      <c r="N2" t="s">
        <v>55</v>
      </c>
    </row>
    <row r="3" ht="12.75">
      <c r="N3" s="35">
        <f>+Title_RESULTS!I4</f>
        <v>43599.32309733796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131.3</v>
      </c>
      <c r="E16" s="5">
        <f>+'Sheet6(p_6)'!M16</f>
        <v>496.8297600000001</v>
      </c>
      <c r="F16">
        <f>IF(A16&gt;=(Title_RESULTS!$H$7+Title_RESULTS!$C$17),0,(+'f-11B'!$R15))</f>
        <v>0</v>
      </c>
      <c r="G16" s="5">
        <f>IF(A16&gt;=(Title_RESULTS!$H$7+Title_RESULTS!$C$17),0,(SUM(B16:F16)))</f>
        <v>753.12976</v>
      </c>
      <c r="H16" s="5">
        <f>IF(A16&gt;=(Title_RESULTS!$H$7+Title_RESULTS!$C$17),0,(+'Sheet3(F_21)'!$J16+'Sheet4(F_22)'!$H16))</f>
        <v>395.0839942972647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395.0839942972647</v>
      </c>
      <c r="M16" s="23">
        <f>IF(A16&gt;=(Title_RESULTS!$H$7+Title_RESULTS!$C$17),0,(+L16-G16))</f>
        <v>-358.0457657027353</v>
      </c>
      <c r="N16" s="24">
        <f>IF(A16&gt;=(Title_RESULTS!$H$7+Title_RESULTS!$C$17),0,(+$M16/((1+Title_RESULTS!$C$37)^('Sheet9(F_25)'!$A16-Title_RESULTS!$H$7))))</f>
        <v>-358.0457657027353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131.3</v>
      </c>
      <c r="E17" s="5">
        <f>+'Sheet6(p_6)'!M17</f>
        <v>1505.3941728000002</v>
      </c>
      <c r="F17">
        <f>IF(A17&gt;=(Title_RESULTS!$H$7+Title_RESULTS!$C$17),0,(+'f-11B'!$R16))</f>
        <v>0</v>
      </c>
      <c r="G17" s="5">
        <f>IF(A17&gt;=(Title_RESULTS!$H$7+Title_RESULTS!$C$17),0,(SUM(B17:F17)))</f>
        <v>1764.6941728000002</v>
      </c>
      <c r="H17" s="5">
        <f>IF(A17&gt;=(Title_RESULTS!$H$7+Title_RESULTS!$C$17),0,(+'Sheet3(F_21)'!$J17+'Sheet4(F_22)'!$H17))</f>
        <v>1175.611317264898</v>
      </c>
      <c r="I17" s="5">
        <f>IF(A17&gt;=(Title_RESULTS!$H$7+Title_RESULTS!$C$17),0,(+'Sheet4(F_22)'!$D17+'Sheet4(F_22)'!$G17))</f>
        <v>298.2104115660207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1473.8217288309186</v>
      </c>
      <c r="M17" s="23">
        <f>IF(A17&gt;=(Title_RESULTS!$H$7+Title_RESULTS!$C$17),0,(+L17-G17))</f>
        <v>-290.8724439690816</v>
      </c>
      <c r="N17" s="24">
        <f>(IF(A16&gt;=(Title_RESULTS!$H$7+Title_RESULTS!$C$17),0,(+$M17/((1+Title_RESULTS!$C$37)^('Sheet9(F_25)'!$A17-Title_RESULTS!$H$7))+N16)))</f>
        <v>-629.6860757224231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131.3</v>
      </c>
      <c r="E18" s="5">
        <f>+'Sheet6(p_6)'!M18</f>
        <v>2534.0801908800004</v>
      </c>
      <c r="F18">
        <f>IF(A18&gt;=(Title_RESULTS!$H$7+Title_RESULTS!$C$17),0,(+'f-11B'!$R17))</f>
        <v>0</v>
      </c>
      <c r="G18" s="5">
        <f>IF(A18&gt;=(Title_RESULTS!$H$7+Title_RESULTS!$C$17),0,(SUM(B18:F18)))</f>
        <v>2796.45219088</v>
      </c>
      <c r="H18" s="5">
        <f>IF(A18&gt;=(Title_RESULTS!$H$7+Title_RESULTS!$C$17),0,(+'Sheet3(F_21)'!$J18+'Sheet4(F_22)'!$H18))</f>
        <v>2022.1826098684085</v>
      </c>
      <c r="I18" s="5">
        <f>IF(A18&gt;=(Title_RESULTS!$H$7+Title_RESULTS!$C$17),0,(+'Sheet4(F_22)'!$D18+'Sheet4(F_22)'!$G18))</f>
        <v>305.3674614436052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2327.5500713120136</v>
      </c>
      <c r="M18" s="23">
        <f>IF(A18&gt;=(Title_RESULTS!$H$7+Title_RESULTS!$C$17),0,(+L18-G18))</f>
        <v>-468.9021195679866</v>
      </c>
      <c r="N18" s="24">
        <f>(IF(A17&gt;=(Title_RESULTS!$H$7+Title_RESULTS!$C$17),0,(+$M18/((1+Title_RESULTS!$C$37)^('Sheet9(F_25)'!$A18-Title_RESULTS!$H$7))+N17)))</f>
        <v>-1038.631610779482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3071.3051913465597</v>
      </c>
      <c r="F19">
        <f>IF(A19&gt;=(Title_RESULTS!$H$7+Title_RESULTS!$C$17),0,(+'f-11B'!$R18))</f>
        <v>0</v>
      </c>
      <c r="G19" s="5">
        <f>IF(A19&gt;=(Title_RESULTS!$H$7+Title_RESULTS!$C$17),0,(SUM(B19:F19)))</f>
        <v>3071.3051913465597</v>
      </c>
      <c r="H19" s="5">
        <f>IF(A19&gt;=(Title_RESULTS!$H$7+Title_RESULTS!$C$17),0,(+'Sheet3(F_21)'!$J19+'Sheet4(F_22)'!$H19))</f>
        <v>3473.5578026757867</v>
      </c>
      <c r="I19" s="5">
        <f>IF(A19&gt;=(Title_RESULTS!$H$7+Title_RESULTS!$C$17),0,(+'Sheet4(F_22)'!$D19+'Sheet4(F_22)'!$G19))</f>
        <v>312.6962805182517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3786.2540831940382</v>
      </c>
      <c r="M19" s="23">
        <f>IF(A19&gt;=(Title_RESULTS!$H$7+Title_RESULTS!$C$17),0,(+L19-G19))</f>
        <v>714.9488918474785</v>
      </c>
      <c r="N19" s="24">
        <f>(IF(A18&gt;=(Title_RESULTS!$H$7+Title_RESULTS!$C$17),0,(+$M19/((1+Title_RESULTS!$C$37)^('Sheet9(F_25)'!$A19-Title_RESULTS!$H$7))+N18)))</f>
        <v>-456.3274278879071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3102.018243260026</v>
      </c>
      <c r="F20">
        <f>IF(A20&gt;=(Title_RESULTS!$H$7+Title_RESULTS!$C$17),0,(+'f-11B'!$R19))</f>
        <v>0</v>
      </c>
      <c r="G20" s="5">
        <f>IF(A20&gt;=(Title_RESULTS!$H$7+Title_RESULTS!$C$17),0,(SUM(B20:F20)))</f>
        <v>3102.018243260026</v>
      </c>
      <c r="H20" s="5">
        <f>IF(A20&gt;=(Title_RESULTS!$H$7+Title_RESULTS!$C$17),0,(+'Sheet3(F_21)'!$J20+'Sheet4(F_22)'!$H20))</f>
        <v>3598.0886968089408</v>
      </c>
      <c r="I20" s="5">
        <f>IF(A20&gt;=(Title_RESULTS!$H$7+Title_RESULTS!$C$17),0,(+'Sheet4(F_22)'!$D20+'Sheet4(F_22)'!$G20))</f>
        <v>320.20099125068975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3918.2896880596304</v>
      </c>
      <c r="M20" s="23">
        <f>IF(A20&gt;=(Title_RESULTS!$H$7+Title_RESULTS!$C$17),0,(+L20-G20))</f>
        <v>816.2714447996045</v>
      </c>
      <c r="N20" s="24">
        <f>(IF(A19&gt;=(Title_RESULTS!$H$7+Title_RESULTS!$C$17),0,(+$M20/((1+Title_RESULTS!$C$37)^('Sheet9(F_25)'!$A20-Title_RESULTS!$H$7))+N19)))</f>
        <v>164.54325611721424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3133.038425692626</v>
      </c>
      <c r="F21">
        <f>IF(A21&gt;=(Title_RESULTS!$H$7+Title_RESULTS!$C$17),0,(+'f-11B'!$R20))</f>
        <v>0</v>
      </c>
      <c r="G21" s="5">
        <f>IF(A21&gt;=(Title_RESULTS!$H$7+Title_RESULTS!$C$17),0,(SUM(B21:F21)))</f>
        <v>3133.038425692626</v>
      </c>
      <c r="H21" s="5">
        <f>IF(A21&gt;=(Title_RESULTS!$H$7+Title_RESULTS!$C$17),0,(+'Sheet3(F_21)'!$J21+'Sheet4(F_22)'!$H21))</f>
        <v>3819.217456913124</v>
      </c>
      <c r="I21" s="5">
        <f>IF(A21&gt;=(Title_RESULTS!$H$7+Title_RESULTS!$C$17),0,(+'Sheet4(F_22)'!$D21+'Sheet4(F_22)'!$G21))</f>
        <v>327.88581504070635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4147.103271953831</v>
      </c>
      <c r="M21" s="23">
        <f>IF(A21&gt;=(Title_RESULTS!$H$7+Title_RESULTS!$C$17),0,(+L21-G21))</f>
        <v>1014.0648462612048</v>
      </c>
      <c r="N21" s="24">
        <f>(IF(A20&gt;=(Title_RESULTS!$H$7+Title_RESULTS!$C$17),0,(+$M21/((1+Title_RESULTS!$C$37)^('Sheet9(F_25)'!$A21-Title_RESULTS!$H$7))+N20)))</f>
        <v>884.860671624941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3164.368809949553</v>
      </c>
      <c r="F22">
        <f>IF(A22&gt;=(Title_RESULTS!$H$7+Title_RESULTS!$C$17),0,(+'f-11B'!$R21))</f>
        <v>0</v>
      </c>
      <c r="G22" s="5">
        <f>IF(A22&gt;=(Title_RESULTS!$H$7+Title_RESULTS!$C$17),0,(SUM(B22:F22)))</f>
        <v>3164.368809949553</v>
      </c>
      <c r="H22" s="5">
        <f>IF(A22&gt;=(Title_RESULTS!$H$7+Title_RESULTS!$C$17),0,(+'Sheet3(F_21)'!$J22+'Sheet4(F_22)'!$H22))</f>
        <v>3940.585452409322</v>
      </c>
      <c r="I22" s="5">
        <f>IF(A22&gt;=(Title_RESULTS!$H$7+Title_RESULTS!$C$17),0,(+'Sheet4(F_22)'!$D22+'Sheet4(F_22)'!$G22))</f>
        <v>335.75507460168325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4276.340527011005</v>
      </c>
      <c r="M22" s="23">
        <f>IF(A22&gt;=(Title_RESULTS!$H$7+Title_RESULTS!$C$17),0,(+L22-G22))</f>
        <v>1111.9717170614522</v>
      </c>
      <c r="N22" s="24">
        <f>(IF(A21&gt;=(Title_RESULTS!$H$7+Title_RESULTS!$C$17),0,(+$M22/((1+Title_RESULTS!$C$37)^('Sheet9(F_25)'!$A22-Title_RESULTS!$H$7))+N21)))</f>
        <v>1622.49915466876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3196.0124980490473</v>
      </c>
      <c r="F23">
        <f>IF(A23&gt;=(Title_RESULTS!$H$7+Title_RESULTS!$C$17),0,(+'f-11B'!$R22))</f>
        <v>0</v>
      </c>
      <c r="G23" s="5">
        <f>IF(A23&gt;=(Title_RESULTS!$H$7+Title_RESULTS!$C$17),0,(SUM(B23:F23)))</f>
        <v>3196.0124980490473</v>
      </c>
      <c r="H23" s="5">
        <f>IF(A23&gt;=(Title_RESULTS!$H$7+Title_RESULTS!$C$17),0,(+'Sheet3(F_21)'!$J23+'Sheet4(F_22)'!$H23))</f>
        <v>4150.167484379523</v>
      </c>
      <c r="I23" s="5">
        <f>IF(A23&gt;=(Title_RESULTS!$H$7+Title_RESULTS!$C$17),0,(+'Sheet4(F_22)'!$D23+'Sheet4(F_22)'!$G23))</f>
        <v>343.81319639212364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4493.980680771646</v>
      </c>
      <c r="M23" s="23">
        <f>IF(A23&gt;=(Title_RESULTS!$H$7+Title_RESULTS!$C$17),0,(+L23-G23))</f>
        <v>1297.9681827225986</v>
      </c>
      <c r="N23" s="24">
        <f>(IF(A22&gt;=(Title_RESULTS!$H$7+Title_RESULTS!$C$17),0,(+$M23/((1+Title_RESULTS!$C$37)^('Sheet9(F_25)'!$A23-Title_RESULTS!$H$7))+N22)))</f>
        <v>2426.590724706015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3227.972623029539</v>
      </c>
      <c r="F24">
        <f>IF(A24&gt;=(Title_RESULTS!$H$7+Title_RESULTS!$C$17),0,(+'f-11B'!$R23))</f>
        <v>0</v>
      </c>
      <c r="G24" s="5">
        <f>IF(A24&gt;=(Title_RESULTS!$H$7+Title_RESULTS!$C$17),0,(SUM(B24:F24)))</f>
        <v>3227.972623029539</v>
      </c>
      <c r="H24" s="5">
        <f>IF(A24&gt;=(Title_RESULTS!$H$7+Title_RESULTS!$C$17),0,(+'Sheet3(F_21)'!$J24+'Sheet4(F_22)'!$H24))</f>
        <v>4501.525813112934</v>
      </c>
      <c r="I24" s="5">
        <f>IF(A24&gt;=(Title_RESULTS!$H$7+Title_RESULTS!$C$17),0,(+'Sheet4(F_22)'!$D24+'Sheet4(F_22)'!$G24))</f>
        <v>352.0647131055346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4853.590526218469</v>
      </c>
      <c r="M24" s="23">
        <f>IF(A24&gt;=(Title_RESULTS!$H$7+Title_RESULTS!$C$17),0,(+L24-G24))</f>
        <v>1625.6179031889296</v>
      </c>
      <c r="N24" s="24">
        <f>(IF(A23&gt;=(Title_RESULTS!$H$7+Title_RESULTS!$C$17),0,(+$M24/((1+Title_RESULTS!$C$37)^('Sheet9(F_25)'!$A24-Title_RESULTS!$H$7))+N23)))</f>
        <v>3367.0750754339965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3260.252349259835</v>
      </c>
      <c r="F25">
        <f>IF(A25&gt;=(Title_RESULTS!$H$7+Title_RESULTS!$C$17),0,(+'f-11B'!$R24))</f>
        <v>0</v>
      </c>
      <c r="G25" s="5">
        <f>IF(A25&gt;=(Title_RESULTS!$H$7+Title_RESULTS!$C$17),0,(SUM(B25:F25)))</f>
        <v>3260.252349259835</v>
      </c>
      <c r="H25" s="5">
        <f>IF(A25&gt;=(Title_RESULTS!$H$7+Title_RESULTS!$C$17),0,(+'Sheet3(F_21)'!$J25+'Sheet4(F_22)'!$H25))</f>
        <v>4775.2068800852485</v>
      </c>
      <c r="I25" s="5">
        <f>IF(A25&gt;=(Title_RESULTS!$H$7+Title_RESULTS!$C$17),0,(+'Sheet4(F_22)'!$D25+'Sheet4(F_22)'!$G25))</f>
        <v>360.51426622006744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5135.721146305316</v>
      </c>
      <c r="M25" s="23">
        <f>IF(A25&gt;=(Title_RESULTS!$H$7+Title_RESULTS!$C$17),0,(+L25-G25))</f>
        <v>1875.4687970454816</v>
      </c>
      <c r="N25" s="24">
        <f>(IF(A24&gt;=(Title_RESULTS!$H$7+Title_RESULTS!$C$17),0,(+$M25/((1+Title_RESULTS!$C$37)^('Sheet9(F_25)'!$A25-Title_RESULTS!$H$7))+N24)))</f>
        <v>4380.366997249673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3292.854872752433</v>
      </c>
      <c r="F26">
        <f>IF(A26&gt;=(Title_RESULTS!$H$7+Title_RESULTS!$C$17),0,(+'f-11B'!$R25))</f>
        <v>0</v>
      </c>
      <c r="G26" s="5">
        <f>IF(A26&gt;=(Title_RESULTS!$H$7+Title_RESULTS!$C$17),0,(SUM(B26:F26)))</f>
        <v>3292.854872752433</v>
      </c>
      <c r="H26" s="5">
        <f>IF(A26&gt;=(Title_RESULTS!$H$7+Title_RESULTS!$C$17),0,(+'Sheet3(F_21)'!$J26+'Sheet4(F_22)'!$H26))</f>
        <v>5222.071361181441</v>
      </c>
      <c r="I26" s="5">
        <f>IF(A26&gt;=(Title_RESULTS!$H$7+Title_RESULTS!$C$17),0,(+'Sheet4(F_22)'!$D26+'Sheet4(F_22)'!$G26))</f>
        <v>369.16660860934905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5591.23796979079</v>
      </c>
      <c r="M26" s="23">
        <f>IF(A26&gt;=(Title_RESULTS!$H$7+Title_RESULTS!$C$17),0,(+L26-G26))</f>
        <v>2298.383097038357</v>
      </c>
      <c r="N26" s="24">
        <f>(IF(A25&gt;=(Title_RESULTS!$H$7+Title_RESULTS!$C$17),0,(+$M26/((1+Title_RESULTS!$C$37)^('Sheet9(F_25)'!$A26-Title_RESULTS!$H$7))+N25)))</f>
        <v>5540.048670429281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3325.783421479957</v>
      </c>
      <c r="F27">
        <f>IF(A27&gt;=(Title_RESULTS!$H$7+Title_RESULTS!$C$17),0,(+'f-11B'!$R26))</f>
        <v>0</v>
      </c>
      <c r="G27" s="5">
        <f>IF(A27&gt;=(Title_RESULTS!$H$7+Title_RESULTS!$C$17),0,(SUM(B27:F27)))</f>
        <v>3325.783421479957</v>
      </c>
      <c r="H27" s="5">
        <f>IF(A27&gt;=(Title_RESULTS!$H$7+Title_RESULTS!$C$17),0,(+'Sheet3(F_21)'!$J27+'Sheet4(F_22)'!$H27))</f>
        <v>5245.596955284675</v>
      </c>
      <c r="I27" s="5">
        <f>IF(A27&gt;=(Title_RESULTS!$H$7+Title_RESULTS!$C$17),0,(+'Sheet4(F_22)'!$D27+'Sheet4(F_22)'!$G27))</f>
        <v>378.0266072159735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5623.623562500648</v>
      </c>
      <c r="M27" s="23">
        <f>IF(A27&gt;=(Title_RESULTS!$H$7+Title_RESULTS!$C$17),0,(+L27-G27))</f>
        <v>2297.8401410206916</v>
      </c>
      <c r="N27" s="24">
        <f>(IF(A26&gt;=(Title_RESULTS!$H$7+Title_RESULTS!$C$17),0,(+$M27/((1+Title_RESULTS!$C$37)^('Sheet9(F_25)'!$A27-Title_RESULTS!$H$7))+N26)))</f>
        <v>6622.7977524685475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3359.041255694756</v>
      </c>
      <c r="F28">
        <f>IF(A28&gt;=(Title_RESULTS!$H$7+Title_RESULTS!$C$17),0,(+'f-11B'!$R27))</f>
        <v>0</v>
      </c>
      <c r="G28" s="5">
        <f>IF(A28&gt;=(Title_RESULTS!$H$7+Title_RESULTS!$C$17),0,(SUM(B28:F28)))</f>
        <v>3359.041255694756</v>
      </c>
      <c r="H28" s="5">
        <f>IF(A28&gt;=(Title_RESULTS!$H$7+Title_RESULTS!$C$17),0,(+'Sheet3(F_21)'!$J28+'Sheet4(F_22)'!$H28))</f>
        <v>5649.501421450584</v>
      </c>
      <c r="I28" s="5">
        <f>IF(A28&gt;=(Title_RESULTS!$H$7+Title_RESULTS!$C$17),0,(+'Sheet4(F_22)'!$D28+'Sheet4(F_22)'!$G28))</f>
        <v>387.09924578915684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6036.600667239741</v>
      </c>
      <c r="M28" s="23">
        <f>IF(A28&gt;=(Title_RESULTS!$H$7+Title_RESULTS!$C$17),0,(+L28-G28))</f>
        <v>2677.559411544985</v>
      </c>
      <c r="N28" s="24">
        <f>(IF(A27&gt;=(Title_RESULTS!$H$7+Title_RESULTS!$C$17),0,(+$M28/((1+Title_RESULTS!$C$37)^('Sheet9(F_25)'!$A28-Title_RESULTS!$H$7))+N27)))</f>
        <v>7801.051326682342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3392.6316682517036</v>
      </c>
      <c r="F29">
        <f>IF(A29&gt;=(Title_RESULTS!$H$7+Title_RESULTS!$C$17),0,(+'f-11B'!$R28))</f>
        <v>0</v>
      </c>
      <c r="G29" s="5">
        <f>IF(A29&gt;=(Title_RESULTS!$H$7+Title_RESULTS!$C$17),0,(SUM(B29:F29)))</f>
        <v>3392.6316682517036</v>
      </c>
      <c r="H29" s="5">
        <f>IF(A29&gt;=(Title_RESULTS!$H$7+Title_RESULTS!$C$17),0,(+'Sheet3(F_21)'!$J29+'Sheet4(F_22)'!$H29))</f>
        <v>5988.260417890323</v>
      </c>
      <c r="I29" s="5">
        <f>IF(A29&gt;=(Title_RESULTS!$H$7+Title_RESULTS!$C$17),0,(+'Sheet4(F_22)'!$D29+'Sheet4(F_22)'!$G29))</f>
        <v>396.3896276880966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6384.65004557842</v>
      </c>
      <c r="M29" s="23">
        <f>IF(A29&gt;=(Title_RESULTS!$H$7+Title_RESULTS!$C$17),0,(+L29-G29))</f>
        <v>2992.0183773267163</v>
      </c>
      <c r="N29" s="24">
        <f>(IF(A28&gt;=(Title_RESULTS!$H$7+Title_RESULTS!$C$17),0,(+$M29/((1+Title_RESULTS!$C$37)^('Sheet9(F_25)'!$A29-Title_RESULTS!$H$7))+N28)))</f>
        <v>9030.627797740486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3426.557984934221</v>
      </c>
      <c r="F30">
        <f>IF(A30&gt;=(Title_RESULTS!$H$7+Title_RESULTS!$C$17),0,(+'f-11B'!$R29))</f>
        <v>0</v>
      </c>
      <c r="G30" s="5">
        <f>IF(A30&gt;=(Title_RESULTS!$H$7+Title_RESULTS!$C$17),0,(SUM(B30:F30)))</f>
        <v>3426.557984934221</v>
      </c>
      <c r="H30" s="5">
        <f>IF(A30&gt;=(Title_RESULTS!$H$7+Title_RESULTS!$C$17),0,(+'Sheet3(F_21)'!$J30+'Sheet4(F_22)'!$H30))</f>
        <v>6233.604563204606</v>
      </c>
      <c r="I30" s="5">
        <f>IF(A30&gt;=(Title_RESULTS!$H$7+Title_RESULTS!$C$17),0,(+'Sheet4(F_22)'!$D30+'Sheet4(F_22)'!$G30))</f>
        <v>405.9029787526109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6639.507541957217</v>
      </c>
      <c r="M30" s="23">
        <f>IF(A30&gt;=(Title_RESULTS!$H$7+Title_RESULTS!$C$17),0,(+L30-G30))</f>
        <v>3212.9495570229956</v>
      </c>
      <c r="N30" s="24">
        <f>(IF(A29&gt;=(Title_RESULTS!$H$7+Title_RESULTS!$C$17),0,(+$M30/((1+Title_RESULTS!$C$37)^('Sheet9(F_25)'!$A30-Title_RESULTS!$H$7))+N29)))</f>
        <v>10263.695243305272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384.072</v>
      </c>
      <c r="D32" s="5">
        <f t="shared" si="1"/>
        <v>393.90000000000003</v>
      </c>
      <c r="E32" s="5">
        <f t="shared" si="1"/>
        <v>43488.14146738025</v>
      </c>
      <c r="F32" s="5">
        <f t="shared" si="1"/>
        <v>0</v>
      </c>
      <c r="G32" s="5">
        <f t="shared" si="1"/>
        <v>44266.11346738026</v>
      </c>
      <c r="H32" s="5">
        <f t="shared" si="1"/>
        <v>60190.26222682708</v>
      </c>
      <c r="I32" s="5">
        <f t="shared" si="1"/>
        <v>4893.093278193869</v>
      </c>
      <c r="J32" s="5">
        <f t="shared" si="1"/>
        <v>0</v>
      </c>
      <c r="K32" s="9">
        <f t="shared" si="1"/>
        <v>0</v>
      </c>
      <c r="L32" s="5">
        <f t="shared" si="1"/>
        <v>65083.35550502095</v>
      </c>
      <c r="M32" s="5">
        <f t="shared" si="1"/>
        <v>20817.24203764069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358.8491576370552</v>
      </c>
      <c r="D34" s="5">
        <f>NPV(Title_RESULTS!$C$37,'Sheet9(F_25)'!D17:D31)+'Sheet9(F_25)'!D16</f>
        <v>368.4298122092916</v>
      </c>
      <c r="E34" s="5">
        <f>NPV(Title_RESULTS!$C$37,'Sheet9(F_25)'!E17:E31)+'Sheet9(F_25)'!E16</f>
        <v>26323.1642150484</v>
      </c>
      <c r="F34" s="5">
        <f>NPV(Title_RESULTS!$C$37,'Sheet9(F_25)'!F17:F31)+'Sheet9(F_25)'!F16</f>
        <v>0</v>
      </c>
      <c r="G34" s="5">
        <f>NPV(Title_RESULTS!$C$37,'Sheet9(F_25)'!G17:G31)+'Sheet9(F_25)'!G16</f>
        <v>27050.443184894742</v>
      </c>
      <c r="H34" s="5">
        <f>NPV(Title_RESULTS!$C$37,'Sheet9(F_25)'!H17:H31)+'Sheet9(F_25)'!H16</f>
        <v>34350.58944619182</v>
      </c>
      <c r="I34" s="5">
        <f>NPV(Title_RESULTS!$C$37,'Sheet9(F_25)'!I17:I31)+'Sheet9(F_25)'!I16</f>
        <v>2963.5489820081925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37314.13842820002</v>
      </c>
      <c r="M34" s="5">
        <f>NPV(Title_RESULTS!$C$37,'Sheet9(F_25)'!M17:M31)+'Sheet9(F_25)'!M16</f>
        <v>10263.69524330527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1.37942798841228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7490.8620381895325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436.96363519999994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931.1895552000002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43.181753000020336</v>
      </c>
      <c r="P24" s="48">
        <f aca="true" t="shared" si="4" ref="P24:P61">N24*$L$5</f>
        <v>92.0222968907716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44.21811507202082</v>
      </c>
      <c r="P25" s="48">
        <f t="shared" si="4"/>
        <v>94.23083201615012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1030.6726687501073</v>
      </c>
      <c r="E26" s="11">
        <f>IF(B26=Title_RESULTS!$H$8,$F$16,+E25*(1+$F$7))</f>
        <v>0.09882230355451863</v>
      </c>
      <c r="F26" s="9">
        <f t="shared" si="1"/>
        <v>740.2642422229861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60.12211595171513</v>
      </c>
      <c r="L26" s="5">
        <f t="shared" si="3"/>
        <v>128.1229875917154</v>
      </c>
      <c r="N26" s="11">
        <f>IF(+B26=Title_RESULTS!$H$9,'Value of Defferal'!$O$16,+'Value of Defferal'!N25*(1+'Value of Defferal'!$F$7))</f>
        <v>0.10362269577198292</v>
      </c>
      <c r="O26" s="5">
        <f t="shared" si="7"/>
        <v>45.27934983374932</v>
      </c>
      <c r="P26" s="48">
        <f t="shared" si="4"/>
        <v>96.49237198453771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1000.2370242786409</v>
      </c>
      <c r="E27" s="11">
        <f>IF(B27=Title_RESULTS!$H$8,$F$16,+E26*(1+$F$7))</f>
        <v>0.10119403883982707</v>
      </c>
      <c r="F27" s="9">
        <f t="shared" si="1"/>
        <v>758.0305840363377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58.34671683475035</v>
      </c>
      <c r="L27" s="5">
        <f t="shared" si="3"/>
        <v>124.33953061531916</v>
      </c>
      <c r="N27" s="11">
        <f>IF(+B27=Title_RESULTS!$H$9,'Value of Defferal'!$O$16,+'Value of Defferal'!N26*(1+'Value of Defferal'!$F$7))</f>
        <v>0.10610964047051051</v>
      </c>
      <c r="O27" s="5">
        <f t="shared" si="7"/>
        <v>46.36605422975931</v>
      </c>
      <c r="P27" s="48">
        <f t="shared" si="4"/>
        <v>98.80818891216663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966.636294752047</v>
      </c>
      <c r="E28" s="11">
        <f>IF(B28=Title_RESULTS!$H$8,$F$16,+E27*(1+$F$7))</f>
        <v>0.10362269577198292</v>
      </c>
      <c r="F28" s="9">
        <f t="shared" si="1"/>
        <v>776.2233180532098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56.38668915776739</v>
      </c>
      <c r="L28" s="5">
        <f t="shared" si="3"/>
        <v>120.16262170647123</v>
      </c>
      <c r="N28" s="11">
        <f>IF(+B28=Title_RESULTS!$H$9,'Value of Defferal'!$O$16,+'Value of Defferal'!N27*(1+'Value of Defferal'!$F$7))</f>
        <v>0.10865627184180277</v>
      </c>
      <c r="O28" s="5">
        <f t="shared" si="7"/>
        <v>47.47883953127353</v>
      </c>
      <c r="P28" s="48">
        <f t="shared" si="4"/>
        <v>101.17958544605862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934.6448549506658</v>
      </c>
      <c r="E29" s="11">
        <f>IF(B29=Title_RESULTS!$H$8,$F$16,+E28*(1+$F$7))</f>
        <v>0.10610964047051051</v>
      </c>
      <c r="F29" s="9">
        <f t="shared" si="1"/>
        <v>794.8526776864869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54.52053600214579</v>
      </c>
      <c r="L29" s="5">
        <f t="shared" si="3"/>
        <v>116.1857637097572</v>
      </c>
      <c r="N29" s="11">
        <f>IF(+B29=Title_RESULTS!$H$9,'Value of Defferal'!$O$16,+'Value of Defferal'!N28*(1+'Value of Defferal'!$F$7))</f>
        <v>0.11126402236600604</v>
      </c>
      <c r="O29" s="5">
        <f t="shared" si="7"/>
        <v>48.6183316800241</v>
      </c>
      <c r="P29" s="48">
        <f t="shared" si="4"/>
        <v>103.60789549676403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904.1013301153487</v>
      </c>
      <c r="E30" s="11">
        <f>IF(B30=Title_RESULTS!$H$8,$F$16,+E29*(1+$F$7))</f>
        <v>0.10865627184180277</v>
      </c>
      <c r="F30" s="9">
        <f t="shared" si="1"/>
        <v>813.9291419509626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52.73884391172687</v>
      </c>
      <c r="L30" s="5">
        <f t="shared" si="3"/>
        <v>112.3888961181985</v>
      </c>
      <c r="N30" s="11">
        <f>IF(+B30=Title_RESULTS!$H$9,'Value of Defferal'!$O$16,+'Value of Defferal'!N29*(1+'Value of Defferal'!$F$7))</f>
        <v>0.11393435890279018</v>
      </c>
      <c r="O30" s="5">
        <f t="shared" si="7"/>
        <v>49.78517164034467</v>
      </c>
      <c r="P30" s="48">
        <f t="shared" si="4"/>
        <v>106.09448498868636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874.862176952046</v>
      </c>
      <c r="E31" s="11">
        <f>IF(B31=Title_RESULTS!$H$8,$F$16,+E30*(1+$F$7))</f>
        <v>0.11126402236600604</v>
      </c>
      <c r="F31" s="9">
        <f t="shared" si="1"/>
        <v>833.4634413577857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51.033239591253455</v>
      </c>
      <c r="L31" s="5">
        <f t="shared" si="3"/>
        <v>108.75417505542198</v>
      </c>
      <c r="N31" s="11">
        <f>IF(+B31=Title_RESULTS!$H$9,'Value of Defferal'!$O$16,+'Value of Defferal'!N30*(1+'Value of Defferal'!$F$7))</f>
        <v>0.11666878351645714</v>
      </c>
      <c r="O31" s="5">
        <f t="shared" si="7"/>
        <v>50.98001575971294</v>
      </c>
      <c r="P31" s="48">
        <f t="shared" si="4"/>
        <v>108.64075262841484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846.5333200820631</v>
      </c>
      <c r="E32" s="11">
        <f>IF(B32=Title_RESULTS!$H$8,$F$16,+E31*(1+$F$7))</f>
        <v>0.11393435890279018</v>
      </c>
      <c r="F32" s="9">
        <f t="shared" si="1"/>
        <v>853.4665639503726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49.38073548480218</v>
      </c>
      <c r="L32" s="5">
        <f t="shared" si="3"/>
        <v>105.23261298504919</v>
      </c>
      <c r="N32" s="11">
        <f>IF(+B32=Title_RESULTS!$H$9,'Value of Defferal'!$O$16,+'Value of Defferal'!N31*(1+'Value of Defferal'!$F$7))</f>
        <v>0.11946883432085212</v>
      </c>
      <c r="O32" s="5">
        <f t="shared" si="7"/>
        <v>52.20353613794606</v>
      </c>
      <c r="P32" s="48">
        <f t="shared" si="4"/>
        <v>111.2481306914968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818.4960076664543</v>
      </c>
      <c r="E33" s="11">
        <f>IF(B33=Title_RESULTS!$H$8,$F$16,+E32*(1+$F$7))</f>
        <v>0.11666878351645714</v>
      </c>
      <c r="F33" s="9">
        <f t="shared" si="1"/>
        <v>873.9497614851815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47.74523800909061</v>
      </c>
      <c r="L33" s="5">
        <f t="shared" si="3"/>
        <v>101.74729282507406</v>
      </c>
      <c r="N33" s="11">
        <f>IF(+B33=Title_RESULTS!$H$9,'Value of Defferal'!$O$16,+'Value of Defferal'!N32*(1+'Value of Defferal'!$F$7))</f>
        <v>0.12233608634455258</v>
      </c>
      <c r="O33" s="5">
        <f t="shared" si="7"/>
        <v>53.456421005256765</v>
      </c>
      <c r="P33" s="48">
        <f t="shared" si="4"/>
        <v>113.91808582809273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790.4586952508452</v>
      </c>
      <c r="E34" s="11">
        <f>IF(B34=Title_RESULTS!$H$8,$F$16,+E33*(1+$F$7))</f>
        <v>0.11946883432085212</v>
      </c>
      <c r="F34" s="9">
        <f t="shared" si="1"/>
        <v>894.9245557608259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46.10974053337904</v>
      </c>
      <c r="L34" s="5">
        <f t="shared" si="3"/>
        <v>98.26197266509891</v>
      </c>
      <c r="N34" s="11">
        <f>IF(+B34=Title_RESULTS!$H$9,'Value of Defferal'!$O$16,+'Value of Defferal'!N33*(1+'Value of Defferal'!$F$7))</f>
        <v>0.12527215241682185</v>
      </c>
      <c r="O34" s="5">
        <f t="shared" si="7"/>
        <v>54.739375109382934</v>
      </c>
      <c r="P34" s="48">
        <f t="shared" si="4"/>
        <v>116.65211988796698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762.421382835236</v>
      </c>
      <c r="E35" s="11">
        <f>IF(B35=Title_RESULTS!$H$8,$F$16,+E34*(1+$F$7))</f>
        <v>0.12233608634455258</v>
      </c>
      <c r="F35" s="9">
        <f t="shared" si="1"/>
        <v>916.4027450990858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44.47424305766747</v>
      </c>
      <c r="L35" s="5">
        <f t="shared" si="3"/>
        <v>94.77665250512378</v>
      </c>
      <c r="N35" s="11">
        <f>IF(+B35=Title_RESULTS!$H$9,'Value of Defferal'!$O$16,+'Value of Defferal'!N34*(1+'Value of Defferal'!$F$7))</f>
        <v>0.12827868407482557</v>
      </c>
      <c r="O35" s="5">
        <f t="shared" si="7"/>
        <v>56.05312011200812</v>
      </c>
      <c r="P35" s="48">
        <f t="shared" si="4"/>
        <v>119.45177076527817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734.3840704196272</v>
      </c>
      <c r="E36" s="11">
        <f>IF(B36=Title_RESULTS!$H$8,$F$16,+E35*(1+$F$7))</f>
        <v>0.12527215241682185</v>
      </c>
      <c r="F36" s="9">
        <f t="shared" si="1"/>
        <v>938.3964109814639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42.838745581955905</v>
      </c>
      <c r="L36" s="5">
        <f t="shared" si="3"/>
        <v>91.29133234514866</v>
      </c>
      <c r="N36" s="11">
        <f>IF(+B36=Title_RESULTS!$H$9,'Value of Defferal'!$O$16,+'Value of Defferal'!N35*(1+'Value of Defferal'!$F$7))</f>
        <v>0.1313573724926214</v>
      </c>
      <c r="O36" s="5">
        <f t="shared" si="7"/>
        <v>57.39839499469632</v>
      </c>
      <c r="P36" s="48">
        <f t="shared" si="4"/>
        <v>122.31861326364485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706.346758004018</v>
      </c>
      <c r="E37" s="11">
        <f>IF(B37&gt;Title_RESULTS!$H$8-1+Title_RESULTS!$C$18,0,+E36*(1+$F$7))</f>
        <v>0.12827868407482557</v>
      </c>
      <c r="F37" s="9">
        <f t="shared" si="1"/>
        <v>960.917924845019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41.20324810624433</v>
      </c>
      <c r="L37" s="5">
        <f t="shared" si="3"/>
        <v>87.80601218517351</v>
      </c>
      <c r="N37" s="11">
        <f>IF(+B37=Title_RESULTS!$H$9,'Value of Defferal'!$O$16,+'Value of Defferal'!N36*(1+'Value of Defferal'!$F$7))</f>
        <v>0.1345099494324443</v>
      </c>
      <c r="O37" s="5">
        <f t="shared" si="7"/>
        <v>58.77595647456903</v>
      </c>
      <c r="P37" s="48">
        <f t="shared" si="4"/>
        <v>125.25425998197233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678.309445588409</v>
      </c>
      <c r="E38" s="11">
        <f>IF(B38&gt;Title_RESULTS!$H$8-1+Title_RESULTS!$C$18,0,+E37*(1+$F$7))</f>
        <v>0.1313573724926214</v>
      </c>
      <c r="F38" s="9">
        <f t="shared" si="1"/>
        <v>983.9799550412995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39.56775063053275</v>
      </c>
      <c r="L38" s="5">
        <f t="shared" si="3"/>
        <v>84.32069202519835</v>
      </c>
      <c r="N38" s="11">
        <f>IF(+B38=Title_RESULTS!$H$9,'Value of Defferal'!$O$16,+'Value of Defferal'!N37*(1+'Value of Defferal'!$F$7))</f>
        <v>0.13773818821882297</v>
      </c>
      <c r="O38" s="5">
        <f t="shared" si="7"/>
        <v>60.18657942995869</v>
      </c>
      <c r="P38" s="48">
        <f t="shared" si="4"/>
        <v>128.26036222153968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650.2721331727998</v>
      </c>
      <c r="E39" s="11">
        <f>IF(B39&gt;Title_RESULTS!$H$8-1+Title_RESULTS!$C$18,0,+E38*(1+$F$7))</f>
        <v>0.1345099494324443</v>
      </c>
      <c r="F39" s="9">
        <f t="shared" si="1"/>
        <v>1007.5954739622906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37.932253154821176</v>
      </c>
      <c r="L39" s="5">
        <f t="shared" si="3"/>
        <v>80.83537186522321</v>
      </c>
      <c r="N39" s="11">
        <f>IF(+B39&gt;Title_RESULTS!$H$9+Title_RESULTS!$C$19-1,0,+'Value of Defferal'!N38*(1+'Value of Defferal'!$F$7))</f>
        <v>0.14104390473607473</v>
      </c>
      <c r="O39" s="5">
        <f t="shared" si="7"/>
        <v>61.6310573362777</v>
      </c>
      <c r="P39" s="48">
        <f t="shared" si="4"/>
        <v>131.33861091485662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622.234820757191</v>
      </c>
      <c r="E40" s="11">
        <f>IF(B40&gt;Title_RESULTS!$H$8-1+Title_RESULTS!$C$18,0,+E39*(1+$F$7))</f>
        <v>0.13773818821882297</v>
      </c>
      <c r="F40" s="9">
        <f t="shared" si="1"/>
        <v>1031.7777653373857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36.296755679109616</v>
      </c>
      <c r="L40" s="5">
        <f t="shared" si="3"/>
        <v>77.3500517052481</v>
      </c>
      <c r="N40" s="11">
        <f>IF(+B40&gt;Title_RESULTS!$H$9+Title_RESULTS!$C$19-1,0,+'Value of Defferal'!N39*(1+'Value of Defferal'!$F$7))</f>
        <v>0.14442895844974052</v>
      </c>
      <c r="O40" s="5">
        <f t="shared" si="7"/>
        <v>63.11020271234837</v>
      </c>
      <c r="P40" s="48">
        <f t="shared" si="4"/>
        <v>134.4907375768132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596.8303241634951</v>
      </c>
      <c r="E41" s="11">
        <f>IF(B41&gt;Title_RESULTS!$H$8-1+Title_RESULTS!$C$18,0,+E40*(1+$F$7))</f>
        <v>0.14104390473607473</v>
      </c>
      <c r="F41" s="9">
        <f t="shared" si="1"/>
        <v>1056.540431705483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34.81483796050612</v>
      </c>
      <c r="L41" s="5">
        <f t="shared" si="3"/>
        <v>74.19201705415458</v>
      </c>
      <c r="N41" s="11">
        <f>IF(+B41&gt;Title_RESULTS!$H$9+Title_RESULTS!$C$19-1,0,+'Value of Defferal'!N40*(1+'Value of Defferal'!$F$7))</f>
        <v>0.1478952534525343</v>
      </c>
      <c r="O41" s="5">
        <f t="shared" si="7"/>
        <v>64.62484757744473</v>
      </c>
      <c r="P41" s="48">
        <f t="shared" si="4"/>
        <v>137.7185152786567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576.6905676403707</v>
      </c>
      <c r="E42" s="11">
        <f>IF(B42&gt;Title_RESULTS!$H$8-1+Title_RESULTS!$C$18,0,+E41*(1+$F$7))</f>
        <v>0.14442895844974052</v>
      </c>
      <c r="F42" s="9">
        <f t="shared" si="1"/>
        <v>1081.8974020664145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33.640027748073706</v>
      </c>
      <c r="L42" s="5">
        <f t="shared" si="3"/>
        <v>71.68844258929403</v>
      </c>
      <c r="N42" s="11">
        <f>IF(+B42&gt;Title_RESULTS!$H$9+Title_RESULTS!$C$19-1,0,+'Value of Defferal'!N41*(1+'Value of Defferal'!$F$7))</f>
        <v>0.1514447395353951</v>
      </c>
      <c r="O42" s="5">
        <f t="shared" si="7"/>
        <v>66.1758439193034</v>
      </c>
      <c r="P42" s="48">
        <f t="shared" si="4"/>
        <v>141.02375964534446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559.1827353659046</v>
      </c>
      <c r="E43" s="11">
        <f>IF(B43&gt;Title_RESULTS!$H$8-1+Title_RESULTS!$C$18,0,+E42*(1+$F$7))</f>
        <v>0.1478952534525343</v>
      </c>
      <c r="F43" s="9">
        <f t="shared" si="1"/>
        <v>1107.8629397160084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32.618745284704296</v>
      </c>
      <c r="L43" s="5">
        <f t="shared" si="3"/>
        <v>69.51204280178484</v>
      </c>
      <c r="N43" s="11">
        <f>IF(+B43&gt;Title_RESULTS!$H$9+Title_RESULTS!$C$19-1,0,+'Value of Defferal'!N42*(1+'Value of Defferal'!$F$7))</f>
        <v>0.1550794132842446</v>
      </c>
      <c r="O43" s="5">
        <f t="shared" si="7"/>
        <v>67.76406417336668</v>
      </c>
      <c r="P43" s="48">
        <f t="shared" si="4"/>
        <v>144.40832987683274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541.6749030914385</v>
      </c>
      <c r="E44" s="11">
        <f>IF(B44&gt;Title_RESULTS!$H$8-1+Title_RESULTS!$C$18,0,+E43*(1+$F$7))</f>
        <v>0.1514447395353951</v>
      </c>
      <c r="F44" s="9">
        <f t="shared" si="1"/>
        <v>1134.4516502691927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31.597462821334894</v>
      </c>
      <c r="L44" s="5">
        <f t="shared" si="3"/>
        <v>67.33564301427568</v>
      </c>
      <c r="N44" s="11">
        <f>IF(+B44&gt;Title_RESULTS!$H$9+Title_RESULTS!$C$19-1,0,+'Value of Defferal'!N43*(1+'Value of Defferal'!$F$7))</f>
        <v>0.15880131920306648</v>
      </c>
      <c r="O44" s="5">
        <f t="shared" si="7"/>
        <v>69.39040171352748</v>
      </c>
      <c r="P44" s="48">
        <f t="shared" si="4"/>
        <v>147.87412979387673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524.1670708169722</v>
      </c>
      <c r="E45" s="11">
        <f>IF(B45&gt;Title_RESULTS!$H$8-1+Title_RESULTS!$C$18,0,+E44*(1+$F$7))</f>
        <v>0.1550794132842446</v>
      </c>
      <c r="F45" s="9">
        <f t="shared" si="1"/>
        <v>1161.6784898756534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30.576180357965473</v>
      </c>
      <c r="L45" s="5">
        <f t="shared" si="3"/>
        <v>65.15924322676648</v>
      </c>
      <c r="N45" s="11">
        <f>IF(+B45&gt;Title_RESULTS!$H$9+Title_RESULTS!$C$19-1,0,+'Value of Defferal'!N44*(1+'Value of Defferal'!$F$7))</f>
        <v>0.16261255086394008</v>
      </c>
      <c r="O45" s="5">
        <f t="shared" si="7"/>
        <v>71.05577135465215</v>
      </c>
      <c r="P45" s="48">
        <f t="shared" si="4"/>
        <v>151.42310890892978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506.65923854250616</v>
      </c>
      <c r="E46" s="11">
        <f>IF(B46&gt;Title_RESULTS!$H$8-1+Title_RESULTS!$C$18,0,+E45*(1+$F$7))</f>
        <v>0.15880131920306648</v>
      </c>
      <c r="F46" s="9">
        <f t="shared" si="1"/>
        <v>1189.558773632669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29.554897894596063</v>
      </c>
      <c r="L46" s="5">
        <f t="shared" si="3"/>
        <v>62.98284343925729</v>
      </c>
      <c r="N46" s="11">
        <f>IF(+B46&gt;Title_RESULTS!$H$9+Title_RESULTS!$C$19-1,0,+'Value of Defferal'!N45*(1+'Value of Defferal'!$F$7))</f>
        <v>0.16651525208467466</v>
      </c>
      <c r="O46" s="5">
        <f t="shared" si="7"/>
        <v>72.76110986716381</v>
      </c>
      <c r="P46" s="48">
        <f t="shared" si="4"/>
        <v>155.0572635227441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489.15140626804015</v>
      </c>
      <c r="E47" s="11">
        <f>IF(B47&gt;Title_RESULTS!$H$8-1+Title_RESULTS!$C$18,0,+E46*(1+$F$7))</f>
        <v>0.16261255086394008</v>
      </c>
      <c r="F47" s="9">
        <f t="shared" si="1"/>
        <v>1218.1081841998532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28.53361543122666</v>
      </c>
      <c r="L47" s="5">
        <f t="shared" si="3"/>
        <v>60.80644365174812</v>
      </c>
      <c r="N47" s="11">
        <f>IF(+B47&gt;Title_RESULTS!$H$9+Title_RESULTS!$C$19-1,0,+'Value of Defferal'!N46*(1+'Value of Defferal'!$F$7))</f>
        <v>0.17051161813470686</v>
      </c>
      <c r="O47" s="5">
        <f t="shared" si="7"/>
        <v>74.50737650397575</v>
      </c>
      <c r="P47" s="48">
        <f t="shared" si="4"/>
        <v>158.77863784728996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471.643573993574</v>
      </c>
      <c r="E48" s="11">
        <f>IF(B48&gt;Title_RESULTS!$H$8-1+Title_RESULTS!$C$18,0,+E47*(1+$F$7))</f>
        <v>0.16651525208467466</v>
      </c>
      <c r="F48" s="9">
        <f t="shared" si="1"/>
        <v>1247.3427806206498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27.512332967857255</v>
      </c>
      <c r="L48" s="5">
        <f t="shared" si="3"/>
        <v>58.630043864238935</v>
      </c>
      <c r="N48" s="11">
        <f>IF(+B48&gt;Title_RESULTS!$H$9+Title_RESULTS!$C$19-1,0,+'Value of Defferal'!N47*(1+'Value of Defferal'!$F$7))</f>
        <v>0.17460389696993983</v>
      </c>
      <c r="O48" s="5">
        <f t="shared" si="7"/>
        <v>76.29555354007117</v>
      </c>
      <c r="P48" s="48">
        <f t="shared" si="4"/>
        <v>162.58932515562495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454.1357417191078</v>
      </c>
      <c r="E49" s="11">
        <f>IF(B49&gt;Title_RESULTS!$H$8-1+Title_RESULTS!$C$18,0,+E48*(1+$F$7))</f>
        <v>0.17051161813470686</v>
      </c>
      <c r="F49" s="9">
        <f t="shared" si="1"/>
        <v>1277.2790073555454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26.491050504487838</v>
      </c>
      <c r="L49" s="5">
        <f t="shared" si="3"/>
        <v>56.45364407672974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436.62790944464166</v>
      </c>
      <c r="E50" s="11">
        <f>IF(B50&gt;Title_RESULTS!$H$8-1+Title_RESULTS!$C$18,0,+E49*(1+$F$7))</f>
        <v>0.17460389696993983</v>
      </c>
      <c r="F50" s="9">
        <f t="shared" si="1"/>
        <v>1307.9337035320787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25.469768041118428</v>
      </c>
      <c r="L50" s="5">
        <f t="shared" si="3"/>
        <v>54.277244289220555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419.1200771701756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24.44848557774902</v>
      </c>
      <c r="L51" s="5">
        <f t="shared" si="3"/>
        <v>52.10084450171138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17896.494531791723</v>
      </c>
      <c r="F63" s="9">
        <f>SUM(F23:F61)</f>
        <v>24960.827924744237</v>
      </c>
      <c r="J63" t="s">
        <v>87</v>
      </c>
      <c r="K63" s="9">
        <f>SUM(K23:K61)</f>
        <v>1043.9542562765816</v>
      </c>
      <c r="O63" s="9">
        <f>SUM(O23:O61)</f>
        <v>1456.0372427088544</v>
      </c>
    </row>
    <row r="64" spans="3:15" ht="12.75">
      <c r="C64" t="s">
        <v>89</v>
      </c>
      <c r="D64" s="9">
        <f>NPV(+Title_RESULTS!$C$37,'Value of Defferal'!D24:D61)+'Value of Defferal'!D23</f>
        <v>7990.893044595242</v>
      </c>
      <c r="F64" s="9">
        <f>NPV(+Title_RESULTS!$C$37,'Value of Defferal'!F24:F61)+'Value of Defferal'!F23</f>
        <v>9281.572819364088</v>
      </c>
      <c r="J64" t="s">
        <v>89</v>
      </c>
      <c r="K64" s="9">
        <f>NPV(+Title_RESULTS!$C$37,'Value of Defferal'!K24:K61)+'Value of Defferal'!K23</f>
        <v>466.13188915499603</v>
      </c>
      <c r="O64" s="9">
        <f>NPV(+Title_RESULTS!$C$37,'Value of Defferal'!O24:O61)+'Value of Defferal'!O23</f>
        <v>620.8001290901757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4.089005697490291</v>
      </c>
      <c r="C25" t="s">
        <v>372</v>
      </c>
    </row>
    <row r="26" spans="2:3" ht="18">
      <c r="B26" s="15">
        <f>+((Input!$C$6*'EUE_Line Losses'!C4)+(Input!$C$7*'EUE_Line Losses'!C3))/'EUE_Line Losses'!C22</f>
        <v>4.0758153565306445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3.59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3.68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25824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3511.9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131.3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HVAC Improved Controls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43599.32309733796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3.68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4.0758153565306445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27240.506329113927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25824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3511.9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131.3</v>
      </c>
      <c r="D39" s="13" t="s">
        <v>189</v>
      </c>
      <c r="G39" s="20" t="s">
        <v>346</v>
      </c>
      <c r="H39" s="79">
        <f>+'Sheet7(F_23)'!H36</f>
        <v>3.57715316738843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38113.58872669544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1.37942798841228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2019-05-14T11:45:17Z</dcterms:created>
  <dcterms:modified xsi:type="dcterms:W3CDTF">2019-05-14T11:45:18Z</dcterms:modified>
  <cp:category/>
  <cp:version/>
  <cp:contentType/>
  <cp:contentStatus/>
</cp:coreProperties>
</file>