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<sst xmlns="http://schemas.openxmlformats.org/spreadsheetml/2006/main" count="1258" uniqueCount="468">
  <si>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</si>
  <si>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</si>
  <si>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</si>
  <si>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</si>
  <si>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</si>
  <si>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</si>
  <si>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</si>
  <si>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</si>
  <si>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</si>
  <si>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</si>
  <si>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</si>
  <si>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</si>
  <si>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</si>
  <si>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</si>
  <si>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</si>
  <si>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</si>
  <si>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</si>
  <si>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</si>
  <si>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</si>
  <si>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</si>
  <si>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</si>
  <si>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</si>
  <si>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</si>
  <si>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</si>
  <si>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</si>
  <si>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</si>
  <si>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</si>
  <si>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</si>
  <si>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</si>
  <si>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</si>
  <si>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</si>
  <si>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</si>
  <si>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</si>
  <si>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</si>
  <si>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</si>
  <si>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</si>
  <si>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</si>
  <si>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</si>
  <si>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</si>
  <si>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</si>
  <si>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</si>
  <si>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</si>
  <si>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</si>
  <si>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</si>
  <si>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</si>
  <si>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</si>
  <si>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</si>
  <si>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</si>
  <si>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</si>
  <si>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</si>
  <si>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</si>
  <si>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</si>
  <si>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</si>
  <si>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</si>
  <si>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</si>
  <si>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</si>
  <si>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</si>
  <si>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</si>
  <si>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</si>
  <si>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</si>
  <si>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</si>
  <si>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</si>
  <si>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</si>
  <si>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</si>
  <si>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</si>
  <si>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</si>
  <si>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</si>
  <si>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</si>
  <si>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</si>
  <si>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</si>
  <si>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</si>
  <si>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</si>
  <si>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</si>
  <si>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</si>
  <si>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</si>
  <si>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</si>
  <si>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</si>
  <si>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</si>
  <si>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</si>
  <si>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</si>
  <si>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</si>
  <si>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</si>
  <si>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</si>
  <si>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</si>
  <si>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</si>
  <si>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</si>
  <si>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</si>
  <si>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</si>
  <si>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</si>
  <si>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</si>
  <si>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</si>
  <si>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</si>
  <si>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</si>
  <si>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</si>
  <si>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</si>
  <si>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</si>
  <si>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</si>
  <si>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</si>
  <si>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</si>
  <si>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</si>
  <si>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</si>
  <si>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</si>
  <si>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</si>
  <si>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</si>
  <si>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</si>
  <si>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</si>
  <si>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</si>
  <si>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</si>
  <si>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</si>
  <si>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</si>
  <si>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</si>
  <si>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</si>
  <si>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</si>
  <si>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</si>
  <si>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</si>
  <si>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</si>
  <si>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</si>
  <si>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</si>
  <si>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</si>
  <si>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</si>
  <si>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</si>
  <si>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</si>
  <si>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</si>
  <si>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</si>
  <si>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</si>
  <si>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</si>
  <si>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</si>
  <si>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</si>
  <si>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</si>
  <si>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</si>
  <si>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</si>
  <si>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</si>
  <si>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</si>
  <si>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</si>
  <si>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</si>
  <si>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</si>
  <si>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</si>
  <si>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</si>
  <si>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</si>
  <si>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</si>
  <si>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</si>
  <si>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</si>
  <si>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</si>
  <si>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</si>
  <si>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</si>
  <si>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</si>
  <si>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</si>
  <si>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</si>
  <si>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</si>
  <si>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</si>
  <si>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</si>
  <si>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</si>
  <si>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</si>
  <si>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</si>
  <si>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</si>
  <si>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</si>
  <si>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</si>
  <si>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</si>
  <si>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</si>
  <si>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</si>
  <si>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</si>
  <si>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</si>
  <si>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</si>
  <si>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</si>
  <si>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</si>
  <si>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</si>
  <si>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</si>
  <si>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</si>
  <si>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</si>
  <si>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</si>
  <si>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</si>
  <si>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</si>
  <si>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</si>
  <si>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</si>
  <si>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</si>
  <si>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</si>
  <si>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</si>
  <si>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</si>
  <si>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</si>
  <si>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</si>
  <si>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</si>
  <si>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</si>
  <si>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</si>
  <si>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</si>
  <si>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</si>
  <si>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</si>
  <si>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</si>
  <si>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</si>
  <si>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</si>
  <si>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</si>
  <si>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</si>
  <si>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</si>
  <si>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</si>
  <si>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</si>
  <si>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</si>
  <si>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</si>
  <si>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</si>
  <si>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</si>
  <si>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</si>
  <si>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</si>
  <si>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</si>
  <si>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</si>
  <si>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</si>
  <si>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</si>
  <si>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</si>
  <si>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</si>
  <si>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</si>
  <si>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</si>
  <si>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</si>
  <si>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</si>
  <si>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</si>
  <si>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</si>
  <si>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</si>
  <si>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</si>
  <si>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</si>
  <si>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</si>
  <si>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</si>
  <si>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</si>
  <si>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</si>
  <si>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</si>
  <si>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</si>
  <si>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</si>
  <si>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</si>
  <si>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</si>
  <si>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</si>
  <si>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</si>
  <si>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</si>
  <si>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</si>
  <si>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</si>
  <si>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</si>
  <si>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</si>
  <si>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</si>
  <si>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</si>
  <si>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</si>
  <si>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</si>
  <si>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</si>
  <si>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</si>
  <si>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</si>
  <si>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</si>
  <si>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</si>
  <si>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</si>
  <si>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</si>
  <si>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</si>
  <si>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</si>
  <si>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</si>
  <si>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</si>
  <si>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</si>
  <si>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</si>
  <si>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</si>
  <si>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</si>
  <si>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</si>
  <si>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</si>
  <si>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</si>
  <si>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</si>
  <si>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</si>
  <si>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</si>
  <si>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</si>
  <si>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</si>
  <si>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</si>
  <si>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</si>
  <si>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</si>
  <si>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</si>
  <si>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</si>
  <si>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</si>
  <si>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</si>
  <si>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</si>
  <si>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</si>
  <si>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</si>
  <si>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</si>
  <si>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</si>
  <si>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</si>
  <si>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</si>
  <si>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</si>
  <si>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</si>
  <si>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</si>
  <si>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</si>
  <si>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</si>
  <si>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</si>
  <si>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</si>
  <si>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</si>
  <si>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</si>
  <si>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</si>
  <si>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</si>
  <si>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</si>
  <si>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</si>
  <si>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</si>
  <si>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</si>
  <si>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</si>
  <si>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</si>
  <si>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</si>
  <si>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</si>
  <si>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</si>
  <si>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</si>
  <si>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</si>
  <si>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</si>
  <si>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</si>
  <si>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</si>
  <si>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</si>
  <si>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</si>
  <si>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</si>
  <si>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</si>
  <si>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</si>
  <si>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</si>
  <si>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</si>
  <si>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</si>
  <si>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</si>
  <si>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</si>
  <si>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</si>
  <si>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</si>
  <si>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</si>
  <si>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</si>
  <si>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</si>
  <si>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</si>
  <si>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</si>
  <si>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</si>
  <si>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</si>
  <si>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</si>
  <si>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</si>
  <si>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</si>
  <si>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</si>
  <si>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</si>
  <si>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</si>
  <si>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</si>
  <si>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</si>
  <si>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</si>
  <si>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</si>
  <si>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</si>
  <si>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</si>
  <si>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</si>
  <si>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</si>
  <si>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</si>
  <si>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</si>
  <si>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</si>
  <si>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</si>
  <si>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</si>
  <si>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</si>
  <si>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</si>
  <si>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</si>
  <si>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</si>
  <si>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</si>
  <si>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</si>
  <si>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</si>
  <si>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</si>
  <si>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</si>
  <si>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</si>
  <si>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</si>
  <si>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</si>
  <si>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</si>
  <si>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</si>
  <si>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</si>
  <si>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</si>
  <si>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</si>
  <si>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</si>
  <si>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</si>
  <si>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</si>
  <si>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</si>
  <si>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</si>
  <si>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</si>
  <si>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</si>
  <si>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</si>
  <si>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</si>
  <si>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</si>
  <si>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</si>
  <si>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</si>
  <si>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</si>
  <si>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</si>
  <si>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</si>
  <si>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</si>
  <si>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</si>
  <si>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</si>
  <si>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</si>
  <si>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</si>
  <si>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</si>
  <si>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</si>
  <si>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</si>
  <si>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</si>
  <si>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</si>
  <si>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</si>
  <si>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</si>
  <si>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</si>
  <si>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</si>
  <si>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</si>
  <si>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</si>
  <si>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</si>
  <si>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</si>
  <si>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</si>
  <si>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</si>
  <si>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</si>
  <si>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</si>
  <si>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</si>
  <si>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</si>
  <si>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</si>
  <si>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</si>
  <si>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</si>
  <si>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</si>
  <si>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</si>
  <si>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</si>
  <si>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</si>
  <si>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</si>
  <si>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</si>
  <si>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</si>
  <si>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</si>
  <si>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</si>
  <si>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</si>
  <si>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</si>
  <si>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</si>
  <si>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</si>
  <si>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</si>
  <si>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</si>
  <si>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</si>
  <si>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</si>
  <si>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</si>
  <si>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</si>
  <si>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</si>
  <si>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</si>
  <si>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</si>
  <si>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</si>
  <si>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</si>
  <si>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</si>
  <si>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</si>
  <si>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</si>
  <si>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</si>
  <si>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</si>
  <si>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</si>
  <si>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</si>
  <si>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</si>
  <si>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</si>
  <si>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</si>
  <si>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</si>
  <si>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</si>
  <si>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</si>
  <si>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</si>
  <si>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</si>
  <si>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</si>
  <si>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</si>
  <si>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</si>
  <si>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</si>
  <si>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</si>
  <si>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</si>
  <si>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</si>
  <si>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</si>
  <si>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</si>
  <si>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</si>
  <si>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</si>
  <si>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</si>
  <si>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</si>
  <si>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</si>
  <si>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</si>
  <si>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</si>
  <si>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</si>
  <si>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</si>
  <si>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</si>
  <si>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</si>
  <si>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</si>
  <si>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</si>
  <si>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</si>
  <si>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</si>
  <si>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</si>
  <si>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</si>
  <si>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</si>
  <si>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</si>
  <si>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</si>
  <si>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</si>
  <si>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</si>
  <si>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</si>
  <si>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</si>
  <si>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</si>
  <si>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Lighting Controls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</si>
</sst>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43599.32328159722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7172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43599.32328159722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Lighting Controls</v>
      </c>
      <c r="J2" t="s">
        <v>55</v>
      </c>
    </row>
    <row r="3" ht="12.75">
      <c r="J3" s="35">
        <f>+Title_RESULTS!I4</f>
        <v>43599.32328159722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7172</v>
      </c>
      <c r="H5" t="s">
        <v>59</v>
      </c>
    </row>
    <row r="6" spans="3:7" ht="12.75">
      <c r="C6" t="s">
        <v>61</v>
      </c>
      <c r="G6" s="36">
        <f>+'Value of Defferal'!E3</f>
        <v>4393.920220650636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434.2173178394746</v>
      </c>
      <c r="D19" s="5">
        <f>IF((Title_RESULTS!$H$8-Title_RESULTS!$H$7)&lt;=('Sheet3(F_21)'!A19-Title_RESULTS!$H$7),((Title_RESULTS!$C$8*Partcipation!$C$26*8760*Title_RESULTS!$H$21/100000)),0)</f>
        <v>5717.303074333802</v>
      </c>
      <c r="E19" s="5">
        <f>IF($G19=0,0,((Title_RESULTS!$H$14*((1+Title_RESULTS!$H$15/100)^($A19-Title_RESULTS!$H$7))*'EUE_Line Losses'!$B$25*Partcipation!$C$26))/1000)</f>
        <v>45.041967758852834</v>
      </c>
      <c r="F19" s="5">
        <f>IF($G19=0,0,(Title_RESULTS!$H$19/100*((1+Title_RESULTS!$H$20/100)^($A19-Title_RESULTS!$H$7))*$D19*1000)/1000)</f>
        <v>12.891705605931566</v>
      </c>
      <c r="G19" s="5">
        <f>(+Title_RESULTS!$H$22/100*((1+Title_RESULTS!$H$23/100)^(+'Sheet4(F_22)'!A19-Title_RESULTS!$H$7)))*'Sheet3(F_21)'!D19</f>
        <v>244.94578456578458</v>
      </c>
      <c r="H19" s="5">
        <f>IF($G19=0,0,(($D19))*(Partcipation!$G19/100))</f>
        <v>181.38873404980353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555.7080417202401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444.638533467622</v>
      </c>
      <c r="D20" s="5">
        <f>IF((Title_RESULTS!$H$8-Title_RESULTS!$H$7)&lt;=('Sheet3(F_21)'!A20-Title_RESULTS!$H$7),((Title_RESULTS!$C$8*Partcipation!$C$26*8760*Title_RESULTS!$H$21/100000)),0)</f>
        <v>5717.303074333802</v>
      </c>
      <c r="E20" s="5">
        <f>IF($G20=0,0,((Title_RESULTS!$H$14*((1+Title_RESULTS!$H$15/100)^($A20-Title_RESULTS!$H$7))*'EUE_Line Losses'!$B$25*Partcipation!$C$26))/1000)</f>
        <v>46.122974985065305</v>
      </c>
      <c r="F20" s="5">
        <f>IF($G20=0,0,(Title_RESULTS!$H$19/100*((1+Title_RESULTS!$H$20/100)^($A20-Title_RESULTS!$H$7))*$D20*1000)/1000)</f>
        <v>13.201106540473923</v>
      </c>
      <c r="G20" s="5">
        <f>(+Title_RESULTS!$H$22/100*((1+Title_RESULTS!$H$23/100)^(+'Sheet4(F_22)'!A20-Title_RESULTS!$H$7)))*'Sheet3(F_21)'!D20</f>
        <v>256.0663231850712</v>
      </c>
      <c r="H20" s="5">
        <f>IF($G20=0,0,(($D20))*(Partcipation!$G20/100))</f>
        <v>189.50305072884558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570.5258874493869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455.3098582708449</v>
      </c>
      <c r="D21" s="5">
        <f>IF((Title_RESULTS!$H$8-Title_RESULTS!$H$7)&lt;=('Sheet3(F_21)'!A21-Title_RESULTS!$H$7),((Title_RESULTS!$C$8*Partcipation!$C$26*8760*Title_RESULTS!$H$21/100000)),0)</f>
        <v>5717.303074333802</v>
      </c>
      <c r="E21" s="5">
        <f>IF($G21=0,0,((Title_RESULTS!$H$14*((1+Title_RESULTS!$H$15/100)^($A21-Title_RESULTS!$H$7))*'EUE_Line Losses'!$B$25*Partcipation!$C$26))/1000)</f>
        <v>47.22992638470687</v>
      </c>
      <c r="F21" s="5">
        <f>IF($G21=0,0,(Title_RESULTS!$H$19/100*((1+Title_RESULTS!$H$20/100)^($A21-Title_RESULTS!$H$7))*$D21*1000)/1000)</f>
        <v>13.5179330974453</v>
      </c>
      <c r="G21" s="5">
        <f>(+Title_RESULTS!$H$22/100*((1+Title_RESULTS!$H$23/100)^(+'Sheet4(F_22)'!A21-Title_RESULTS!$H$7)))*'Sheet3(F_21)'!D21</f>
        <v>267.6917342576735</v>
      </c>
      <c r="H21" s="5">
        <f>IF($G21=0,0,(($D21))*(Partcipation!$G21/100))</f>
        <v>197.0127369979901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586.7367150126804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466.2372948693452</v>
      </c>
      <c r="D22" s="5">
        <f>IF((Title_RESULTS!$H$8-Title_RESULTS!$H$7)&lt;=('Sheet3(F_21)'!A22-Title_RESULTS!$H$7),((Title_RESULTS!$C$8*Partcipation!$C$26*8760*Title_RESULTS!$H$21/100000)),0)</f>
        <v>5717.303074333802</v>
      </c>
      <c r="E22" s="5">
        <f>IF($G22=0,0,((Title_RESULTS!$H$14*((1+Title_RESULTS!$H$15/100)^($A22-Title_RESULTS!$H$7))*'EUE_Line Losses'!$B$25*Partcipation!$C$26))/1000)</f>
        <v>48.36344461793983</v>
      </c>
      <c r="F22" s="5">
        <f>IF($G22=0,0,(Title_RESULTS!$H$19/100*((1+Title_RESULTS!$H$20/100)^($A22-Title_RESULTS!$H$7))*$D22*1000)/1000)</f>
        <v>13.842363491783985</v>
      </c>
      <c r="G22" s="5">
        <f>(+Title_RESULTS!$H$22/100*((1+Title_RESULTS!$H$23/100)^(+'Sheet4(F_22)'!A22-Title_RESULTS!$H$7)))*'Sheet3(F_21)'!D22</f>
        <v>279.8449389929719</v>
      </c>
      <c r="H22" s="5">
        <f>IF($G22=0,0,(($D22))*(Partcipation!$G22/100))</f>
        <v>203.39602009576427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604.8920218762767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477.4269899462095</v>
      </c>
      <c r="D23" s="5">
        <f>IF((Title_RESULTS!$H$8-Title_RESULTS!$H$7)&lt;=('Sheet3(F_21)'!A23-Title_RESULTS!$H$7),((Title_RESULTS!$C$8*Partcipation!$C$26*8760*Title_RESULTS!$H$21/100000)),0)</f>
        <v>5717.303074333802</v>
      </c>
      <c r="E23" s="5">
        <f>IF($G23=0,0,((Title_RESULTS!$H$14*((1+Title_RESULTS!$H$15/100)^($A23-Title_RESULTS!$H$7))*'EUE_Line Losses'!$B$25*Partcipation!$C$26))/1000)</f>
        <v>49.5241672887704</v>
      </c>
      <c r="F23" s="5">
        <f>IF($G23=0,0,(Title_RESULTS!$H$19/100*((1+Title_RESULTS!$H$20/100)^($A23-Title_RESULTS!$H$7))*$D23*1000)/1000)</f>
        <v>14.1745802155868</v>
      </c>
      <c r="G23" s="5">
        <f>(+Title_RESULTS!$H$22/100*((1+Title_RESULTS!$H$23/100)^(+'Sheet4(F_22)'!A23-Title_RESULTS!$H$7)))*'Sheet3(F_21)'!D23</f>
        <v>292.54989922325285</v>
      </c>
      <c r="H23" s="5">
        <f>IF($G23=0,0,(($D23))*(Partcipation!$G23/100))</f>
        <v>212.49995861187696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621.1756780619426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488.88523770491855</v>
      </c>
      <c r="D24" s="5">
        <f>IF((Title_RESULTS!$H$8-Title_RESULTS!$H$7)&lt;=('Sheet3(F_21)'!A24-Title_RESULTS!$H$7),((Title_RESULTS!$C$8*Partcipation!$C$26*8760*Title_RESULTS!$H$21/100000)),0)</f>
        <v>5717.303074333802</v>
      </c>
      <c r="E24" s="5">
        <f>IF($G24=0,0,((Title_RESULTS!$H$14*((1+Title_RESULTS!$H$15/100)^($A24-Title_RESULTS!$H$7))*'EUE_Line Losses'!$B$25*Partcipation!$C$26))/1000)</f>
        <v>50.71274730370087</v>
      </c>
      <c r="F24" s="5">
        <f>IF($G24=0,0,(Title_RESULTS!$H$19/100*((1+Title_RESULTS!$H$20/100)^($A24-Title_RESULTS!$H$7))*$D24*1000)/1000)</f>
        <v>14.514770140760884</v>
      </c>
      <c r="G24" s="5">
        <f>(+Title_RESULTS!$H$22/100*((1+Title_RESULTS!$H$23/100)^(+'Sheet4(F_22)'!A24-Title_RESULTS!$H$7)))*'Sheet3(F_21)'!D24</f>
        <v>305.8316646479886</v>
      </c>
      <c r="H24" s="5">
        <f>IF($G24=0,0,(($D24))*(Partcipation!$G24/100))</f>
        <v>228.70613835175345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631.2382814456155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500.6184834098366</v>
      </c>
      <c r="D25" s="5">
        <f>IF((Title_RESULTS!$H$8-Title_RESULTS!$H$7)&lt;=('Sheet3(F_21)'!A25-Title_RESULTS!$H$7),((Title_RESULTS!$C$8*Partcipation!$C$26*8760*Title_RESULTS!$H$21/100000)),0)</f>
        <v>5717.303074333802</v>
      </c>
      <c r="E25" s="5">
        <f>IF($G25=0,0,((Title_RESULTS!$H$14*((1+Title_RESULTS!$H$15/100)^($A25-Title_RESULTS!$H$7))*'EUE_Line Losses'!$B$25*Partcipation!$C$26))/1000)</f>
        <v>51.92985323898969</v>
      </c>
      <c r="F25" s="5">
        <f>IF($G25=0,0,(Title_RESULTS!$H$19/100*((1+Title_RESULTS!$H$20/100)^($A25-Title_RESULTS!$H$7))*$D25*1000)/1000)</f>
        <v>14.863124624139143</v>
      </c>
      <c r="G25" s="5">
        <f>(+Title_RESULTS!$H$22/100*((1+Title_RESULTS!$H$23/100)^(+'Sheet4(F_22)'!A25-Title_RESULTS!$H$7)))*'Sheet3(F_21)'!D25</f>
        <v>319.7164222230073</v>
      </c>
      <c r="H25" s="5">
        <f>IF($G25=0,0,(($D25))*(Partcipation!$G25/100))</f>
        <v>238.7430567037561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648.3848267922166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3267.3337155082513</v>
      </c>
      <c r="D27" s="9">
        <f t="shared" si="1"/>
        <v>40021.121520336616</v>
      </c>
      <c r="E27" s="9">
        <f t="shared" si="1"/>
        <v>338.9250815780258</v>
      </c>
      <c r="F27" s="9">
        <f t="shared" si="1"/>
        <v>97.0055837161216</v>
      </c>
      <c r="G27" s="9">
        <f t="shared" si="1"/>
        <v>1966.64676709575</v>
      </c>
      <c r="H27" s="9">
        <f t="shared" si="1"/>
        <v>1451.24969553979</v>
      </c>
      <c r="I27" s="9">
        <f t="shared" si="1"/>
        <v>0</v>
      </c>
      <c r="J27" s="9">
        <f t="shared" si="1"/>
        <v>4218.6614523583585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2173.6426054687204</v>
      </c>
      <c r="D29" s="5"/>
      <c r="E29" s="5">
        <f>NPV(Title_RESULTS!$C$37,E17:E26)+'Sheet3(F_21)'!E16</f>
        <v>225.4749779256511</v>
      </c>
      <c r="F29" s="5">
        <f>NPV(Title_RESULTS!$C$37,F17:F26)+'Sheet3(F_21)'!F16</f>
        <v>64.53441493683633</v>
      </c>
      <c r="G29" s="5">
        <f>NPV(Title_RESULTS!$C$37,G17:G26)+'Sheet3(F_21)'!G16</f>
        <v>1300.9654943002909</v>
      </c>
      <c r="H29" s="5">
        <f>NPV(Title_RESULTS!$C$37,H17:H26)+'Sheet3(F_21)'!H16</f>
        <v>959.6925780478603</v>
      </c>
      <c r="I29" s="5">
        <f>NPV(Title_RESULTS!$C$37,I17:I26)+'Sheet3(F_21)'!I16</f>
        <v>0</v>
      </c>
      <c r="J29" s="5">
        <f>NPV(Title_RESULTS!$C$37,J17:J26)+'Sheet3(F_21)'!J16</f>
        <v>2804.9249145836384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Lighting Controls</v>
      </c>
      <c r="F2" t="s">
        <v>55</v>
      </c>
    </row>
    <row r="3" spans="6:7" ht="12.75">
      <c r="F3" s="35">
        <f>+Title_RESULTS!I4</f>
        <v>43599.32328159722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7974.15611814346</v>
      </c>
      <c r="C16" s="5">
        <f>$B16*'Sheet2(F_12)'!$E16/100</f>
        <v>231.3071139165251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231.3071139165251</v>
      </c>
      <c r="G16" s="5">
        <f>+$F16*'Sheet2(F_12)'!$I16</f>
        <v>231.3071139165251</v>
      </c>
    </row>
    <row r="17" spans="1:7" ht="12.75">
      <c r="A17">
        <f>+A16+1</f>
        <v>2021</v>
      </c>
      <c r="B17" s="5">
        <f>(+Partcipation!$C16+(Partcipation!$C17-Partcipation!$C16)/2)*Title_RESULTS!$C$10/1000</f>
        <v>23922.46835443038</v>
      </c>
      <c r="C17" s="5">
        <f>$B17*'Sheet2(F_12)'!$E17/100</f>
        <v>688.2770874275091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688.2770874275091</v>
      </c>
      <c r="G17" s="5">
        <f>+$F17*'Sheet2(F_12)'!$I17</f>
        <v>688.2770874275091</v>
      </c>
    </row>
    <row r="18" spans="1:7" ht="12.75">
      <c r="A18">
        <f>+A17+1</f>
        <v>2022</v>
      </c>
      <c r="B18" s="5">
        <f>(+Partcipation!$C17+(Partcipation!$C18-Partcipation!$C17)/2)*Title_RESULTS!$C$10/1000</f>
        <v>39870.7805907173</v>
      </c>
      <c r="C18" s="5">
        <f>$B18*'Sheet2(F_12)'!$E18/100</f>
        <v>1183.9133704538594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1183.9133704538594</v>
      </c>
      <c r="G18" s="5">
        <f>+$F18*'Sheet2(F_12)'!$I18</f>
        <v>1183.9133704538594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47844.93670886076</v>
      </c>
      <c r="C19" s="5">
        <f>$B19*'Sheet2(F_12)'!$E19/100</f>
        <v>1478.9783869670348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1478.9783869670348</v>
      </c>
      <c r="G19" s="5">
        <f>+$F19*'Sheet2(F_12)'!$I19</f>
        <v>1478.9783869670348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47844.93670886076</v>
      </c>
      <c r="C20" s="5">
        <f>$B20*'Sheet2(F_12)'!$E20/100</f>
        <v>1537.0966629727625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1537.0966629727625</v>
      </c>
      <c r="G20" s="5">
        <f>+$F20*'Sheet2(F_12)'!$I20</f>
        <v>1537.0966629727625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47844.93670886076</v>
      </c>
      <c r="C21" s="5">
        <f>$B21*'Sheet2(F_12)'!$E21/100</f>
        <v>1650.379049500992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1650.379049500992</v>
      </c>
      <c r="G21" s="5">
        <f>+$F21*'Sheet2(F_12)'!$I21</f>
        <v>1650.379049500992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47844.93670886076</v>
      </c>
      <c r="C22" s="5">
        <f>$B22*'Sheet2(F_12)'!$E22/100</f>
        <v>1703.3143379236267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1703.3143379236267</v>
      </c>
      <c r="G22" s="5">
        <f>+$F22*'Sheet2(F_12)'!$I22</f>
        <v>1703.3143379236267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47844.93670886076</v>
      </c>
      <c r="C23" s="5">
        <f>$B23*'Sheet2(F_12)'!$E23/100</f>
        <v>1809.7638603500764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1809.7638603500764</v>
      </c>
      <c r="G23" s="5">
        <f>+$F23*'Sheet2(F_12)'!$I23</f>
        <v>1809.7638603500764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47844.93670886076</v>
      </c>
      <c r="C24" s="5">
        <f>$B24*'Sheet2(F_12)'!$E24/100</f>
        <v>2005.4276393404193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2005.4276393404193</v>
      </c>
      <c r="G24" s="5">
        <f>+$F24*'Sheet2(F_12)'!$I24</f>
        <v>2005.4276393404193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47844.93670886076</v>
      </c>
      <c r="C25" s="5">
        <f>$B25*'Sheet2(F_12)'!$E25/100</f>
        <v>2148.543516270736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2148.543516270736</v>
      </c>
      <c r="G25" s="5">
        <f>+$F25*'Sheet2(F_12)'!$I25</f>
        <v>2148.543516270736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406681.96202531643</v>
      </c>
      <c r="C27" s="5">
        <f t="shared" si="2"/>
        <v>14437.001025123542</v>
      </c>
      <c r="D27" s="5">
        <f t="shared" si="2"/>
        <v>0</v>
      </c>
      <c r="E27" s="5">
        <f t="shared" si="2"/>
        <v>0</v>
      </c>
      <c r="F27" s="5">
        <f t="shared" si="2"/>
        <v>14437.001025123542</v>
      </c>
      <c r="G27" s="5">
        <f t="shared" si="2"/>
        <v>14437.001025123542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10024.753277023574</v>
      </c>
      <c r="D29" s="5"/>
      <c r="E29" s="5">
        <f>NPV(+Title_RESULTS!$C$37,E17:E26)+E16</f>
        <v>0</v>
      </c>
      <c r="F29" s="5">
        <f>NPV(+Title_RESULTS!$C$37,F17:F26)+F16</f>
        <v>10024.753277023574</v>
      </c>
      <c r="G29" s="5">
        <f>NPV(+Title_RESULTS!$C$37,G17:G26)+G16</f>
        <v>10024.753277023574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Lighting Controls</v>
      </c>
      <c r="J2" t="s">
        <v>42</v>
      </c>
    </row>
    <row r="3" spans="9:10" ht="12.75">
      <c r="I3" s="4"/>
      <c r="J3" s="35">
        <f>+Title_RESULTS!I4</f>
        <v>43599.32328159722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Lighting Controls</v>
      </c>
      <c r="H2" t="s">
        <v>108</v>
      </c>
    </row>
    <row r="3" ht="12.75">
      <c r="H3" s="35">
        <f>+Title_RESULTS!I4</f>
        <v>43599.32328159722</v>
      </c>
    </row>
    <row r="5" spans="3:6" ht="12.75">
      <c r="C5" t="s">
        <v>60</v>
      </c>
      <c r="F5" s="38">
        <f>+'Value of Defferal'!L4</f>
        <v>256.3100672</v>
      </c>
    </row>
    <row r="6" spans="3:6" ht="12.75">
      <c r="C6" t="s">
        <v>62</v>
      </c>
      <c r="F6" s="38">
        <f>+'Value of Defferal'!L5</f>
        <v>546.5677824000002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231.3071139165251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25.329151264917467</v>
      </c>
      <c r="C17" s="5">
        <f>IF(+Title_RESULTS!$H$9&lt;='Sheet4(F_22)'!$A17,(+Title_RESULTS!$H$16*((1+Title_RESULTS!$H$18/100)^('Sheet4(F_22)'!$A17-Title_RESULTS!$H$7))*Title_RESULTS!$C$8*Partcipation!$C$26/1000),0)</f>
        <v>20.41693136605891</v>
      </c>
      <c r="D17" s="5">
        <f>(+B17+C17)*+Partcipation!$H17</f>
        <v>45.746082630976375</v>
      </c>
      <c r="E17" s="5">
        <f>VLOOKUP(A17,'Value of Defferal'!$I24:$P$58,'Value of Defferal'!$K$13)</f>
        <v>54.0130873054529</v>
      </c>
      <c r="F17" s="5">
        <f>IF(+'Value of Defferal'!P24=0,0,Title_RESULTS!$H$17*Title_RESULTS!$C$7*Partcipation!$C$26*(1+Title_RESULTS!$H$18/100)^('Sheet4(F_22)'!A17-Title_RESULTS!$H$7))/1000</f>
        <v>75.24679680000001</v>
      </c>
      <c r="G17" s="5">
        <f>(+E17+F17)*Partcipation!$H17</f>
        <v>129.2598841054529</v>
      </c>
      <c r="H17" s="5">
        <f>+'Sheet5(p_5)'!$F17*'Sheet2(F_12)'!$I17</f>
        <v>688.2770874275091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25.937050895275487</v>
      </c>
      <c r="C18" s="5">
        <f>IF(+Title_RESULTS!$H$9&lt;='Sheet4(F_22)'!$A18,(+Title_RESULTS!$H$16*((1+Title_RESULTS!$H$18/100)^('Sheet4(F_22)'!$A18-Title_RESULTS!$H$7))*Title_RESULTS!$C$8*Partcipation!$C$26/1000),0)</f>
        <v>20.906937718844322</v>
      </c>
      <c r="D18" s="5">
        <f>(+B18+C18)*+Partcipation!$H18</f>
        <v>46.84398861411981</v>
      </c>
      <c r="E18" s="5">
        <f>VLOOKUP(A18,'Value of Defferal'!$I25:$P$58,'Value of Defferal'!$K$13)</f>
        <v>55.30940140078377</v>
      </c>
      <c r="F18" s="5">
        <f>IF(+'Value of Defferal'!P25=0,0,Title_RESULTS!$H$17*Title_RESULTS!$C$7*Partcipation!$C$26*(1+Title_RESULTS!$H$18/100)^('Sheet4(F_22)'!A18-Title_RESULTS!$H$7))/1000</f>
        <v>77.05271992320002</v>
      </c>
      <c r="G18" s="5">
        <f>(+E18+F18)*Partcipation!$H18</f>
        <v>132.36212132398379</v>
      </c>
      <c r="H18" s="5">
        <f>+'Sheet5(p_5)'!$F18*'Sheet2(F_12)'!$I18</f>
        <v>1183.9133704538594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26.559540116762097</v>
      </c>
      <c r="C19" s="5">
        <f>IF(+Title_RESULTS!$H$9&lt;='Sheet4(F_22)'!$A19,(+Title_RESULTS!$H$16*((1+Title_RESULTS!$H$18/100)^('Sheet4(F_22)'!$A19-Title_RESULTS!$H$7))*Title_RESULTS!$C$8*Partcipation!$C$26/1000),0)</f>
        <v>21.40870422409659</v>
      </c>
      <c r="D19" s="5">
        <f>(+B19+C19)*+Partcipation!$H19</f>
        <v>47.96824434085869</v>
      </c>
      <c r="E19" s="5">
        <f>VLOOKUP(A19,'Value of Defferal'!$I26:$P$58,'Value of Defferal'!$K$13)</f>
        <v>56.63682703440258</v>
      </c>
      <c r="F19" s="5">
        <f>IF(+'Value of Defferal'!P26=0,0,Title_RESULTS!$H$17*Title_RESULTS!$C$7*Partcipation!$C$26*(1+Title_RESULTS!$H$18/100)^('Sheet4(F_22)'!A19-Title_RESULTS!$H$7))/1000</f>
        <v>78.90198520135682</v>
      </c>
      <c r="G19" s="5">
        <f>(+E19+F19)*Partcipation!$H19</f>
        <v>135.5388122357594</v>
      </c>
      <c r="H19" s="5">
        <f>+'Sheet5(p_5)'!$F19*'Sheet2(F_12)'!$I19</f>
        <v>1478.9783869670348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27.196969079564386</v>
      </c>
      <c r="C20" s="5">
        <f>IF(+Title_RESULTS!$H$9&lt;='Sheet4(F_22)'!$A20,(+Title_RESULTS!$H$16*((1+Title_RESULTS!$H$18/100)^('Sheet4(F_22)'!$A20-Title_RESULTS!$H$7))*Title_RESULTS!$C$8*Partcipation!$C$26/1000),0)</f>
        <v>21.922513125474907</v>
      </c>
      <c r="D20" s="5">
        <f>(+B20+C20)*+Partcipation!$H20</f>
        <v>49.11948220503929</v>
      </c>
      <c r="E20" s="5">
        <f>VLOOKUP(A20,'Value of Defferal'!$I27:$P$58,'Value of Defferal'!$K$13)</f>
        <v>57.99611088322824</v>
      </c>
      <c r="F20" s="5">
        <f>IF(+'Value of Defferal'!P27=0,0,Title_RESULTS!$H$17*Title_RESULTS!$C$7*Partcipation!$C$26*(1+Title_RESULTS!$H$18/100)^('Sheet4(F_22)'!A20-Title_RESULTS!$H$7))/1000</f>
        <v>80.79563284618938</v>
      </c>
      <c r="G20" s="5">
        <f>(+E20+F20)*Partcipation!$H20</f>
        <v>138.79174372941762</v>
      </c>
      <c r="H20" s="5">
        <f>+'Sheet5(p_5)'!$F20*'Sheet2(F_12)'!$I20</f>
        <v>1537.0966629727625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27.849696337473933</v>
      </c>
      <c r="C21" s="5">
        <f>IF(+Title_RESULTS!$H$9&lt;='Sheet4(F_22)'!$A21,(+Title_RESULTS!$H$16*((1+Title_RESULTS!$H$18/100)^('Sheet4(F_22)'!$A21-Title_RESULTS!$H$7))*Title_RESULTS!$C$8*Partcipation!$C$26/1000),0)</f>
        <v>22.448653440486307</v>
      </c>
      <c r="D21" s="5">
        <f>(+B21+C21)*+Partcipation!$H21</f>
        <v>50.29834977796024</v>
      </c>
      <c r="E21" s="5">
        <f>VLOOKUP(A21,'Value of Defferal'!$I28:$P$58,'Value of Defferal'!$K$13)</f>
        <v>59.38801754442572</v>
      </c>
      <c r="F21" s="5">
        <f>IF(+'Value of Defferal'!P28=0,0,Title_RESULTS!$H$17*Title_RESULTS!$C$7*Partcipation!$C$26*(1+Title_RESULTS!$H$18/100)^('Sheet4(F_22)'!A21-Title_RESULTS!$H$7))/1000</f>
        <v>82.73472803449792</v>
      </c>
      <c r="G21" s="5">
        <f>(+E21+F21)*Partcipation!$H21</f>
        <v>142.12274557892363</v>
      </c>
      <c r="H21" s="5">
        <f>+'Sheet5(p_5)'!$F21*'Sheet2(F_12)'!$I21</f>
        <v>1650.379049500992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28.51808904957331</v>
      </c>
      <c r="C22" s="5">
        <f>IF(+Title_RESULTS!$H$9&lt;='Sheet4(F_22)'!$A22,(+Title_RESULTS!$H$16*((1+Title_RESULTS!$H$18/100)^('Sheet4(F_22)'!$A22-Title_RESULTS!$H$7))*Title_RESULTS!$C$8*Partcipation!$C$26/1000),0)</f>
        <v>22.98742112305797</v>
      </c>
      <c r="D22" s="5">
        <f>(+B22+C22)*+Partcipation!$H22</f>
        <v>51.505510172631276</v>
      </c>
      <c r="E22" s="5">
        <f>VLOOKUP(A22,'Value of Defferal'!$I29:$P$58,'Value of Defferal'!$K$13)</f>
        <v>60.81332996549194</v>
      </c>
      <c r="F22" s="5">
        <f>IF(+'Value of Defferal'!P29=0,0,Title_RESULTS!$H$17*Title_RESULTS!$C$7*Partcipation!$C$26*(1+Title_RESULTS!$H$18/100)^('Sheet4(F_22)'!A22-Title_RESULTS!$H$7))/1000</f>
        <v>84.72036150732586</v>
      </c>
      <c r="G22" s="5">
        <f>(+E22+F22)*Partcipation!$H22</f>
        <v>145.5336914728178</v>
      </c>
      <c r="H22" s="5">
        <f>+'Sheet5(p_5)'!$F22*'Sheet2(F_12)'!$I22</f>
        <v>1703.3143379236267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29.202523186763067</v>
      </c>
      <c r="C23" s="5">
        <f>IF(+Title_RESULTS!$H$9&lt;='Sheet4(F_22)'!$A23,(+Title_RESULTS!$H$16*((1+Title_RESULTS!$H$18/100)^('Sheet4(F_22)'!$A23-Title_RESULTS!$H$7))*Title_RESULTS!$C$8*Partcipation!$C$26/1000),0)</f>
        <v>23.539119230011366</v>
      </c>
      <c r="D23" s="5">
        <f>(+B23+C23)*+Partcipation!$H23</f>
        <v>52.74164241677443</v>
      </c>
      <c r="E23" s="5">
        <f>VLOOKUP(A23,'Value of Defferal'!$I30:$P$58,'Value of Defferal'!$K$13)</f>
        <v>62.27284988466374</v>
      </c>
      <c r="F23" s="5">
        <f>IF(+'Value of Defferal'!P30=0,0,Title_RESULTS!$H$17*Title_RESULTS!$C$7*Partcipation!$C$26*(1+Title_RESULTS!$H$18/100)^('Sheet4(F_22)'!A23-Title_RESULTS!$H$7))/1000</f>
        <v>86.75365018350169</v>
      </c>
      <c r="G23" s="5">
        <f>(+E23+F23)*Partcipation!$H23</f>
        <v>149.02650006816543</v>
      </c>
      <c r="H23" s="5">
        <f>+'Sheet5(p_5)'!$F23*'Sheet2(F_12)'!$I23</f>
        <v>1809.7638603500764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29.90338374324538</v>
      </c>
      <c r="C24" s="5">
        <f>IF(+Title_RESULTS!$H$9&lt;='Sheet4(F_22)'!$A24,(+Title_RESULTS!$H$16*((1+Title_RESULTS!$H$18/100)^('Sheet4(F_22)'!$A24-Title_RESULTS!$H$7))*Title_RESULTS!$C$8*Partcipation!$C$26/1000),0)</f>
        <v>24.104058091531638</v>
      </c>
      <c r="D24" s="5">
        <f>(+B24+C24)*+Partcipation!$H24</f>
        <v>54.00744183477702</v>
      </c>
      <c r="E24" s="5">
        <f>VLOOKUP(A24,'Value of Defferal'!$I31:$P$58,'Value of Defferal'!$K$13)</f>
        <v>63.76739828189567</v>
      </c>
      <c r="F24" s="5">
        <f>IF(+'Value of Defferal'!P31=0,0,Title_RESULTS!$H$17*Title_RESULTS!$C$7*Partcipation!$C$26*(1+Title_RESULTS!$H$18/100)^('Sheet4(F_22)'!A24-Title_RESULTS!$H$7))/1000</f>
        <v>88.83573778790573</v>
      </c>
      <c r="G24" s="5">
        <f>(+E24+F24)*Partcipation!$H24</f>
        <v>152.6031360698014</v>
      </c>
      <c r="H24" s="5">
        <f>+'Sheet5(p_5)'!$F24*'Sheet2(F_12)'!$I24</f>
        <v>2005.4276393404193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30.621064953083273</v>
      </c>
      <c r="C25" s="5">
        <f>IF(+Title_RESULTS!$H$9&lt;='Sheet4(F_22)'!$A25,(+Title_RESULTS!$H$16*((1+Title_RESULTS!$H$18/100)^('Sheet4(F_22)'!$A25-Title_RESULTS!$H$7))*Title_RESULTS!$C$8*Partcipation!$C$26/1000),0)</f>
        <v>24.682555485728397</v>
      </c>
      <c r="D25" s="5">
        <f>(+B25+C25)*+Partcipation!$H25</f>
        <v>55.30362043881167</v>
      </c>
      <c r="E25" s="5">
        <f>VLOOKUP(A25,'Value of Defferal'!$I32:$P$58,'Value of Defferal'!$K$13)</f>
        <v>65.29781584066117</v>
      </c>
      <c r="F25" s="5">
        <f>IF(+'Value of Defferal'!P32=0,0,Title_RESULTS!$H$17*Title_RESULTS!$C$7*Partcipation!$C$26*(1+Title_RESULTS!$H$18/100)^('Sheet4(F_22)'!A25-Title_RESULTS!$H$7))/1000</f>
        <v>90.96779549481545</v>
      </c>
      <c r="G25" s="5">
        <f>(+E25+F25)*Partcipation!$H25</f>
        <v>156.26561133547662</v>
      </c>
      <c r="H25" s="5">
        <f>+'Sheet5(p_5)'!$F25*'Sheet2(F_12)'!$I25</f>
        <v>2148.543516270736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251.11746862665842</v>
      </c>
      <c r="C27" s="5">
        <f t="shared" si="1"/>
        <v>202.41689380529039</v>
      </c>
      <c r="D27" s="5">
        <f t="shared" si="1"/>
        <v>453.53436243194875</v>
      </c>
      <c r="E27" s="5">
        <f t="shared" si="1"/>
        <v>535.4948381410057</v>
      </c>
      <c r="F27" s="5">
        <f t="shared" si="1"/>
        <v>746.0094077787928</v>
      </c>
      <c r="G27" s="5">
        <f t="shared" si="1"/>
        <v>1281.5042459197987</v>
      </c>
      <c r="H27" s="5">
        <f t="shared" si="1"/>
        <v>14437.001025123542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179.22904844076444</v>
      </c>
      <c r="C29" s="5">
        <f>NPV(Title_RESULTS!$C$37,'Sheet4(F_22)'!C17:C26)+'Sheet4(F_22)'!C16</f>
        <v>144.4701854612679</v>
      </c>
      <c r="D29" s="5">
        <f>NPV(Title_RESULTS!$C$37,'Sheet4(F_22)'!D17:D26)+'Sheet4(F_22)'!D16</f>
        <v>323.6992339020324</v>
      </c>
      <c r="E29" s="5">
        <f>NPV(Title_RESULTS!$C$37,'Sheet4(F_22)'!E17:E26)+'Sheet4(F_22)'!E16</f>
        <v>382.1965505221125</v>
      </c>
      <c r="F29" s="5">
        <f>NPV(Title_RESULTS!$C$37,'Sheet4(F_22)'!F17:F26)+'Sheet4(F_22)'!F16</f>
        <v>532.446257185061</v>
      </c>
      <c r="G29" s="5">
        <f>NPV(Title_RESULTS!$C$37,'Sheet4(F_22)'!G17:G26)+'Sheet4(F_22)'!G16</f>
        <v>914.6428077071735</v>
      </c>
      <c r="H29" s="5">
        <f>NPV(Title_RESULTS!$C$37,'Sheet4(F_22)'!H17:H26)+'Sheet4(F_22)'!H16</f>
        <v>10024.753277023574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Lighting Controls</v>
      </c>
      <c r="P2" t="s">
        <v>121</v>
      </c>
    </row>
    <row r="3" ht="12.75">
      <c r="P3" s="35">
        <f>+Title_RESULTS!I4</f>
        <v>43599.32328159722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203.51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203.51</v>
      </c>
      <c r="H16" s="5">
        <f>IF(Partcipation!$B17&lt;Partcipation!$B16,0,IF(Partcipation!$B16=0,0,(Partcipation!$B16-Partcipation!$B15)*(+Title_RESULTS!$C$29*(1+Title_RESULTS!$C$30/100)^(+'Sheet8(F_24)'!$A16-Title_RESULTS!$H$7))/1000))</f>
        <v>2183.63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2183.63</v>
      </c>
      <c r="K16" s="5">
        <f>(+Partcipation!$B15+(Partcipation!$B16-Partcipation!$B15)/2)*(+Title_RESULTS!$C$14)/1000</f>
        <v>7559.5</v>
      </c>
      <c r="L16" s="5">
        <f>($K16)*Partcipation!$E73*Title_RESULTS!$C$12/100</f>
        <v>184.04453507935523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291.26691000000005</v>
      </c>
      <c r="N16" s="5">
        <f>'Sheet2(F_12)'!$I16*('Sheet6(p_6)'!$L16+'Sheet6(p_6)'!$M16)</f>
        <v>475.3114450793553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203.51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203.51</v>
      </c>
      <c r="H17" s="5">
        <f>IF(Partcipation!$B18&lt;Partcipation!$B17,0,IF(Partcipation!$B17=0,0,(Partcipation!$B17-Partcipation!$B16)*(+Title_RESULTS!$C$29*(1+Title_RESULTS!$C$30/100)^(+'Sheet8(F_24)'!$A17-Title_RESULTS!$H$7))/1000))</f>
        <v>2233.85349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2233.85349</v>
      </c>
      <c r="K17" s="5">
        <f>(+Partcipation!$B16+(Partcipation!$B17-Partcipation!$B16)/2)*(+Title_RESULTS!$C$14)/1000</f>
        <v>22678.5</v>
      </c>
      <c r="L17" s="5">
        <f>($K17)*Partcipation!$E74*Title_RESULTS!$C$12/100</f>
        <v>578.4115670342233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882.5387373000001</v>
      </c>
      <c r="N17" s="5">
        <f>'Sheet2(F_12)'!$I17*('Sheet6(p_6)'!$L17+'Sheet6(p_6)'!$M17)</f>
        <v>1460.9503043342233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203.51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203.51</v>
      </c>
      <c r="H18" s="5">
        <f>IF(Partcipation!$B19&lt;Partcipation!$B18,0,IF(Partcipation!$B18=0,0,(Partcipation!$B18-Partcipation!$B17)*(+Title_RESULTS!$C$29*(1+Title_RESULTS!$C$30/100)^(+'Sheet8(F_24)'!$A18-Title_RESULTS!$H$7))/1000))</f>
        <v>2285.2321202699995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2285.2321202699995</v>
      </c>
      <c r="K18" s="5">
        <f>(+Partcipation!$B17+(Partcipation!$B18-Partcipation!$B17)/2)*(+Title_RESULTS!$C$14)/1000</f>
        <v>37797.5</v>
      </c>
      <c r="L18" s="5">
        <f>($K18)*Partcipation!$E75*Title_RESULTS!$C$12/100</f>
        <v>999.5293026262893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1485.6068744550003</v>
      </c>
      <c r="N18" s="5">
        <f>'Sheet2(F_12)'!$I18*('Sheet6(p_6)'!$L18+'Sheet6(p_6)'!$M18)</f>
        <v>2485.1361770812896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45357</v>
      </c>
      <c r="L19" s="5">
        <f>($K19)*Partcipation!$E76*Title_RESULTS!$C$12/100</f>
        <v>1189.6029271650777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1800.55553183946</v>
      </c>
      <c r="N19" s="5">
        <f>'Sheet2(F_12)'!$I19*('Sheet6(p_6)'!$L19+'Sheet6(p_6)'!$M19)</f>
        <v>2990.1584590045377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45357</v>
      </c>
      <c r="L20" s="5">
        <f>($K20)*Partcipation!$E77*Title_RESULTS!$C$12/100</f>
        <v>1257.0768882185098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1818.5610871578547</v>
      </c>
      <c r="N20" s="5">
        <f>'Sheet2(F_12)'!$I20*('Sheet6(p_6)'!$L20+'Sheet6(p_6)'!$M20)</f>
        <v>3075.6379753763645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45357</v>
      </c>
      <c r="L21" s="5">
        <f>($K21)*Partcipation!$E78*Title_RESULTS!$C$12/100</f>
        <v>1329.231438407633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1836.746698029433</v>
      </c>
      <c r="N21" s="5">
        <f>'Sheet2(F_12)'!$I21*('Sheet6(p_6)'!$L21+'Sheet6(p_6)'!$M21)</f>
        <v>3165.978136437066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45357</v>
      </c>
      <c r="L22" s="5">
        <f>($K22)*Partcipation!$E79*Title_RESULTS!$C$12/100</f>
        <v>1389.3315299299727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1855.114165009728</v>
      </c>
      <c r="N22" s="5">
        <f>'Sheet2(F_12)'!$I22*('Sheet6(p_6)'!$L22+'Sheet6(p_6)'!$M22)</f>
        <v>3244.445694939701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45357</v>
      </c>
      <c r="L23" s="5">
        <f>($K23)*Partcipation!$E80*Title_RESULTS!$C$12/100</f>
        <v>1471.1367151829652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1873.6653066598246</v>
      </c>
      <c r="N23" s="5">
        <f>'Sheet2(F_12)'!$I23*('Sheet6(p_6)'!$L23+'Sheet6(p_6)'!$M23)</f>
        <v>3344.80202184279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45357</v>
      </c>
      <c r="L24" s="5">
        <f>($K24)*Partcipation!$E81*Title_RESULTS!$C$12/100</f>
        <v>1610.4461703749446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1892.4019597264232</v>
      </c>
      <c r="N24" s="5">
        <f>'Sheet2(F_12)'!$I24*('Sheet6(p_6)'!$L24+'Sheet6(p_6)'!$M24)</f>
        <v>3502.848130101368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45357</v>
      </c>
      <c r="L25" s="5">
        <f>($K25)*Partcipation!$E82*Title_RESULTS!$C$12/100</f>
        <v>1692.4947764533383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1911.3259793236878</v>
      </c>
      <c r="N25" s="5">
        <f>'Sheet2(F_12)'!$I25*('Sheet6(p_6)'!$L25+'Sheet6(p_6)'!$M25)</f>
        <v>3603.820755777026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384.072</v>
      </c>
      <c r="C27" s="5">
        <f t="shared" si="4"/>
        <v>0</v>
      </c>
      <c r="D27" s="5">
        <f t="shared" si="4"/>
        <v>384.072</v>
      </c>
      <c r="E27" s="5">
        <f t="shared" si="4"/>
        <v>610.53</v>
      </c>
      <c r="F27" s="5">
        <f t="shared" si="4"/>
        <v>0</v>
      </c>
      <c r="G27" s="5">
        <f t="shared" si="4"/>
        <v>610.53</v>
      </c>
      <c r="H27" s="5">
        <f t="shared" si="4"/>
        <v>6702.71561027</v>
      </c>
      <c r="I27" s="5">
        <f t="shared" si="4"/>
        <v>0</v>
      </c>
      <c r="J27" s="5">
        <f t="shared" si="4"/>
        <v>6702.71561027</v>
      </c>
      <c r="K27" s="5">
        <f t="shared" si="4"/>
        <v>385534.5</v>
      </c>
      <c r="L27" s="5">
        <f t="shared" si="4"/>
        <v>11701.305850472309</v>
      </c>
      <c r="M27" s="5">
        <f t="shared" si="4"/>
        <v>15647.783249501412</v>
      </c>
      <c r="N27" s="5">
        <f t="shared" si="4"/>
        <v>27349.08909997372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358.8491576370552</v>
      </c>
      <c r="C29" s="5">
        <f>NPV(Title_RESULTS!$C$37,'Sheet6(p_6)'!C17:C26)+'Sheet6(p_6)'!C16</f>
        <v>0</v>
      </c>
      <c r="D29" s="5">
        <f>NPV(Title_RESULTS!$C$37,'Sheet6(p_6)'!D17:D26)+'Sheet6(p_6)'!D16</f>
        <v>358.8491576370552</v>
      </c>
      <c r="E29" s="5">
        <f>NPV(Title_RESULTS!$C$37,'Sheet6(p_6)'!E17:E26)+'Sheet6(p_6)'!E16</f>
        <v>571.0521788477754</v>
      </c>
      <c r="F29" s="5">
        <f>NPV(Title_RESULTS!$C$37,'Sheet6(p_6)'!F17:F26)+'Sheet6(p_6)'!F16</f>
        <v>0</v>
      </c>
      <c r="G29" s="5">
        <f>NPV(Title_RESULTS!$C$37,'Sheet6(p_6)'!G17:G26)+'Sheet6(p_6)'!G16</f>
        <v>571.0521788477754</v>
      </c>
      <c r="H29" s="5">
        <f>NPV(Title_RESULTS!$C$37,'Sheet6(p_6)'!H17:H26)+'Sheet6(p_6)'!H16</f>
        <v>6262.812693609587</v>
      </c>
      <c r="I29" s="5">
        <f>NPV(Title_RESULTS!$C$37,'Sheet6(p_6)'!I17:I26)+'Sheet6(p_6)'!I16</f>
        <v>0</v>
      </c>
      <c r="J29" s="5">
        <f>NPV(Title_RESULTS!$C$37,'Sheet6(p_6)'!J17:J26)+'Sheet6(p_6)'!J16</f>
        <v>6262.812693609587</v>
      </c>
      <c r="K29" s="5"/>
      <c r="L29" s="5">
        <f>NPV(Title_RESULTS!$C$37,'Sheet6(p_6)'!L17:L26)+'Sheet6(p_6)'!L16</f>
        <v>8144.313136869241</v>
      </c>
      <c r="M29" s="5">
        <f>NPV(Title_RESULTS!$C$37,'Sheet6(p_6)'!M17:M26)+'Sheet6(p_6)'!M16</f>
        <v>11084.360788830632</v>
      </c>
      <c r="N29" s="5">
        <f>NPV(Title_RESULTS!$C$37,'Sheet6(p_6)'!N17:N26)+'Sheet6(p_6)'!N16</f>
        <v>19228.673925699874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Lighting Controls</v>
      </c>
      <c r="M2" t="s">
        <v>55</v>
      </c>
    </row>
    <row r="3" ht="12.75">
      <c r="M3" s="35">
        <f>+Title_RESULTS!I4</f>
        <v>43599.32328159722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2183.63</v>
      </c>
      <c r="E16" s="5">
        <f>IF(A16&gt;=(Title_RESULTS!$H$7+Title_RESULTS!$C$17),0,(+'f-11B'!$N15))</f>
        <v>0</v>
      </c>
      <c r="F16" s="5">
        <f>IF(A16&gt;=(Title_RESULTS!$H$7+Title_RESULTS!$C$17),0,(SUM(B16:E16)))</f>
        <v>2308.63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231.3071139165251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231.3071139165251</v>
      </c>
      <c r="L16" s="23">
        <f>IF(A16&gt;=(Title_RESULTS!$H$7+Title_RESULTS!$C$17),0,(+$K16-$F16))</f>
        <v>-2077.322886083475</v>
      </c>
      <c r="M16" s="23">
        <f>IF(A16&gt;=(Title_RESULTS!$H$7+Title_RESULTS!$C$17),0,(+$L16/(1+Title_RESULTS!$C$37)^('Sheet7(F_23)'!$A16-Title_RESULTS!$H$7)))</f>
        <v>-2077.322886083475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2233.85349</v>
      </c>
      <c r="E17" s="5">
        <f>IF(A17&gt;=(Title_RESULTS!$H$7+Title_RESULTS!$C$17),0,(+'f-11B'!$N16))</f>
        <v>0</v>
      </c>
      <c r="F17" s="5">
        <f>IF(A17&gt;=(Title_RESULTS!$H$7+Title_RESULTS!$C$17),0,(SUM(B17:E17)))</f>
        <v>2361.85349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175.0059667364293</v>
      </c>
      <c r="I17" s="5">
        <f>IF(A17&gt;=(Title_RESULTS!$H$7+Title_RESULTS!$C$17),0,(+'Sheet4(F_22)'!$H17))</f>
        <v>688.2770874275091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863.2830541639383</v>
      </c>
      <c r="L17" s="23">
        <f>IF(A17&gt;=(Title_RESULTS!$H$7+Title_RESULTS!$C$17),0,(+$K17-$F17))</f>
        <v>-1498.5704358360617</v>
      </c>
      <c r="M17" s="23">
        <f>IF(A17&gt;=(Title_RESULTS!$H$7+Title_RESULTS!$C$17),0,(+M16+$L17/(1+Title_RESULTS!$C$37)^('Sheet7(F_23)'!$A17-Title_RESULTS!$H$7)))</f>
        <v>-3476.809658436913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2285.2321202699995</v>
      </c>
      <c r="E18" s="5">
        <f>IF(A18&gt;=(Title_RESULTS!$H$7+Title_RESULTS!$C$17),0,(+'f-11B'!$N17))</f>
        <v>0</v>
      </c>
      <c r="F18" s="5">
        <f>IF(A18&gt;=(Title_RESULTS!$H$7+Title_RESULTS!$C$17),0,(SUM(B18:E18)))</f>
        <v>2416.3041202699997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179.2061099381036</v>
      </c>
      <c r="I18" s="5">
        <f>IF(A18&gt;=(Title_RESULTS!$H$7+Title_RESULTS!$C$17),0,(+'Sheet4(F_22)'!$H18))</f>
        <v>1183.9133704538594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1363.119480391963</v>
      </c>
      <c r="L18" s="23">
        <f>IF(A18&gt;=(Title_RESULTS!$H$7+Title_RESULTS!$C$17),0,(+$K18-$F18))</f>
        <v>-1053.1846398780367</v>
      </c>
      <c r="M18" s="23">
        <f>IF(A18&gt;=(Title_RESULTS!$H$7+Title_RESULTS!$C$17),0,(+M17+$L18/(1+Title_RESULTS!$C$37)^('Sheet7(F_23)'!$A18-Title_RESULTS!$H$7)))</f>
        <v>-4395.327912237113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555.7080417202401</v>
      </c>
      <c r="H19" s="5">
        <f>IF(A19&gt;=(Title_RESULTS!$H$7+Title_RESULTS!$C$17),0,(+'Sheet4(F_22)'!$D19+'Sheet4(F_22)'!$G19))</f>
        <v>183.50705657661808</v>
      </c>
      <c r="I19" s="5">
        <f>IF(A19&gt;=(Title_RESULTS!$H$7+Title_RESULTS!$C$17),0,(+'Sheet4(F_22)'!$H19))</f>
        <v>1478.9783869670348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2218.193485263893</v>
      </c>
      <c r="L19" s="23">
        <f>IF(A19&gt;=(Title_RESULTS!$H$7+Title_RESULTS!$C$17),0,(+$K19-$F19))</f>
        <v>2218.193485263893</v>
      </c>
      <c r="M19" s="23">
        <f>IF(A19&gt;=(Title_RESULTS!$H$7+Title_RESULTS!$C$17),0,(+M18+$L19/(1+Title_RESULTS!$C$37)^('Sheet7(F_23)'!$A19-Title_RESULTS!$H$7)))</f>
        <v>-2588.6766121780893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570.5258874493869</v>
      </c>
      <c r="H20" s="5">
        <f>IF(A20&gt;=(Title_RESULTS!$H$7+Title_RESULTS!$C$17),0,(+'Sheet4(F_22)'!$D20+'Sheet4(F_22)'!$G20))</f>
        <v>187.91122593445692</v>
      </c>
      <c r="I20" s="5">
        <f>IF(A20&gt;=(Title_RESULTS!$H$7+Title_RESULTS!$C$17),0,(+'Sheet4(F_22)'!$H20))</f>
        <v>1537.0966629727625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2295.5337763566063</v>
      </c>
      <c r="L20" s="23">
        <f>IF(A20&gt;=(Title_RESULTS!$H$7+Title_RESULTS!$C$17),0,(+$K20-$F20))</f>
        <v>2295.5337763566063</v>
      </c>
      <c r="M20" s="23">
        <f>IF(A20&gt;=(Title_RESULTS!$H$7+Title_RESULTS!$C$17),0,(+M19+$L20/(1+Title_RESULTS!$C$37)^('Sheet7(F_23)'!$A20-Title_RESULTS!$H$7)))</f>
        <v>-842.6524985533861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586.7367150126804</v>
      </c>
      <c r="H21" s="5">
        <f>IF(A21&gt;=(Title_RESULTS!$H$7+Title_RESULTS!$C$17),0,(+'Sheet4(F_22)'!$D21+'Sheet4(F_22)'!$G21))</f>
        <v>192.42109535688388</v>
      </c>
      <c r="I21" s="5">
        <f>IF(A21&gt;=(Title_RESULTS!$H$7+Title_RESULTS!$C$17),0,(+'Sheet4(F_22)'!$H21))</f>
        <v>1650.379049500992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2429.5368598705563</v>
      </c>
      <c r="L21" s="23">
        <f>IF(A21&gt;=(Title_RESULTS!$H$7+Title_RESULTS!$C$17),0,(+$K21-$F21))</f>
        <v>2429.5368598705563</v>
      </c>
      <c r="M21" s="23">
        <f>IF(A21&gt;=(Title_RESULTS!$H$7+Title_RESULTS!$C$17),0,(+M20+$L21/(1+Title_RESULTS!$C$37)^('Sheet7(F_23)'!$A21-Title_RESULTS!$H$7)))</f>
        <v>883.1125925401466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604.8920218762767</v>
      </c>
      <c r="H22" s="5">
        <f>IF(A22&gt;=(Title_RESULTS!$H$7+Title_RESULTS!$C$17),0,(+'Sheet4(F_22)'!$D22+'Sheet4(F_22)'!$G22))</f>
        <v>197.03920164544905</v>
      </c>
      <c r="I22" s="5">
        <f>IF(A22&gt;=(Title_RESULTS!$H$7+Title_RESULTS!$C$17),0,(+'Sheet4(F_22)'!$H22))</f>
        <v>1703.3143379236267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2505.2455614453525</v>
      </c>
      <c r="L22" s="23">
        <f>IF(A22&gt;=(Title_RESULTS!$H$7+Title_RESULTS!$C$17),0,(+$K22-$F22))</f>
        <v>2505.2455614453525</v>
      </c>
      <c r="M22" s="23">
        <f>IF(A22&gt;=(Title_RESULTS!$H$7+Title_RESULTS!$C$17),0,(+M21+$L22/(1+Title_RESULTS!$C$37)^('Sheet7(F_23)'!$A22-Title_RESULTS!$H$7)))</f>
        <v>2544.994371764109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621.1756780619426</v>
      </c>
      <c r="H23" s="5">
        <f>IF(A23&gt;=(Title_RESULTS!$H$7+Title_RESULTS!$C$17),0,(+'Sheet4(F_22)'!$D23+'Sheet4(F_22)'!$G23))</f>
        <v>201.76814248493986</v>
      </c>
      <c r="I23" s="5">
        <f>IF(A23&gt;=(Title_RESULTS!$H$7+Title_RESULTS!$C$17),0,(+'Sheet4(F_22)'!$H23))</f>
        <v>1809.7638603500764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2632.7076808969587</v>
      </c>
      <c r="L23" s="23">
        <f>IF(A23&gt;=(Title_RESULTS!$H$7+Title_RESULTS!$C$17),0,(+$K23-$F23))</f>
        <v>2632.7076808969587</v>
      </c>
      <c r="M23" s="23">
        <f>IF(A23&gt;=(Title_RESULTS!$H$7+Title_RESULTS!$C$17),0,(+M22+$L23/(1+Title_RESULTS!$C$37)^('Sheet7(F_23)'!$A23-Title_RESULTS!$H$7)))</f>
        <v>4175.957349717173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631.2382814456155</v>
      </c>
      <c r="H24" s="5">
        <f>IF(A24&gt;=(Title_RESULTS!$H$7+Title_RESULTS!$C$17),0,(+'Sheet4(F_22)'!$D24+'Sheet4(F_22)'!$G24))</f>
        <v>206.6105779045784</v>
      </c>
      <c r="I24" s="5">
        <f>IF(A24&gt;=(Title_RESULTS!$H$7+Title_RESULTS!$C$17),0,(+'Sheet4(F_22)'!$H24))</f>
        <v>2005.4276393404193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2843.276498690613</v>
      </c>
      <c r="L24" s="23">
        <f>IF(A24&gt;=(Title_RESULTS!$H$7+Title_RESULTS!$C$17),0,(+$K24-$F24))</f>
        <v>2843.276498690613</v>
      </c>
      <c r="M24" s="23">
        <f>IF(A24&gt;=(Title_RESULTS!$H$7+Title_RESULTS!$C$17),0,(+M23+$L24/(1+Title_RESULTS!$C$37)^('Sheet7(F_23)'!$A24-Title_RESULTS!$H$7)))</f>
        <v>5820.905431653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648.3848267922166</v>
      </c>
      <c r="H25" s="5">
        <f>IF(A25&gt;=(Title_RESULTS!$H$7+Title_RESULTS!$C$17),0,(+'Sheet4(F_22)'!$D25+'Sheet4(F_22)'!$G25))</f>
        <v>211.56923177428828</v>
      </c>
      <c r="I25" s="5">
        <f>IF(A25&gt;=(Title_RESULTS!$H$7+Title_RESULTS!$C$17),0,(+'Sheet4(F_22)'!$H25))</f>
        <v>2148.543516270736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3008.497574837241</v>
      </c>
      <c r="L25" s="23">
        <f>IF(A25&gt;=(Title_RESULTS!$H$7+Title_RESULTS!$C$17),0,(+$K25-$F25))</f>
        <v>3008.497574837241</v>
      </c>
      <c r="M25" s="23">
        <f>IF(A25&gt;=(Title_RESULTS!$H$7+Title_RESULTS!$C$17),0,(+M24+$L25/(1+Title_RESULTS!$C$37)^('Sheet7(F_23)'!$A25-Title_RESULTS!$H$7)))</f>
        <v>7446.358381969774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384.072</v>
      </c>
      <c r="D27" s="5">
        <f t="shared" si="1"/>
        <v>6702.71561027</v>
      </c>
      <c r="E27" s="5">
        <f t="shared" si="1"/>
        <v>0</v>
      </c>
      <c r="F27" s="5">
        <f t="shared" si="1"/>
        <v>7086.78761027</v>
      </c>
      <c r="G27" s="5">
        <f t="shared" si="1"/>
        <v>4218.6614523583585</v>
      </c>
      <c r="H27" s="5">
        <f t="shared" si="1"/>
        <v>1735.0386083517474</v>
      </c>
      <c r="I27" s="5">
        <f t="shared" si="1"/>
        <v>14437.001025123542</v>
      </c>
      <c r="J27" s="5">
        <f t="shared" si="1"/>
        <v>0</v>
      </c>
      <c r="K27" s="5">
        <f t="shared" si="1"/>
        <v>20390.701085833647</v>
      </c>
      <c r="L27" s="5">
        <f t="shared" si="1"/>
        <v>13303.913475563648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358.8491576370552</v>
      </c>
      <c r="D29" s="5">
        <f>NPV(Title_RESULTS!$C$37,'Sheet7(F_23)'!D17:D26)+'Sheet7(F_23)'!D16</f>
        <v>6262.812693609587</v>
      </c>
      <c r="E29" s="5">
        <f>NPV(Title_RESULTS!$C$37,'Sheet7(F_23)'!E17:E26)+'Sheet7(F_23)'!E16</f>
        <v>0</v>
      </c>
      <c r="F29" s="5">
        <f>NPV(Title_RESULTS!$C$37,'Sheet7(F_23)'!F17:F26)+'Sheet7(F_23)'!F16</f>
        <v>6621.661851246642</v>
      </c>
      <c r="G29" s="5">
        <f>NPV(Title_RESULTS!$C$37,'Sheet7(F_23)'!G17:G26)+'Sheet7(F_23)'!G16</f>
        <v>2804.9249145836384</v>
      </c>
      <c r="H29" s="5">
        <f>NPV(Title_RESULTS!$C$37,'Sheet7(F_23)'!H17:H26)+'Sheet7(F_23)'!H16</f>
        <v>1238.3420416092058</v>
      </c>
      <c r="I29" s="5">
        <f>NPV(Title_RESULTS!$C$37,'Sheet7(F_23)'!I17:I26)+'Sheet7(F_23)'!I16</f>
        <v>10024.753277023574</v>
      </c>
      <c r="J29" s="5">
        <f>NPV(Title_RESULTS!$C$37,'Sheet7(F_23)'!J17:J26)+'Sheet7(F_23)'!J16</f>
        <v>0</v>
      </c>
      <c r="K29" s="5">
        <f>NPV(Title_RESULTS!$C$37,'Sheet7(F_23)'!K17:K26)+'Sheet7(F_23)'!K16</f>
        <v>14068.020233216417</v>
      </c>
      <c r="L29" s="5">
        <f>NPV(Title_RESULTS!$C$37,'Sheet7(F_23)'!L17:L26)+'Sheet7(F_23)'!L16</f>
        <v>7446.358381969774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2.1245452500066686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Lighting Controls</v>
      </c>
      <c r="L2" t="s">
        <v>55</v>
      </c>
    </row>
    <row r="3" ht="12.75">
      <c r="L3" s="35">
        <f>+Title_RESULTS!I4</f>
        <v>43599.32328159722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475.3114450793553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203.51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678.8214450793553</v>
      </c>
      <c r="G16" s="5">
        <f>IF(A16&gt;=(Title_RESULTS!$H$7+Title_RESULTS!$C$17),0,(+'Sheet6(p_6)'!$H16))</f>
        <v>2183.63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2183.63</v>
      </c>
      <c r="K16" s="23">
        <f>IF(A16&gt;=(Title_RESULTS!$H$7+Title_RESULTS!$C$17),0,(+F16-J16))</f>
        <v>-1504.8085549206448</v>
      </c>
      <c r="L16" s="23">
        <f>IF(A16&gt;=(Title_RESULTS!$H$7+Title_RESULTS!$C$17),0,(+$K16/((1+Title_RESULTS!$C$37)^('Sheet8(F_24)'!$A16-Title_RESULTS!$H$7))))</f>
        <v>-1504.8085549206448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1460.9503043342233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203.51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1664.4603043342233</v>
      </c>
      <c r="G17" s="5">
        <f>IF(A17&gt;=(Title_RESULTS!$H$7+Title_RESULTS!$C$17),0,(+'Sheet6(p_6)'!$H17))</f>
        <v>2233.85349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2233.85349</v>
      </c>
      <c r="K17" s="23">
        <f>IF(A17&gt;=(Title_RESULTS!$H$7+Title_RESULTS!$C$17),0,(+F17-J17))</f>
        <v>-569.3931856657766</v>
      </c>
      <c r="L17" s="23">
        <f>IF(A16&gt;=(Title_RESULTS!$H$7+Title_RESULTS!$C$17),0,(+$K17/((1+Title_RESULTS!$C$37)^('Sheet8(F_24)'!$A17-Title_RESULTS!$H$7))+L16))</f>
        <v>-2036.5541522924946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2485.1361770812896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203.51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2688.6461770812894</v>
      </c>
      <c r="G18" s="5">
        <f>IF(A18&gt;=(Title_RESULTS!$H$7+Title_RESULTS!$C$17),0,(+'Sheet6(p_6)'!$H18))</f>
        <v>2285.2321202699995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2285.2321202699995</v>
      </c>
      <c r="K18" s="23">
        <f>IF(A18&gt;=(Title_RESULTS!$H$7+Title_RESULTS!$C$17),0,(+F18-J18))</f>
        <v>403.4140568112898</v>
      </c>
      <c r="L18" s="23">
        <f>IF(A17&gt;=(Title_RESULTS!$H$7+Title_RESULTS!$C$17),0,(+$K18/((1+Title_RESULTS!$C$37)^('Sheet8(F_24)'!$A18-Title_RESULTS!$H$7))+L17))</f>
        <v>-1684.722990888858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2990.1584590045377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2990.1584590045377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2990.1584590045377</v>
      </c>
      <c r="L19" s="23">
        <f>IF(A18&gt;=(Title_RESULTS!$H$7+Title_RESULTS!$C$17),0,(+$K19/((1+Title_RESULTS!$C$37)^('Sheet8(F_24)'!$A19-Title_RESULTS!$H$7))+L18))</f>
        <v>750.6703610577833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3075.6379753763645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3075.6379753763645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3075.6379753763645</v>
      </c>
      <c r="L20" s="23">
        <f>IF(A19&gt;=(Title_RESULTS!$H$7+Title_RESULTS!$C$17),0,(+$K20/((1+Title_RESULTS!$C$37)^('Sheet8(F_24)'!$A20-Title_RESULTS!$H$7))+L19))</f>
        <v>3090.055703629521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3165.978136437066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3165.978136437066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3165.978136437066</v>
      </c>
      <c r="L21" s="23">
        <f>IF(A20&gt;=(Title_RESULTS!$H$7+Title_RESULTS!$C$17),0,(+$K21/((1+Title_RESULTS!$C$37)^('Sheet8(F_24)'!$A21-Title_RESULTS!$H$7))+L20))</f>
        <v>5338.934754313917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3244.445694939701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3244.445694939701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3244.445694939701</v>
      </c>
      <c r="L22" s="23">
        <f>IF(A21&gt;=(Title_RESULTS!$H$7+Title_RESULTS!$C$17),0,(+$K22/((1+Title_RESULTS!$C$37)^('Sheet8(F_24)'!$A22-Title_RESULTS!$H$7))+L21))</f>
        <v>7491.172948876838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3344.80202184279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3344.80202184279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3344.80202184279</v>
      </c>
      <c r="L23" s="23">
        <f>IF(A22&gt;=(Title_RESULTS!$H$7+Title_RESULTS!$C$17),0,(+$K23/((1+Title_RESULTS!$C$37)^('Sheet8(F_24)'!$A23-Title_RESULTS!$H$7))+L22))</f>
        <v>9563.278525121274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3502.848130101368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3502.848130101368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3502.848130101368</v>
      </c>
      <c r="L24" s="23">
        <f>IF(A23&gt;=(Title_RESULTS!$H$7+Title_RESULTS!$C$17),0,(+$K24/((1+Title_RESULTS!$C$37)^('Sheet8(F_24)'!$A24-Title_RESULTS!$H$7))+L23))</f>
        <v>11589.814922681013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3603.820755777026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3603.820755777026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3603.820755777026</v>
      </c>
      <c r="L25" s="23">
        <f>IF(A24&gt;=(Title_RESULTS!$H$7+Title_RESULTS!$C$17),0,(+$K25/((1+Title_RESULTS!$C$37)^('Sheet8(F_24)'!$A25-Title_RESULTS!$H$7))+L24))</f>
        <v>13536.913410938063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27349.08909997372</v>
      </c>
      <c r="C27" s="5">
        <f t="shared" si="1"/>
        <v>0</v>
      </c>
      <c r="D27" s="5">
        <f t="shared" si="1"/>
        <v>610.53</v>
      </c>
      <c r="E27" s="5">
        <f t="shared" si="1"/>
        <v>0</v>
      </c>
      <c r="F27" s="5">
        <f t="shared" si="1"/>
        <v>27959.61909997372</v>
      </c>
      <c r="G27" s="5">
        <f t="shared" si="1"/>
        <v>6702.71561027</v>
      </c>
      <c r="H27" s="5">
        <f t="shared" si="1"/>
        <v>0</v>
      </c>
      <c r="I27" s="5">
        <f t="shared" si="1"/>
        <v>0</v>
      </c>
      <c r="J27" s="5">
        <f t="shared" si="1"/>
        <v>6702.71561027</v>
      </c>
      <c r="K27" s="5">
        <f t="shared" si="1"/>
        <v>21256.90348970372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19228.673925699874</v>
      </c>
      <c r="C29" s="5">
        <f>NPV(Title_RESULTS!$C$37,'Sheet8(F_24)'!C17:C26)+'Sheet8(F_24)'!C16</f>
        <v>0</v>
      </c>
      <c r="D29" s="5">
        <f>NPV(Title_RESULTS!$C$37,'Sheet8(F_24)'!D17:D26)+'Sheet8(F_24)'!D16</f>
        <v>571.0521788477754</v>
      </c>
      <c r="E29" s="5">
        <f>NPV(Title_RESULTS!$C$37,'Sheet8(F_24)'!E17:E26)+'Sheet8(F_24)'!E16</f>
        <v>0</v>
      </c>
      <c r="F29" s="5">
        <f>NPV(Title_RESULTS!$C$37,'Sheet8(F_24)'!F17:F26)+'Sheet8(F_24)'!F16</f>
        <v>19799.726104547648</v>
      </c>
      <c r="G29" s="5">
        <f>NPV(Title_RESULTS!$C$37,'Sheet8(F_24)'!G17:G26)+'Sheet8(F_24)'!G16</f>
        <v>6262.812693609587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6262.812693609587</v>
      </c>
      <c r="K29" s="5">
        <f>NPV(Title_RESULTS!$C$37,'Sheet8(F_24)'!K17:K26)+'Sheet8(F_24)'!K16</f>
        <v>13536.913410938061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3.1614750549303157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Lighting Controls</v>
      </c>
      <c r="N2" t="s">
        <v>55</v>
      </c>
    </row>
    <row r="3" ht="12.75">
      <c r="N3" s="35">
        <f>+Title_RESULTS!I4</f>
        <v>43599.32328159722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203.51</v>
      </c>
      <c r="E16" s="5">
        <f>+'Sheet6(p_6)'!M16</f>
        <v>291.26691000000005</v>
      </c>
      <c r="F16">
        <f>IF(A16&gt;=(Title_RESULTS!$H$7+Title_RESULTS!$C$17),0,(+'f-11B'!$R15))</f>
        <v>0</v>
      </c>
      <c r="G16" s="5">
        <f>IF(A16&gt;=(Title_RESULTS!$H$7+Title_RESULTS!$C$17),0,(SUM(B16:F16)))</f>
        <v>619.77691</v>
      </c>
      <c r="H16" s="5">
        <f>IF(A16&gt;=(Title_RESULTS!$H$7+Title_RESULTS!$C$17),0,(+'Sheet3(F_21)'!$J16+'Sheet4(F_22)'!$H16))</f>
        <v>231.3071139165251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231.3071139165251</v>
      </c>
      <c r="M16" s="23">
        <f>IF(A16&gt;=(Title_RESULTS!$H$7+Title_RESULTS!$C$17),0,(+L16-G16))</f>
        <v>-388.46979608347493</v>
      </c>
      <c r="N16" s="24">
        <f>IF(A16&gt;=(Title_RESULTS!$H$7+Title_RESULTS!$C$17),0,(+$M16/((1+Title_RESULTS!$C$37)^('Sheet9(F_25)'!$A16-Title_RESULTS!$H$7))))</f>
        <v>-388.46979608347493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203.51</v>
      </c>
      <c r="E17" s="5">
        <f>+'Sheet6(p_6)'!M17</f>
        <v>882.5387373000001</v>
      </c>
      <c r="F17">
        <f>IF(A17&gt;=(Title_RESULTS!$H$7+Title_RESULTS!$C$17),0,(+'f-11B'!$R16))</f>
        <v>0</v>
      </c>
      <c r="G17" s="5">
        <f>IF(A17&gt;=(Title_RESULTS!$H$7+Title_RESULTS!$C$17),0,(SUM(B17:F17)))</f>
        <v>1214.0487373</v>
      </c>
      <c r="H17" s="5">
        <f>IF(A17&gt;=(Title_RESULTS!$H$7+Title_RESULTS!$C$17),0,(+'Sheet3(F_21)'!$J17+'Sheet4(F_22)'!$H17))</f>
        <v>688.2770874275091</v>
      </c>
      <c r="I17" s="5">
        <f>IF(A17&gt;=(Title_RESULTS!$H$7+Title_RESULTS!$C$17),0,(+'Sheet4(F_22)'!$D17+'Sheet4(F_22)'!$G17))</f>
        <v>175.0059667364293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863.2830541639383</v>
      </c>
      <c r="M17" s="23">
        <f>IF(A17&gt;=(Title_RESULTS!$H$7+Title_RESULTS!$C$17),0,(+L17-G17))</f>
        <v>-350.76568313606174</v>
      </c>
      <c r="N17" s="24">
        <f>(IF(A16&gt;=(Title_RESULTS!$H$7+Title_RESULTS!$C$17),0,(+$M17/((1+Title_RESULTS!$C$37)^('Sheet9(F_25)'!$A17-Title_RESULTS!$H$7))+N16)))</f>
        <v>-716.0432767858113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203.51</v>
      </c>
      <c r="E18" s="5">
        <f>+'Sheet6(p_6)'!M18</f>
        <v>1485.6068744550003</v>
      </c>
      <c r="F18">
        <f>IF(A18&gt;=(Title_RESULTS!$H$7+Title_RESULTS!$C$17),0,(+'f-11B'!$R17))</f>
        <v>0</v>
      </c>
      <c r="G18" s="5">
        <f>IF(A18&gt;=(Title_RESULTS!$H$7+Title_RESULTS!$C$17),0,(SUM(B18:F18)))</f>
        <v>1820.1888744550001</v>
      </c>
      <c r="H18" s="5">
        <f>IF(A18&gt;=(Title_RESULTS!$H$7+Title_RESULTS!$C$17),0,(+'Sheet3(F_21)'!$J18+'Sheet4(F_22)'!$H18))</f>
        <v>1183.9133704538594</v>
      </c>
      <c r="I18" s="5">
        <f>IF(A18&gt;=(Title_RESULTS!$H$7+Title_RESULTS!$C$17),0,(+'Sheet4(F_22)'!$D18+'Sheet4(F_22)'!$G18))</f>
        <v>179.2061099381036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1363.119480391963</v>
      </c>
      <c r="M18" s="23">
        <f>IF(A18&gt;=(Title_RESULTS!$H$7+Title_RESULTS!$C$17),0,(+L18-G18))</f>
        <v>-457.0693940630372</v>
      </c>
      <c r="N18" s="24">
        <f>(IF(A17&gt;=(Title_RESULTS!$H$7+Title_RESULTS!$C$17),0,(+$M18/((1+Title_RESULTS!$C$37)^('Sheet9(F_25)'!$A18-Title_RESULTS!$H$7))+N17)))</f>
        <v>-1114.669088256926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1800.55553183946</v>
      </c>
      <c r="F19">
        <f>IF(A19&gt;=(Title_RESULTS!$H$7+Title_RESULTS!$C$17),0,(+'f-11B'!$R18))</f>
        <v>0</v>
      </c>
      <c r="G19" s="5">
        <f>IF(A19&gt;=(Title_RESULTS!$H$7+Title_RESULTS!$C$17),0,(SUM(B19:F19)))</f>
        <v>1800.55553183946</v>
      </c>
      <c r="H19" s="5">
        <f>IF(A19&gt;=(Title_RESULTS!$H$7+Title_RESULTS!$C$17),0,(+'Sheet3(F_21)'!$J19+'Sheet4(F_22)'!$H19))</f>
        <v>2034.6864286872749</v>
      </c>
      <c r="I19" s="5">
        <f>IF(A19&gt;=(Title_RESULTS!$H$7+Title_RESULTS!$C$17),0,(+'Sheet4(F_22)'!$D19+'Sheet4(F_22)'!$G19))</f>
        <v>183.50705657661808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2218.193485263893</v>
      </c>
      <c r="M19" s="23">
        <f>IF(A19&gt;=(Title_RESULTS!$H$7+Title_RESULTS!$C$17),0,(+L19-G19))</f>
        <v>417.6379534244329</v>
      </c>
      <c r="N19" s="24">
        <f>(IF(A18&gt;=(Title_RESULTS!$H$7+Title_RESULTS!$C$17),0,(+$M19/((1+Title_RESULTS!$C$37)^('Sheet9(F_25)'!$A19-Title_RESULTS!$H$7))+N18)))</f>
        <v>-774.5156451417156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1818.5610871578547</v>
      </c>
      <c r="F20">
        <f>IF(A20&gt;=(Title_RESULTS!$H$7+Title_RESULTS!$C$17),0,(+'f-11B'!$R19))</f>
        <v>0</v>
      </c>
      <c r="G20" s="5">
        <f>IF(A20&gt;=(Title_RESULTS!$H$7+Title_RESULTS!$C$17),0,(SUM(B20:F20)))</f>
        <v>1818.5610871578547</v>
      </c>
      <c r="H20" s="5">
        <f>IF(A20&gt;=(Title_RESULTS!$H$7+Title_RESULTS!$C$17),0,(+'Sheet3(F_21)'!$J20+'Sheet4(F_22)'!$H20))</f>
        <v>2107.6225504221493</v>
      </c>
      <c r="I20" s="5">
        <f>IF(A20&gt;=(Title_RESULTS!$H$7+Title_RESULTS!$C$17),0,(+'Sheet4(F_22)'!$D20+'Sheet4(F_22)'!$G20))</f>
        <v>187.91122593445692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2295.5337763566063</v>
      </c>
      <c r="M20" s="23">
        <f>IF(A20&gt;=(Title_RESULTS!$H$7+Title_RESULTS!$C$17),0,(+L20-G20))</f>
        <v>476.9726891987516</v>
      </c>
      <c r="N20" s="24">
        <f>(IF(A19&gt;=(Title_RESULTS!$H$7+Title_RESULTS!$C$17),0,(+$M20/((1+Title_RESULTS!$C$37)^('Sheet9(F_25)'!$A20-Title_RESULTS!$H$7))+N19)))</f>
        <v>-411.7216730123912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1836.746698029433</v>
      </c>
      <c r="F21">
        <f>IF(A21&gt;=(Title_RESULTS!$H$7+Title_RESULTS!$C$17),0,(+'f-11B'!$R20))</f>
        <v>0</v>
      </c>
      <c r="G21" s="5">
        <f>IF(A21&gt;=(Title_RESULTS!$H$7+Title_RESULTS!$C$17),0,(SUM(B21:F21)))</f>
        <v>1836.746698029433</v>
      </c>
      <c r="H21" s="5">
        <f>IF(A21&gt;=(Title_RESULTS!$H$7+Title_RESULTS!$C$17),0,(+'Sheet3(F_21)'!$J21+'Sheet4(F_22)'!$H21))</f>
        <v>2237.1157645136727</v>
      </c>
      <c r="I21" s="5">
        <f>IF(A21&gt;=(Title_RESULTS!$H$7+Title_RESULTS!$C$17),0,(+'Sheet4(F_22)'!$D21+'Sheet4(F_22)'!$G21))</f>
        <v>192.42109535688388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2429.536859870557</v>
      </c>
      <c r="M21" s="23">
        <f>IF(A21&gt;=(Title_RESULTS!$H$7+Title_RESULTS!$C$17),0,(+L21-G21))</f>
        <v>592.7901618411238</v>
      </c>
      <c r="N21" s="24">
        <f>(IF(A20&gt;=(Title_RESULTS!$H$7+Title_RESULTS!$C$17),0,(+$M21/((1+Title_RESULTS!$C$37)^('Sheet9(F_25)'!$A21-Title_RESULTS!$H$7))+N20)))</f>
        <v>9.353053017327284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1855.114165009728</v>
      </c>
      <c r="F22">
        <f>IF(A22&gt;=(Title_RESULTS!$H$7+Title_RESULTS!$C$17),0,(+'f-11B'!$R21))</f>
        <v>0</v>
      </c>
      <c r="G22" s="5">
        <f>IF(A22&gt;=(Title_RESULTS!$H$7+Title_RESULTS!$C$17),0,(SUM(B22:F22)))</f>
        <v>1855.114165009728</v>
      </c>
      <c r="H22" s="5">
        <f>IF(A22&gt;=(Title_RESULTS!$H$7+Title_RESULTS!$C$17),0,(+'Sheet3(F_21)'!$J22+'Sheet4(F_22)'!$H22))</f>
        <v>2308.206359799903</v>
      </c>
      <c r="I22" s="5">
        <f>IF(A22&gt;=(Title_RESULTS!$H$7+Title_RESULTS!$C$17),0,(+'Sheet4(F_22)'!$D22+'Sheet4(F_22)'!$G22))</f>
        <v>197.03920164544905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2505.245561445352</v>
      </c>
      <c r="M22" s="23">
        <f>IF(A22&gt;=(Title_RESULTS!$H$7+Title_RESULTS!$C$17),0,(+L22-G22))</f>
        <v>650.1313964356241</v>
      </c>
      <c r="N22" s="24">
        <f>(IF(A21&gt;=(Title_RESULTS!$H$7+Title_RESULTS!$C$17),0,(+$M22/((1+Title_RESULTS!$C$37)^('Sheet9(F_25)'!$A22-Title_RESULTS!$H$7))+N21)))</f>
        <v>440.62475686357794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1873.6653066598246</v>
      </c>
      <c r="F23">
        <f>IF(A23&gt;=(Title_RESULTS!$H$7+Title_RESULTS!$C$17),0,(+'f-11B'!$R22))</f>
        <v>0</v>
      </c>
      <c r="G23" s="5">
        <f>IF(A23&gt;=(Title_RESULTS!$H$7+Title_RESULTS!$C$17),0,(SUM(B23:F23)))</f>
        <v>1873.6653066598246</v>
      </c>
      <c r="H23" s="5">
        <f>IF(A23&gt;=(Title_RESULTS!$H$7+Title_RESULTS!$C$17),0,(+'Sheet3(F_21)'!$J23+'Sheet4(F_22)'!$H23))</f>
        <v>2430.939538412019</v>
      </c>
      <c r="I23" s="5">
        <f>IF(A23&gt;=(Title_RESULTS!$H$7+Title_RESULTS!$C$17),0,(+'Sheet4(F_22)'!$D23+'Sheet4(F_22)'!$G23))</f>
        <v>201.76814248493986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2632.7076808969587</v>
      </c>
      <c r="M23" s="23">
        <f>IF(A23&gt;=(Title_RESULTS!$H$7+Title_RESULTS!$C$17),0,(+L23-G23))</f>
        <v>759.042374237134</v>
      </c>
      <c r="N23" s="24">
        <f>(IF(A22&gt;=(Title_RESULTS!$H$7+Title_RESULTS!$C$17),0,(+$M23/((1+Title_RESULTS!$C$37)^('Sheet9(F_25)'!$A23-Title_RESULTS!$H$7))+N22)))</f>
        <v>910.8516719370305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1892.4019597264232</v>
      </c>
      <c r="F24">
        <f>IF(A24&gt;=(Title_RESULTS!$H$7+Title_RESULTS!$C$17),0,(+'f-11B'!$R23))</f>
        <v>0</v>
      </c>
      <c r="G24" s="5">
        <f>IF(A24&gt;=(Title_RESULTS!$H$7+Title_RESULTS!$C$17),0,(SUM(B24:F24)))</f>
        <v>1892.4019597264232</v>
      </c>
      <c r="H24" s="5">
        <f>IF(A24&gt;=(Title_RESULTS!$H$7+Title_RESULTS!$C$17),0,(+'Sheet3(F_21)'!$J24+'Sheet4(F_22)'!$H24))</f>
        <v>2636.665920786035</v>
      </c>
      <c r="I24" s="5">
        <f>IF(A24&gt;=(Title_RESULTS!$H$7+Title_RESULTS!$C$17),0,(+'Sheet4(F_22)'!$D24+'Sheet4(F_22)'!$G24))</f>
        <v>206.6105779045784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2843.276498690613</v>
      </c>
      <c r="M24" s="23">
        <f>IF(A24&gt;=(Title_RESULTS!$H$7+Title_RESULTS!$C$17),0,(+L24-G24))</f>
        <v>950.8745389641899</v>
      </c>
      <c r="N24" s="24">
        <f>(IF(A23&gt;=(Title_RESULTS!$H$7+Title_RESULTS!$C$17),0,(+$M24/((1+Title_RESULTS!$C$37)^('Sheet9(F_25)'!$A24-Title_RESULTS!$H$7))+N23)))</f>
        <v>1460.9702586277992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1911.3259793236878</v>
      </c>
      <c r="F25">
        <f>IF(A25&gt;=(Title_RESULTS!$H$7+Title_RESULTS!$C$17),0,(+'f-11B'!$R24))</f>
        <v>0</v>
      </c>
      <c r="G25" s="5">
        <f>IF(A25&gt;=(Title_RESULTS!$H$7+Title_RESULTS!$C$17),0,(SUM(B25:F25)))</f>
        <v>1911.3259793236878</v>
      </c>
      <c r="H25" s="5">
        <f>IF(A25&gt;=(Title_RESULTS!$H$7+Title_RESULTS!$C$17),0,(+'Sheet3(F_21)'!$J25+'Sheet4(F_22)'!$H25))</f>
        <v>2796.9283430629525</v>
      </c>
      <c r="I25" s="5">
        <f>IF(A25&gt;=(Title_RESULTS!$H$7+Title_RESULTS!$C$17),0,(+'Sheet4(F_22)'!$D25+'Sheet4(F_22)'!$G25))</f>
        <v>211.56923177428828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3008.497574837241</v>
      </c>
      <c r="M25" s="23">
        <f>IF(A25&gt;=(Title_RESULTS!$H$7+Title_RESULTS!$C$17),0,(+L25-G25))</f>
        <v>1097.171595513553</v>
      </c>
      <c r="N25" s="24">
        <f>(IF(A24&gt;=(Title_RESULTS!$H$7+Title_RESULTS!$C$17),0,(+$M25/((1+Title_RESULTS!$C$37)^('Sheet9(F_25)'!$A25-Title_RESULTS!$H$7))+N24)))</f>
        <v>2053.7581079009533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384.072</v>
      </c>
      <c r="D27" s="5">
        <f t="shared" si="1"/>
        <v>610.53</v>
      </c>
      <c r="E27" s="5">
        <f t="shared" si="1"/>
        <v>15647.783249501412</v>
      </c>
      <c r="F27" s="5">
        <f t="shared" si="1"/>
        <v>0</v>
      </c>
      <c r="G27" s="5">
        <f t="shared" si="1"/>
        <v>16642.38524950141</v>
      </c>
      <c r="H27" s="5">
        <f t="shared" si="1"/>
        <v>18655.6624774819</v>
      </c>
      <c r="I27" s="5">
        <f t="shared" si="1"/>
        <v>1735.0386083517474</v>
      </c>
      <c r="J27" s="5">
        <f t="shared" si="1"/>
        <v>0</v>
      </c>
      <c r="K27" s="9">
        <f t="shared" si="1"/>
        <v>0</v>
      </c>
      <c r="L27" s="5">
        <f t="shared" si="1"/>
        <v>20390.701085833647</v>
      </c>
      <c r="M27" s="5">
        <f t="shared" si="1"/>
        <v>3748.3158363322354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358.8491576370552</v>
      </c>
      <c r="D29" s="5">
        <f>NPV(Title_RESULTS!$C$37,'Sheet9(F_25)'!D17:D26)+'Sheet9(F_25)'!D16</f>
        <v>571.0521788477754</v>
      </c>
      <c r="E29" s="5">
        <f>NPV(Title_RESULTS!$C$37,'Sheet9(F_25)'!E17:E26)+'Sheet9(F_25)'!E16</f>
        <v>11084.360788830632</v>
      </c>
      <c r="F29" s="5">
        <f>NPV(Title_RESULTS!$C$37,'Sheet9(F_25)'!F17:F26)+'Sheet9(F_25)'!F16</f>
        <v>0</v>
      </c>
      <c r="G29" s="5">
        <f>NPV(Title_RESULTS!$C$37,'Sheet9(F_25)'!G17:G26)+'Sheet9(F_25)'!G16</f>
        <v>12014.262125315463</v>
      </c>
      <c r="H29" s="5">
        <f>NPV(Title_RESULTS!$C$37,'Sheet9(F_25)'!H17:H26)+'Sheet9(F_25)'!H16</f>
        <v>12829.678191607209</v>
      </c>
      <c r="I29" s="5">
        <f>NPV(Title_RESULTS!$C$37,'Sheet9(F_25)'!I17:I26)+'Sheet9(F_25)'!I16</f>
        <v>1238.3420416092058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14068.020233216415</v>
      </c>
      <c r="M29" s="5">
        <f>NPV(Title_RESULTS!$C$37,'Sheet9(F_25)'!M17:M26)+'Sheet9(F_25)'!M16</f>
        <v>2053.758107900953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1.1709433410457595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4393.920220650636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256.3100672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546.5677824000002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25.329151264917467</v>
      </c>
      <c r="P24" s="48">
        <f aca="true" t="shared" si="4" ref="P24:P61">N24*$L$5</f>
        <v>54.0130873054529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25.937050895275487</v>
      </c>
      <c r="P25" s="48">
        <f t="shared" si="4"/>
        <v>55.30940140078377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604.5623930870834</v>
      </c>
      <c r="E26" s="11">
        <f>IF(B26=Title_RESULTS!$H$8,$F$16,+E25*(1+$F$7))</f>
        <v>0.09882230355451863</v>
      </c>
      <c r="F26" s="9">
        <f t="shared" si="1"/>
        <v>434.2173178394746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35.2658718905456</v>
      </c>
      <c r="L26" s="5">
        <f t="shared" si="3"/>
        <v>75.20262315165905</v>
      </c>
      <c r="N26" s="11">
        <f>IF(+B26=Title_RESULTS!$H$9,'Value of Defferal'!$O$16,+'Value of Defferal'!N25*(1+'Value of Defferal'!$F$7))</f>
        <v>0.10362269577198292</v>
      </c>
      <c r="O26" s="5">
        <f t="shared" si="7"/>
        <v>26.559540116762097</v>
      </c>
      <c r="P26" s="48">
        <f t="shared" si="4"/>
        <v>56.63682703440258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586.7097356773054</v>
      </c>
      <c r="E27" s="11">
        <f>IF(B27=Title_RESULTS!$H$8,$F$16,+E26*(1+$F$7))</f>
        <v>0.10119403883982707</v>
      </c>
      <c r="F27" s="9">
        <f t="shared" si="1"/>
        <v>444.638533467622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34.2244747803083</v>
      </c>
      <c r="L27" s="5">
        <f t="shared" si="3"/>
        <v>72.98189840464386</v>
      </c>
      <c r="N27" s="11">
        <f>IF(+B27=Title_RESULTS!$H$9,'Value of Defferal'!$O$16,+'Value of Defferal'!N26*(1+'Value of Defferal'!$F$7))</f>
        <v>0.10610964047051051</v>
      </c>
      <c r="O27" s="5">
        <f t="shared" si="7"/>
        <v>27.196969079564386</v>
      </c>
      <c r="P27" s="48">
        <f t="shared" si="4"/>
        <v>57.99611088322824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567.0005320979537</v>
      </c>
      <c r="E28" s="11">
        <f>IF(B28=Title_RESULTS!$H$8,$F$16,+E27*(1+$F$7))</f>
        <v>0.10362269577198292</v>
      </c>
      <c r="F28" s="9">
        <f t="shared" si="1"/>
        <v>455.3098582708449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33.07477996560954</v>
      </c>
      <c r="L28" s="5">
        <f t="shared" si="3"/>
        <v>70.5302344798853</v>
      </c>
      <c r="N28" s="11">
        <f>IF(+B28=Title_RESULTS!$H$9,'Value of Defferal'!$O$16,+'Value of Defferal'!N27*(1+'Value of Defferal'!$F$7))</f>
        <v>0.10865627184180277</v>
      </c>
      <c r="O28" s="5">
        <f t="shared" si="7"/>
        <v>27.849696337473933</v>
      </c>
      <c r="P28" s="48">
        <f t="shared" si="4"/>
        <v>59.38801754442572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548.2352907259487</v>
      </c>
      <c r="E29" s="11">
        <f>IF(B29=Title_RESULTS!$H$8,$F$16,+E28*(1+$F$7))</f>
        <v>0.10610964047051051</v>
      </c>
      <c r="F29" s="9">
        <f t="shared" si="1"/>
        <v>466.2372948693452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31.980149195010195</v>
      </c>
      <c r="L29" s="5">
        <f t="shared" si="3"/>
        <v>68.19599174268357</v>
      </c>
      <c r="N29" s="11">
        <f>IF(+B29=Title_RESULTS!$H$9,'Value of Defferal'!$O$16,+'Value of Defferal'!N28*(1+'Value of Defferal'!$F$7))</f>
        <v>0.11126402236600604</v>
      </c>
      <c r="O29" s="5">
        <f t="shared" si="7"/>
        <v>28.51808904957331</v>
      </c>
      <c r="P29" s="48">
        <f t="shared" si="4"/>
        <v>60.81332996549194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530.3193538551795</v>
      </c>
      <c r="E30" s="11">
        <f>IF(B30=Title_RESULTS!$H$8,$F$16,+E29*(1+$F$7))</f>
        <v>0.10865627184180277</v>
      </c>
      <c r="F30" s="9">
        <f t="shared" si="1"/>
        <v>477.4269899462095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30.93506081090252</v>
      </c>
      <c r="L30" s="5">
        <f t="shared" si="3"/>
        <v>65.96739554763826</v>
      </c>
      <c r="N30" s="11">
        <f>IF(+B30=Title_RESULTS!$H$9,'Value of Defferal'!$O$16,+'Value of Defferal'!N29*(1+'Value of Defferal'!$F$7))</f>
        <v>0.11393435890279018</v>
      </c>
      <c r="O30" s="5">
        <f t="shared" si="7"/>
        <v>29.202523186763067</v>
      </c>
      <c r="P30" s="48">
        <f t="shared" si="4"/>
        <v>62.27284988466374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513.1685231945754</v>
      </c>
      <c r="E31" s="11">
        <f>IF(B31=Title_RESULTS!$H$8,$F$16,+E30*(1+$F$7))</f>
        <v>0.11126402236600604</v>
      </c>
      <c r="F31" s="9">
        <f t="shared" si="1"/>
        <v>488.88523770491855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29.934603283591215</v>
      </c>
      <c r="L31" s="5">
        <f t="shared" si="3"/>
        <v>63.83397231513899</v>
      </c>
      <c r="N31" s="11">
        <f>IF(+B31=Title_RESULTS!$H$9,'Value of Defferal'!$O$16,+'Value of Defferal'!N30*(1+'Value of Defferal'!$F$7))</f>
        <v>0.11666878351645714</v>
      </c>
      <c r="O31" s="5">
        <f t="shared" si="7"/>
        <v>29.90338374324538</v>
      </c>
      <c r="P31" s="48">
        <f t="shared" si="4"/>
        <v>63.76739828189567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496.5516456717557</v>
      </c>
      <c r="E32" s="11">
        <f>IF(B32=Title_RESULTS!$H$8,$F$16,+E31*(1+$F$7))</f>
        <v>0.11393435890279018</v>
      </c>
      <c r="F32" s="9">
        <f t="shared" si="1"/>
        <v>500.6184834098366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28.96529278621095</v>
      </c>
      <c r="L32" s="5">
        <f t="shared" si="3"/>
        <v>61.766968491224524</v>
      </c>
      <c r="N32" s="11">
        <f>IF(+B32=Title_RESULTS!$H$9,'Value of Defferal'!$O$16,+'Value of Defferal'!N31*(1+'Value of Defferal'!$F$7))</f>
        <v>0.11946883432085212</v>
      </c>
      <c r="O32" s="5">
        <f t="shared" si="7"/>
        <v>30.621064953083273</v>
      </c>
      <c r="P32" s="48">
        <f t="shared" si="4"/>
        <v>65.29781584066117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480.10577958483765</v>
      </c>
      <c r="E33" s="11">
        <f>IF(B33=Title_RESULTS!$H$8,$F$16,+E32*(1+$F$7))</f>
        <v>0.11666878351645714</v>
      </c>
      <c r="F33" s="9">
        <f t="shared" si="1"/>
        <v>512.6333270116727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28.00595788019939</v>
      </c>
      <c r="L33" s="5">
        <f t="shared" si="3"/>
        <v>59.72123709297826</v>
      </c>
      <c r="N33" s="11">
        <f>IF(+B33=Title_RESULTS!$H$9,'Value of Defferal'!$O$16,+'Value of Defferal'!N32*(1+'Value of Defferal'!$F$7))</f>
        <v>0.12233608634455258</v>
      </c>
      <c r="O33" s="5">
        <f t="shared" si="7"/>
        <v>31.355970511957274</v>
      </c>
      <c r="P33" s="48">
        <f t="shared" si="4"/>
        <v>66.86496342083704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463.65991349791943</v>
      </c>
      <c r="E34" s="11">
        <f>IF(B34=Title_RESULTS!$H$8,$F$16,+E33*(1+$F$7))</f>
        <v>0.11946883432085212</v>
      </c>
      <c r="F34" s="9">
        <f t="shared" si="1"/>
        <v>524.9365268599528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27.046622974187823</v>
      </c>
      <c r="L34" s="5">
        <f t="shared" si="3"/>
        <v>57.675505694731974</v>
      </c>
      <c r="N34" s="11">
        <f>IF(+B34=Title_RESULTS!$H$9,'Value of Defferal'!$O$16,+'Value of Defferal'!N33*(1+'Value of Defferal'!$F$7))</f>
        <v>0.12527215241682185</v>
      </c>
      <c r="O34" s="5">
        <f t="shared" si="7"/>
        <v>32.108513804244254</v>
      </c>
      <c r="P34" s="48">
        <f t="shared" si="4"/>
        <v>68.46972254293715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447.21404741100133</v>
      </c>
      <c r="E35" s="11">
        <f>IF(B35=Title_RESULTS!$H$8,$F$16,+E34*(1+$F$7))</f>
        <v>0.12233608634455258</v>
      </c>
      <c r="F35" s="9">
        <f t="shared" si="1"/>
        <v>537.5350035045917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26.08728806817626</v>
      </c>
      <c r="L35" s="5">
        <f t="shared" si="3"/>
        <v>55.6297742964857</v>
      </c>
      <c r="N35" s="11">
        <f>IF(+B35=Title_RESULTS!$H$9,'Value of Defferal'!$O$16,+'Value of Defferal'!N34*(1+'Value of Defferal'!$F$7))</f>
        <v>0.12827868407482557</v>
      </c>
      <c r="O35" s="5">
        <f t="shared" si="7"/>
        <v>32.87911813554611</v>
      </c>
      <c r="P35" s="48">
        <f t="shared" si="4"/>
        <v>70.11299588396763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430.7681813240833</v>
      </c>
      <c r="E36" s="11">
        <f>IF(B36=Title_RESULTS!$H$8,$F$16,+E35*(1+$F$7))</f>
        <v>0.12527215241682185</v>
      </c>
      <c r="F36" s="9">
        <f t="shared" si="1"/>
        <v>550.435843588702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25.1279531621647</v>
      </c>
      <c r="L36" s="5">
        <f t="shared" si="3"/>
        <v>53.58404289823943</v>
      </c>
      <c r="N36" s="11">
        <f>IF(+B36=Title_RESULTS!$H$9,'Value of Defferal'!$O$16,+'Value of Defferal'!N35*(1+'Value of Defferal'!$F$7))</f>
        <v>0.1313573724926214</v>
      </c>
      <c r="O36" s="5">
        <f t="shared" si="7"/>
        <v>33.66821697079922</v>
      </c>
      <c r="P36" s="48">
        <f t="shared" si="4"/>
        <v>71.79570778518286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414.32231523716507</v>
      </c>
      <c r="E37" s="11">
        <f>IF(B37&gt;Title_RESULTS!$H$8-1+Title_RESULTS!$C$18,0,+E36*(1+$F$7))</f>
        <v>0.12827868407482557</v>
      </c>
      <c r="F37" s="9">
        <f t="shared" si="1"/>
        <v>563.6463038348307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24.16861825615313</v>
      </c>
      <c r="L37" s="5">
        <f t="shared" si="3"/>
        <v>51.53831149999315</v>
      </c>
      <c r="N37" s="11">
        <f>IF(+B37=Title_RESULTS!$H$9,'Value of Defferal'!$O$16,+'Value of Defferal'!N36*(1+'Value of Defferal'!$F$7))</f>
        <v>0.1345099494324443</v>
      </c>
      <c r="O37" s="5">
        <f t="shared" si="7"/>
        <v>34.4762541780984</v>
      </c>
      <c r="P37" s="48">
        <f t="shared" si="4"/>
        <v>73.51880477202724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397.8764491502469</v>
      </c>
      <c r="E38" s="11">
        <f>IF(B38&gt;Title_RESULTS!$H$8-1+Title_RESULTS!$C$18,0,+E37*(1+$F$7))</f>
        <v>0.1313573724926214</v>
      </c>
      <c r="F38" s="9">
        <f t="shared" si="1"/>
        <v>577.1738151268668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23.209283350141565</v>
      </c>
      <c r="L38" s="5">
        <f t="shared" si="3"/>
        <v>49.49258010174687</v>
      </c>
      <c r="N38" s="11">
        <f>IF(+B38=Title_RESULTS!$H$9,'Value of Defferal'!$O$16,+'Value of Defferal'!N37*(1+'Value of Defferal'!$F$7))</f>
        <v>0.13773818821882297</v>
      </c>
      <c r="O38" s="5">
        <f t="shared" si="7"/>
        <v>35.303684278372764</v>
      </c>
      <c r="P38" s="48">
        <f t="shared" si="4"/>
        <v>75.2832560865559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381.4305830633287</v>
      </c>
      <c r="E39" s="11">
        <f>IF(B39&gt;Title_RESULTS!$H$8-1+Title_RESULTS!$C$18,0,+E38*(1+$F$7))</f>
        <v>0.1345099494324443</v>
      </c>
      <c r="F39" s="9">
        <f t="shared" si="1"/>
        <v>591.0259866899115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22.24994844413</v>
      </c>
      <c r="L39" s="5">
        <f t="shared" si="3"/>
        <v>47.446848703500585</v>
      </c>
      <c r="N39" s="11">
        <f>IF(+B39&gt;Title_RESULTS!$H$9+Title_RESULTS!$C$19-1,0,+'Value of Defferal'!N38*(1+'Value of Defferal'!$F$7))</f>
        <v>0.14104390473607473</v>
      </c>
      <c r="O39" s="5">
        <f t="shared" si="7"/>
        <v>36.15097270105371</v>
      </c>
      <c r="P39" s="48">
        <f t="shared" si="4"/>
        <v>77.09005423263325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364.9847169764107</v>
      </c>
      <c r="E40" s="11">
        <f>IF(B40&gt;Title_RESULTS!$H$8-1+Title_RESULTS!$C$18,0,+E39*(1+$F$7))</f>
        <v>0.13773818821882297</v>
      </c>
      <c r="F40" s="9">
        <f t="shared" si="1"/>
        <v>605.2106103704695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21.290613538118443</v>
      </c>
      <c r="L40" s="5">
        <f t="shared" si="3"/>
        <v>45.401117305254324</v>
      </c>
      <c r="N40" s="11">
        <f>IF(+B40&gt;Title_RESULTS!$H$9+Title_RESULTS!$C$19-1,0,+'Value of Defferal'!N39*(1+'Value of Defferal'!$F$7))</f>
        <v>0.14442895844974052</v>
      </c>
      <c r="O40" s="5">
        <f t="shared" si="7"/>
        <v>37.018596045879</v>
      </c>
      <c r="P40" s="48">
        <f t="shared" si="4"/>
        <v>78.94021553421643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350.0831835201265</v>
      </c>
      <c r="E41" s="11">
        <f>IF(B41&gt;Title_RESULTS!$H$8-1+Title_RESULTS!$C$18,0,+E40*(1+$F$7))</f>
        <v>0.14104390473607473</v>
      </c>
      <c r="F41" s="9">
        <f t="shared" si="1"/>
        <v>619.7356650193608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20.421364018381443</v>
      </c>
      <c r="L41" s="5">
        <f t="shared" si="3"/>
        <v>43.54748827091682</v>
      </c>
      <c r="N41" s="11">
        <f>IF(+B41&gt;Title_RESULTS!$H$9+Title_RESULTS!$C$19-1,0,+'Value of Defferal'!N40*(1+'Value of Defferal'!$F$7))</f>
        <v>0.1478952534525343</v>
      </c>
      <c r="O41" s="5">
        <f t="shared" si="7"/>
        <v>37.90704235098009</v>
      </c>
      <c r="P41" s="48">
        <f t="shared" si="4"/>
        <v>80.83478070703764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338.2697923543583</v>
      </c>
      <c r="E42" s="11">
        <f>IF(B42&gt;Title_RESULTS!$H$8-1+Title_RESULTS!$C$18,0,+E41*(1+$F$7))</f>
        <v>0.14442895844974052</v>
      </c>
      <c r="F42" s="9">
        <f t="shared" si="1"/>
        <v>634.6093209798254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19.732254764797958</v>
      </c>
      <c r="L42" s="5">
        <f t="shared" si="3"/>
        <v>42.07799891110737</v>
      </c>
      <c r="N42" s="11">
        <f>IF(+B42&gt;Title_RESULTS!$H$9+Title_RESULTS!$C$19-1,0,+'Value of Defferal'!N41*(1+'Value of Defferal'!$F$7))</f>
        <v>0.1514447395353951</v>
      </c>
      <c r="O42" s="5">
        <f t="shared" si="7"/>
        <v>38.816811367403616</v>
      </c>
      <c r="P42" s="48">
        <f t="shared" si="4"/>
        <v>82.77481544400653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328.000210848472</v>
      </c>
      <c r="E43" s="11">
        <f>IF(B43&gt;Title_RESULTS!$H$8-1+Title_RESULTS!$C$18,0,+E42*(1+$F$7))</f>
        <v>0.1478952534525343</v>
      </c>
      <c r="F43" s="9">
        <f t="shared" si="1"/>
        <v>649.8399446833412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19.133200391093418</v>
      </c>
      <c r="L43" s="5">
        <f t="shared" si="3"/>
        <v>40.8005468619172</v>
      </c>
      <c r="N43" s="11">
        <f>IF(+B43&gt;Title_RESULTS!$H$9+Title_RESULTS!$C$19-1,0,+'Value of Defferal'!N42*(1+'Value of Defferal'!$F$7))</f>
        <v>0.1550794132842446</v>
      </c>
      <c r="O43" s="5">
        <f t="shared" si="7"/>
        <v>39.74841484022131</v>
      </c>
      <c r="P43" s="48">
        <f t="shared" si="4"/>
        <v>84.7614110146627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317.73062934258587</v>
      </c>
      <c r="E44" s="11">
        <f>IF(B44&gt;Title_RESULTS!$H$8-1+Title_RESULTS!$C$18,0,+E43*(1+$F$7))</f>
        <v>0.1514447395353951</v>
      </c>
      <c r="F44" s="9">
        <f t="shared" si="1"/>
        <v>665.4361033557414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18.534146017388885</v>
      </c>
      <c r="L44" s="5">
        <f t="shared" si="3"/>
        <v>39.52309481272703</v>
      </c>
      <c r="N44" s="11">
        <f>IF(+B44&gt;Title_RESULTS!$H$9+Title_RESULTS!$C$19-1,0,+'Value of Defferal'!N43*(1+'Value of Defferal'!$F$7))</f>
        <v>0.15880131920306648</v>
      </c>
      <c r="O44" s="5">
        <f t="shared" si="7"/>
        <v>40.702376796386616</v>
      </c>
      <c r="P44" s="48">
        <f t="shared" si="4"/>
        <v>86.7956848790146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307.4610478366995</v>
      </c>
      <c r="E45" s="11">
        <f>IF(B45&gt;Title_RESULTS!$H$8-1+Title_RESULTS!$C$18,0,+E44*(1+$F$7))</f>
        <v>0.1550794132842446</v>
      </c>
      <c r="F45" s="9">
        <f t="shared" si="1"/>
        <v>681.4065698362792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17.935091643684338</v>
      </c>
      <c r="L45" s="5">
        <f t="shared" si="3"/>
        <v>38.24564276353684</v>
      </c>
      <c r="N45" s="11">
        <f>IF(+B45&gt;Title_RESULTS!$H$9+Title_RESULTS!$C$19-1,0,+'Value of Defferal'!N44*(1+'Value of Defferal'!$F$7))</f>
        <v>0.16261255086394008</v>
      </c>
      <c r="O45" s="5">
        <f t="shared" si="7"/>
        <v>41.6792338394999</v>
      </c>
      <c r="P45" s="48">
        <f t="shared" si="4"/>
        <v>88.87878131611096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297.1914663308133</v>
      </c>
      <c r="E46" s="11">
        <f>IF(B46&gt;Title_RESULTS!$H$8-1+Title_RESULTS!$C$18,0,+E45*(1+$F$7))</f>
        <v>0.15880131920306648</v>
      </c>
      <c r="F46" s="9">
        <f t="shared" si="1"/>
        <v>697.7603275123499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17.336037269979798</v>
      </c>
      <c r="L46" s="5">
        <f t="shared" si="3"/>
        <v>36.968190714346676</v>
      </c>
      <c r="N46" s="11">
        <f>IF(+B46&gt;Title_RESULTS!$H$9+Title_RESULTS!$C$19-1,0,+'Value of Defferal'!N45*(1+'Value of Defferal'!$F$7))</f>
        <v>0.16651525208467466</v>
      </c>
      <c r="O46" s="5">
        <f t="shared" si="7"/>
        <v>42.6795354516479</v>
      </c>
      <c r="P46" s="48">
        <f t="shared" si="4"/>
        <v>91.01187206769764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286.92188482492713</v>
      </c>
      <c r="E47" s="11">
        <f>IF(B47&gt;Title_RESULTS!$H$8-1+Title_RESULTS!$C$18,0,+E46*(1+$F$7))</f>
        <v>0.16261255086394008</v>
      </c>
      <c r="F47" s="9">
        <f t="shared" si="1"/>
        <v>714.5065753726464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16.736982896275265</v>
      </c>
      <c r="L47" s="5">
        <f t="shared" si="3"/>
        <v>35.69073866515651</v>
      </c>
      <c r="N47" s="11">
        <f>IF(+B47&gt;Title_RESULTS!$H$9+Title_RESULTS!$C$19-1,0,+'Value of Defferal'!N46*(1+'Value of Defferal'!$F$7))</f>
        <v>0.17051161813470686</v>
      </c>
      <c r="O47" s="5">
        <f t="shared" si="7"/>
        <v>43.703844302487454</v>
      </c>
      <c r="P47" s="48">
        <f t="shared" si="4"/>
        <v>93.19615699732238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276.65230331904087</v>
      </c>
      <c r="E48" s="11">
        <f>IF(B48&gt;Title_RESULTS!$H$8-1+Title_RESULTS!$C$18,0,+E47*(1+$F$7))</f>
        <v>0.16651525208467466</v>
      </c>
      <c r="F48" s="9">
        <f t="shared" si="1"/>
        <v>731.65473318159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16.137928522570725</v>
      </c>
      <c r="L48" s="5">
        <f t="shared" si="3"/>
        <v>34.413286615966335</v>
      </c>
      <c r="N48" s="11">
        <f>IF(+B48&gt;Title_RESULTS!$H$9+Title_RESULTS!$C$19-1,0,+'Value of Defferal'!N47*(1+'Value of Defferal'!$F$7))</f>
        <v>0.17460389696993983</v>
      </c>
      <c r="O48" s="5">
        <f t="shared" si="7"/>
        <v>44.752736565747156</v>
      </c>
      <c r="P48" s="48">
        <f t="shared" si="4"/>
        <v>95.43286476525812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266.38272181315455</v>
      </c>
      <c r="E49" s="11">
        <f>IF(B49&gt;Title_RESULTS!$H$8-1+Title_RESULTS!$C$18,0,+E48*(1+$F$7))</f>
        <v>0.17051161813470686</v>
      </c>
      <c r="F49" s="9">
        <f t="shared" si="1"/>
        <v>749.2144467779482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15.53887414886618</v>
      </c>
      <c r="L49" s="5">
        <f t="shared" si="3"/>
        <v>33.135834566776154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256.11314030726834</v>
      </c>
      <c r="E50" s="11">
        <f>IF(B50&gt;Title_RESULTS!$H$8-1+Title_RESULTS!$C$18,0,+E49*(1+$F$7))</f>
        <v>0.17460389696993983</v>
      </c>
      <c r="F50" s="9">
        <f t="shared" si="1"/>
        <v>767.195593500619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14.939819775161642</v>
      </c>
      <c r="L50" s="5">
        <f t="shared" si="3"/>
        <v>31.85838251758598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245.84355880138213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14.340765401457103</v>
      </c>
      <c r="L51" s="5">
        <f t="shared" si="3"/>
        <v>30.58093046839581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10497.55939985362</v>
      </c>
      <c r="F63" s="9">
        <f>SUM(F23:F61)</f>
        <v>14641.29041271495</v>
      </c>
      <c r="J63" t="s">
        <v>87</v>
      </c>
      <c r="K63" s="9">
        <f>SUM(K23:K61)</f>
        <v>612.3529832351063</v>
      </c>
      <c r="O63" s="9">
        <f>SUM(O23:O61)</f>
        <v>854.0687907669832</v>
      </c>
    </row>
    <row r="64" spans="3:15" ht="12.75">
      <c r="C64" t="s">
        <v>89</v>
      </c>
      <c r="D64" s="9">
        <f>NPV(+Title_RESULTS!$C$37,'Value of Defferal'!D24:D61)+'Value of Defferal'!D23</f>
        <v>4687.223760189504</v>
      </c>
      <c r="F64" s="9">
        <f>NPV(+Title_RESULTS!$C$37,'Value of Defferal'!F24:F61)+'Value of Defferal'!F23</f>
        <v>5444.298704545616</v>
      </c>
      <c r="J64" t="s">
        <v>89</v>
      </c>
      <c r="K64" s="9">
        <f>NPV(+Title_RESULTS!$C$37,'Value of Defferal'!K24:K61)+'Value of Defferal'!K23</f>
        <v>273.41931046206196</v>
      </c>
      <c r="O64" s="9">
        <f>NPV(+Title_RESULTS!$C$37,'Value of Defferal'!O24:O61)+'Value of Defferal'!O23</f>
        <v>364.14316887500945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2.398433469349468</v>
      </c>
      <c r="C25" t="s">
        <v>372</v>
      </c>
    </row>
    <row r="26" spans="2:3" ht="18">
      <c r="B26" s="15">
        <f>+((Input!$C$6*'EUE_Line Losses'!C4)+(Input!$C$7*'EUE_Line Losses'!C3))/'EUE_Line Losses'!C22</f>
        <v>2.3906965871902766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2.1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2.16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15119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2183.63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203.51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Lighting Controls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43599.32328159722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2.16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2.3906965871902766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15948.31223628692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15119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2183.63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203.51</v>
      </c>
      <c r="D39" s="13" t="s">
        <v>189</v>
      </c>
      <c r="G39" s="20" t="s">
        <v>346</v>
      </c>
      <c r="H39" s="79">
        <f>+'Sheet7(F_23)'!H31</f>
        <v>2.1245452500066686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13536.913410938061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1.1709433410457595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2019-05-14T11:45:33Z</dcterms:created>
  <dcterms:modified xsi:type="dcterms:W3CDTF">2019-05-14T11:45:33Z</dcterms:modified>
  <cp:category/>
  <cp:version/>
  <cp:contentType/>
  <cp:contentStatus/>
</cp:coreProperties>
</file>