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'Sheet2(F_12)'!$A$1:$K$42</definedName>
    <definedName name="_xlnm.Print_Area" localSheetId="11">'Sheet3(F_21)'!$A$1:$J$31</definedName>
    <definedName name="_xlnm.Print_Area" localSheetId="14">'Sheet4(F_22)'!$A$1:$J$31</definedName>
    <definedName name="_xlnm.Print_Area" localSheetId="12">'Sheet5(p_5)'!$A$1:$H$31</definedName>
    <definedName name="_xlnm.Print_Area" localSheetId="15">'Sheet6(p_6)'!$A$1:$R$31</definedName>
    <definedName name="_xlnm.Print_Area" localSheetId="16">'Sheet7(F_23)'!$A$1:$M$31</definedName>
    <definedName name="_xlnm.Print_Area" localSheetId="17">'Sheet8(F_24)'!$A$1:$M$31</definedName>
    <definedName name="_xlnm.Print_Area" localSheetId="18">'Sheet9(F_25)'!$A$1:$N$31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<sst xmlns="http://schemas.openxmlformats.org/spreadsheetml/2006/main" count="1258" uniqueCount="468">
  <si>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</si>
  <si>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</si>
  <si>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</si>
  <si>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</si>
  <si>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</si>
  <si>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</si>
  <si>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</si>
  <si>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</si>
  <si>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</si>
  <si>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</si>
  <si>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</si>
  <si>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</si>
  <si>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</si>
  <si>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</si>
  <si>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</si>
  <si>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</si>
  <si>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</si>
  <si>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</si>
  <si>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</si>
  <si>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</si>
  <si>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</si>
  <si>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</si>
  <si>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</si>
  <si>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</si>
  <si>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</si>
  <si>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</si>
  <si>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</si>
  <si>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</si>
  <si>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</si>
  <si>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</si>
  <si>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</si>
  <si>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</si>
  <si>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</si>
  <si>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</si>
  <si>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</si>
  <si>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</si>
  <si>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</si>
  <si>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</si>
  <si>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</si>
  <si>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</si>
  <si>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</si>
  <si>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</si>
  <si>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</si>
  <si>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</si>
  <si>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</si>
  <si>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</si>
  <si>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</si>
  <si>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</si>
  <si>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</si>
  <si>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</si>
  <si>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</si>
  <si>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</si>
  <si>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</si>
  <si>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</si>
  <si>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</si>
  <si>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</si>
  <si>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</si>
  <si>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</si>
  <si>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</si>
  <si>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</si>
  <si>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</si>
  <si>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</si>
  <si>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</si>
  <si>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</si>
  <si>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</si>
  <si>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</si>
  <si>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</si>
  <si>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</si>
  <si>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</si>
  <si>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</si>
  <si>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</si>
  <si>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</si>
  <si>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</si>
  <si>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</si>
  <si>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</si>
  <si>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</si>
  <si>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</si>
  <si>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</si>
  <si>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</si>
  <si>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</si>
  <si>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</si>
  <si>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</si>
  <si>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</si>
  <si>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</si>
  <si>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</si>
  <si>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</si>
  <si>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</si>
  <si>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</si>
  <si>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</si>
  <si>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</si>
  <si>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</si>
  <si>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</si>
  <si>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</si>
  <si>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</si>
  <si>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</si>
  <si>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</si>
  <si>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</si>
  <si>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</si>
  <si>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</si>
  <si>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</si>
  <si>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</si>
  <si>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</si>
  <si>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</si>
  <si>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</si>
  <si>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</si>
  <si>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</si>
  <si>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</si>
  <si>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</si>
  <si>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</si>
  <si>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</si>
  <si>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</si>
  <si>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</si>
  <si>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</si>
  <si>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</si>
  <si>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</si>
  <si>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</si>
  <si>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</si>
  <si>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</si>
  <si>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</si>
  <si>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</si>
  <si>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</si>
  <si>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</si>
  <si>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</si>
  <si>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</si>
  <si>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</si>
  <si>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</si>
  <si>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</si>
  <si>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</si>
  <si>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</si>
  <si>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</si>
  <si>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</si>
  <si>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</si>
  <si>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</si>
  <si>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</si>
  <si>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</si>
  <si>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</si>
  <si>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</si>
  <si>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</si>
  <si>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</si>
  <si>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</si>
  <si>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</si>
  <si>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</si>
  <si>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</si>
  <si>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</si>
  <si>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</si>
  <si>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</si>
  <si>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</si>
  <si>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</si>
  <si>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</si>
  <si>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</si>
  <si>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</si>
  <si>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</si>
  <si>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</si>
  <si>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</si>
  <si>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</si>
  <si>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</si>
  <si>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</si>
  <si>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</si>
  <si>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</si>
  <si>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</si>
  <si>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</si>
  <si>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</si>
  <si>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</si>
  <si>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</si>
  <si>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</si>
  <si>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</si>
  <si>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</si>
  <si>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</si>
  <si>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</si>
  <si>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</si>
  <si>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</si>
  <si>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</si>
  <si>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</si>
  <si>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</si>
  <si>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</si>
  <si>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</si>
  <si>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</si>
  <si>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</si>
  <si>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</si>
  <si>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</si>
  <si>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</si>
  <si>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</si>
  <si>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</si>
  <si>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</si>
  <si>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</si>
  <si>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</si>
  <si>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</si>
  <si>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</si>
  <si>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</si>
  <si>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</si>
  <si>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</si>
  <si>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</si>
  <si>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</si>
  <si>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</si>
  <si>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</si>
  <si>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</si>
  <si>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</si>
  <si>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</si>
  <si>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</si>
  <si>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</si>
  <si>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</si>
  <si>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</si>
  <si>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</si>
  <si>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</si>
  <si>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</si>
  <si>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</si>
  <si>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</si>
  <si>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</si>
  <si>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</si>
  <si>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</si>
  <si>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</si>
  <si>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</si>
  <si>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</si>
  <si>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</si>
  <si>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</si>
  <si>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</si>
  <si>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</si>
  <si>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</si>
  <si>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</si>
  <si>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</si>
  <si>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</si>
  <si>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</si>
  <si>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</si>
  <si>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</si>
  <si>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</si>
  <si>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</si>
  <si>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</si>
  <si>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</si>
  <si>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</si>
  <si>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</si>
  <si>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</si>
  <si>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</si>
  <si>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</si>
  <si>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</si>
  <si>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</si>
  <si>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</si>
  <si>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</si>
  <si>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</si>
  <si>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</si>
  <si>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</si>
  <si>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</si>
  <si>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</si>
  <si>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</si>
  <si>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</si>
  <si>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</si>
  <si>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</si>
  <si>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</si>
  <si>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</si>
  <si>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</si>
  <si>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</si>
  <si>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</si>
  <si>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</si>
  <si>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</si>
  <si>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</si>
  <si>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</si>
  <si>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</si>
  <si>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</si>
  <si>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</si>
  <si>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</si>
  <si>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</si>
  <si>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</si>
  <si>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</si>
  <si>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</si>
  <si>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</si>
  <si>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</si>
  <si>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</si>
  <si>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</si>
  <si>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</si>
  <si>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</si>
  <si>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</si>
  <si>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</si>
  <si>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</si>
  <si>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</si>
  <si>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</si>
  <si>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</si>
  <si>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</si>
  <si>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</si>
  <si>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</si>
  <si>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</si>
  <si>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</si>
  <si>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</si>
  <si>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</si>
  <si>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</si>
  <si>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</si>
  <si>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</si>
  <si>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</si>
  <si>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</si>
  <si>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</si>
  <si>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</si>
  <si>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</si>
  <si>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</si>
  <si>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</si>
  <si>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</si>
  <si>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</si>
  <si>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</si>
  <si>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</si>
  <si>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</si>
  <si>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</si>
  <si>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</si>
  <si>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</si>
  <si>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</si>
  <si>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</si>
  <si>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</si>
  <si>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</si>
  <si>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</si>
  <si>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</si>
  <si>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</si>
  <si>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</si>
  <si>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</si>
  <si>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</si>
  <si>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</si>
  <si>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</si>
  <si>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</si>
  <si>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</si>
  <si>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</si>
  <si>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</si>
  <si>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</si>
  <si>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</si>
  <si>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</si>
  <si>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</si>
  <si>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</si>
  <si>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</si>
  <si>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</si>
  <si>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</si>
  <si>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</si>
  <si>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</si>
  <si>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</si>
  <si>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</si>
  <si>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</si>
  <si>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</si>
  <si>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</si>
  <si>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</si>
  <si>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</si>
  <si>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</si>
  <si>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</si>
  <si>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</si>
  <si>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</si>
  <si>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</si>
  <si>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</si>
  <si>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</si>
  <si>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</si>
  <si>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</si>
  <si>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</si>
  <si>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</si>
  <si>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</si>
  <si>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</si>
  <si>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</si>
  <si>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</si>
  <si>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</si>
  <si>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</si>
  <si>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</si>
  <si>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</si>
  <si>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</si>
  <si>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</si>
  <si>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</si>
  <si>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</si>
  <si>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</si>
  <si>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</si>
  <si>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</si>
  <si>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</si>
  <si>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</si>
  <si>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</si>
  <si>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</si>
  <si>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</si>
  <si>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</si>
  <si>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</si>
  <si>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</si>
  <si>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</si>
  <si>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</si>
  <si>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</si>
  <si>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</si>
  <si>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</si>
  <si>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</si>
  <si>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</si>
  <si>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</si>
  <si>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</si>
  <si>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</si>
  <si>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</si>
  <si>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</si>
  <si>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</si>
  <si>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</si>
  <si>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</si>
  <si>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</si>
  <si>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</si>
  <si>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</si>
  <si>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</si>
  <si>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</si>
  <si>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</si>
  <si>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</si>
  <si>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</si>
  <si>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</si>
  <si>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</si>
  <si>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</si>
  <si>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</si>
  <si>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</si>
  <si>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</si>
  <si>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</si>
  <si>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</si>
  <si>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</si>
  <si>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</si>
  <si>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</si>
  <si>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</si>
  <si>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</si>
  <si>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</si>
  <si>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</si>
  <si>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</si>
  <si>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</si>
  <si>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</si>
  <si>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</si>
  <si>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</si>
  <si>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</si>
  <si>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</si>
  <si>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</si>
  <si>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</si>
  <si>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</si>
  <si>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</si>
  <si>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</si>
  <si>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</si>
  <si>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</si>
  <si>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</si>
  <si>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</si>
  <si>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</si>
  <si>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</si>
  <si>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</si>
  <si>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</si>
  <si>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</si>
  <si>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</si>
  <si>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</si>
  <si>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</si>
  <si>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</si>
  <si>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</si>
  <si>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</si>
  <si>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</si>
  <si>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</si>
  <si>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</si>
  <si>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</si>
  <si>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</si>
  <si>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</si>
  <si>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</si>
  <si>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</si>
  <si>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</si>
  <si>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</si>
  <si>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</si>
  <si>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</si>
  <si>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</si>
  <si>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</si>
  <si>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</si>
  <si>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</si>
  <si>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</si>
  <si>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</si>
  <si>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</si>
  <si>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</si>
  <si>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</si>
  <si>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</si>
  <si>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</si>
  <si>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</si>
  <si>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</si>
  <si>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</si>
  <si>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</si>
  <si>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</si>
  <si>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</si>
  <si>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</si>
  <si>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</si>
  <si>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</si>
  <si>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</si>
  <si>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</si>
  <si>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</si>
  <si>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Motor Equipment Upgrades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</si>
</sst>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43599.323404166666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4588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43599.323404166666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Motor Equipment Upgrades</v>
      </c>
      <c r="J2" t="s">
        <v>55</v>
      </c>
    </row>
    <row r="3" ht="12.75">
      <c r="J3" s="35">
        <f>+Title_RESULTS!I4</f>
        <v>43599.323404166666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4588</v>
      </c>
      <c r="H5" t="s">
        <v>59</v>
      </c>
    </row>
    <row r="6" spans="3:7" ht="12.75">
      <c r="C6" t="s">
        <v>61</v>
      </c>
      <c r="G6" s="36">
        <f>+'Value of Defferal'!E3</f>
        <v>2810.8346308345117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5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277.7731531298814</v>
      </c>
      <c r="D19" s="5">
        <f>IF((Title_RESULTS!$H$8-Title_RESULTS!$H$7)&lt;=('Sheet3(F_21)'!A19-Title_RESULTS!$H$7),((Title_RESULTS!$C$8*Partcipation!$C$26*8760*Title_RESULTS!$H$21/100000)),0)</f>
        <v>3657.249012622721</v>
      </c>
      <c r="E19" s="5">
        <f>IF($G19=0,0,((Title_RESULTS!$H$14*((1+Title_RESULTS!$H$15/100)^($A19-Title_RESULTS!$H$7))*'EUE_Line Losses'!$B$25*Partcipation!$C$26))/1000)</f>
        <v>28.81248203408279</v>
      </c>
      <c r="F19" s="5">
        <f>IF($G19=0,0,(Title_RESULTS!$H$19/100*((1+Title_RESULTS!$H$20/100)^($A19-Title_RESULTS!$H$7))*$D19*1000)/1000)</f>
        <v>8.24657657383501</v>
      </c>
      <c r="G19" s="5">
        <f>(+Title_RESULTS!$H$22/100*((1+Title_RESULTS!$H$23/100)^(+'Sheet4(F_22)'!A19-Title_RESULTS!$H$7)))*'Sheet3(F_21)'!D19</f>
        <v>156.68711577856976</v>
      </c>
      <c r="H19" s="5">
        <f>IF($G19=0,0,(($D19))*(Partcipation!$G19/100))</f>
        <v>116.03089076781693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355.48843674855203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284.43970880499853</v>
      </c>
      <c r="D20" s="5">
        <f>IF((Title_RESULTS!$H$8-Title_RESULTS!$H$7)&lt;=('Sheet3(F_21)'!A20-Title_RESULTS!$H$7),((Title_RESULTS!$C$8*Partcipation!$C$26*8760*Title_RESULTS!$H$21/100000)),0)</f>
        <v>3657.249012622721</v>
      </c>
      <c r="E20" s="5">
        <f>IF($G20=0,0,((Title_RESULTS!$H$14*((1+Title_RESULTS!$H$15/100)^($A20-Title_RESULTS!$H$7))*'EUE_Line Losses'!$B$25*Partcipation!$C$26))/1000)</f>
        <v>29.503981602900776</v>
      </c>
      <c r="F20" s="5">
        <f>IF($G20=0,0,(Title_RESULTS!$H$19/100*((1+Title_RESULTS!$H$20/100)^($A20-Title_RESULTS!$H$7))*$D20*1000)/1000)</f>
        <v>8.44449441160705</v>
      </c>
      <c r="G20" s="5">
        <f>(+Title_RESULTS!$H$22/100*((1+Title_RESULTS!$H$23/100)^(+'Sheet4(F_22)'!A20-Title_RESULTS!$H$7)))*'Sheet3(F_21)'!D20</f>
        <v>163.80071083491686</v>
      </c>
      <c r="H20" s="5">
        <f>IF($G20=0,0,(($D20))*(Partcipation!$G20/100))</f>
        <v>121.22146336414417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364.967432290279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291.26626181631855</v>
      </c>
      <c r="D21" s="5">
        <f>IF((Title_RESULTS!$H$8-Title_RESULTS!$H$7)&lt;=('Sheet3(F_21)'!A21-Title_RESULTS!$H$7),((Title_RESULTS!$C$8*Partcipation!$C$26*8760*Title_RESULTS!$H$21/100000)),0)</f>
        <v>3657.249012622721</v>
      </c>
      <c r="E21" s="5">
        <f>IF($G21=0,0,((Title_RESULTS!$H$14*((1+Title_RESULTS!$H$15/100)^($A21-Title_RESULTS!$H$7))*'EUE_Line Losses'!$B$25*Partcipation!$C$26))/1000)</f>
        <v>30.212077161370395</v>
      </c>
      <c r="F21" s="5">
        <f>IF($G21=0,0,(Title_RESULTS!$H$19/100*((1+Title_RESULTS!$H$20/100)^($A21-Title_RESULTS!$H$7))*$D21*1000)/1000)</f>
        <v>8.64716227748562</v>
      </c>
      <c r="G21" s="5">
        <f>(+Title_RESULTS!$H$22/100*((1+Title_RESULTS!$H$23/100)^(+'Sheet4(F_22)'!A21-Title_RESULTS!$H$7)))*'Sheet3(F_21)'!D21</f>
        <v>171.2372631068221</v>
      </c>
      <c r="H21" s="5">
        <f>IF($G21=0,0,(($D21))*(Partcipation!$G21/100))</f>
        <v>126.02526549529766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375.337498866699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298.2566520999102</v>
      </c>
      <c r="D22" s="5">
        <f>IF((Title_RESULTS!$H$8-Title_RESULTS!$H$7)&lt;=('Sheet3(F_21)'!A22-Title_RESULTS!$H$7),((Title_RESULTS!$C$8*Partcipation!$C$26*8760*Title_RESULTS!$H$21/100000)),0)</f>
        <v>3657.249012622721</v>
      </c>
      <c r="E22" s="5">
        <f>IF($G22=0,0,((Title_RESULTS!$H$14*((1+Title_RESULTS!$H$15/100)^($A22-Title_RESULTS!$H$7))*'EUE_Line Losses'!$B$25*Partcipation!$C$26))/1000)</f>
        <v>30.93716701324328</v>
      </c>
      <c r="F22" s="5">
        <f>IF($G22=0,0,(Title_RESULTS!$H$19/100*((1+Title_RESULTS!$H$20/100)^($A22-Title_RESULTS!$H$7))*$D22*1000)/1000)</f>
        <v>8.854694172145274</v>
      </c>
      <c r="G22" s="5">
        <f>(+Title_RESULTS!$H$22/100*((1+Title_RESULTS!$H$23/100)^(+'Sheet4(F_22)'!A22-Title_RESULTS!$H$7)))*'Sheet3(F_21)'!D22</f>
        <v>179.01143485187183</v>
      </c>
      <c r="H22" s="5">
        <f>IF($G22=0,0,(($D22))*(Partcipation!$G22/100))</f>
        <v>130.1085291430528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386.9514189941177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305.41481175030805</v>
      </c>
      <c r="D23" s="5">
        <f>IF((Title_RESULTS!$H$8-Title_RESULTS!$H$7)&lt;=('Sheet3(F_21)'!A23-Title_RESULTS!$H$7),((Title_RESULTS!$C$8*Partcipation!$C$26*8760*Title_RESULTS!$H$21/100000)),0)</f>
        <v>3657.249012622721</v>
      </c>
      <c r="E23" s="5">
        <f>IF($G23=0,0,((Title_RESULTS!$H$14*((1+Title_RESULTS!$H$15/100)^($A23-Title_RESULTS!$H$7))*'EUE_Line Losses'!$B$25*Partcipation!$C$26))/1000)</f>
        <v>31.679659021561125</v>
      </c>
      <c r="F23" s="5">
        <f>IF($G23=0,0,(Title_RESULTS!$H$19/100*((1+Title_RESULTS!$H$20/100)^($A23-Title_RESULTS!$H$7))*$D23*1000)/1000)</f>
        <v>9.067206832276764</v>
      </c>
      <c r="G23" s="5">
        <f>(+Title_RESULTS!$H$22/100*((1+Title_RESULTS!$H$23/100)^(+'Sheet4(F_22)'!A23-Title_RESULTS!$H$7)))*'Sheet3(F_21)'!D23</f>
        <v>187.13855399414683</v>
      </c>
      <c r="H23" s="5">
        <f>IF($G23=0,0,(($D23))*(Partcipation!$G23/100))</f>
        <v>135.9321438292326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397.36808776906014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312.74476723231544</v>
      </c>
      <c r="D24" s="5">
        <f>IF((Title_RESULTS!$H$8-Title_RESULTS!$H$7)&lt;=('Sheet3(F_21)'!A24-Title_RESULTS!$H$7),((Title_RESULTS!$C$8*Partcipation!$C$26*8760*Title_RESULTS!$H$21/100000)),0)</f>
        <v>3657.249012622721</v>
      </c>
      <c r="E24" s="5">
        <f>IF($G24=0,0,((Title_RESULTS!$H$14*((1+Title_RESULTS!$H$15/100)^($A24-Title_RESULTS!$H$7))*'EUE_Line Losses'!$B$25*Partcipation!$C$26))/1000)</f>
        <v>32.43997083807859</v>
      </c>
      <c r="F24" s="5">
        <f>IF($G24=0,0,(Title_RESULTS!$H$19/100*((1+Title_RESULTS!$H$20/100)^($A24-Title_RESULTS!$H$7))*$D24*1000)/1000)</f>
        <v>9.284819796251401</v>
      </c>
      <c r="G24" s="5">
        <f>(+Title_RESULTS!$H$22/100*((1+Title_RESULTS!$H$23/100)^(+'Sheet4(F_22)'!A24-Title_RESULTS!$H$7)))*'Sheet3(F_21)'!D24</f>
        <v>195.63464434548115</v>
      </c>
      <c r="H24" s="5">
        <f>IF($G24=0,0,(($D24))*(Partcipation!$G24/100))</f>
        <v>146.298925873397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403.80527633872964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320.250641645891</v>
      </c>
      <c r="D25" s="5">
        <f>IF((Title_RESULTS!$H$8-Title_RESULTS!$H$7)&lt;=('Sheet3(F_21)'!A25-Title_RESULTS!$H$7),((Title_RESULTS!$C$8*Partcipation!$C$26*8760*Title_RESULTS!$H$21/100000)),0)</f>
        <v>3657.249012622721</v>
      </c>
      <c r="E25" s="5">
        <f>IF($G25=0,0,((Title_RESULTS!$H$14*((1+Title_RESULTS!$H$15/100)^($A25-Title_RESULTS!$H$7))*'EUE_Line Losses'!$B$25*Partcipation!$C$26))/1000)</f>
        <v>33.21853013819247</v>
      </c>
      <c r="F25" s="5">
        <f>IF($G25=0,0,(Title_RESULTS!$H$19/100*((1+Title_RESULTS!$H$20/100)^($A25-Title_RESULTS!$H$7))*$D25*1000)/1000)</f>
        <v>9.507655471361435</v>
      </c>
      <c r="G25" s="5">
        <f>(+Title_RESULTS!$H$22/100*((1+Title_RESULTS!$H$23/100)^(+'Sheet4(F_22)'!A25-Title_RESULTS!$H$7)))*'Sheet3(F_21)'!D25</f>
        <v>204.516457198766</v>
      </c>
      <c r="H25" s="5">
        <f>IF($G25=0,0,(($D25))*(Partcipation!$G25/100))</f>
        <v>152.71934984871928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414.7739346054916</v>
      </c>
    </row>
    <row r="26" spans="3:10" ht="12.75"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87</v>
      </c>
      <c r="B27" s="9"/>
      <c r="C27" s="9">
        <f aca="true" t="shared" si="1" ref="C27:J27">SUM(C16:C26)</f>
        <v>2090.145996479623</v>
      </c>
      <c r="D27" s="9">
        <f t="shared" si="1"/>
        <v>25600.743088359046</v>
      </c>
      <c r="E27" s="9">
        <f t="shared" si="1"/>
        <v>216.80386780942942</v>
      </c>
      <c r="F27" s="9">
        <f t="shared" si="1"/>
        <v>62.05260953496254</v>
      </c>
      <c r="G27" s="9">
        <f t="shared" si="1"/>
        <v>1258.0261801105744</v>
      </c>
      <c r="H27" s="9">
        <f t="shared" si="1"/>
        <v>928.3365683216605</v>
      </c>
      <c r="I27" s="9">
        <f t="shared" si="1"/>
        <v>0</v>
      </c>
      <c r="J27" s="9">
        <f t="shared" si="1"/>
        <v>2698.692085612929</v>
      </c>
    </row>
    <row r="28" spans="3:10" ht="12.75"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89</v>
      </c>
      <c r="C29" s="5">
        <f>NPV(Title_RESULTS!$C$37,C17:C26)+'Sheet3(F_21)'!C16</f>
        <v>1390.5008747755842</v>
      </c>
      <c r="D29" s="5"/>
      <c r="E29" s="5">
        <f>NPV(Title_RESULTS!$C$37,E17:E26)+'Sheet3(F_21)'!E16</f>
        <v>144.23201458247067</v>
      </c>
      <c r="F29" s="5">
        <f>NPV(Title_RESULTS!$C$37,F17:F26)+'Sheet3(F_21)'!F16</f>
        <v>41.281426266777224</v>
      </c>
      <c r="G29" s="5">
        <f>NPV(Title_RESULTS!$C$37,G17:G26)+'Sheet3(F_21)'!G16</f>
        <v>832.2026500301246</v>
      </c>
      <c r="H29" s="5">
        <f>NPV(Title_RESULTS!$C$37,H17:H26)+'Sheet3(F_21)'!H16</f>
        <v>613.8969174545407</v>
      </c>
      <c r="I29" s="5">
        <f>NPV(Title_RESULTS!$C$37,I17:I26)+'Sheet3(F_21)'!I16</f>
        <v>0</v>
      </c>
      <c r="J29" s="5">
        <f>NPV(Title_RESULTS!$C$37,J17:J26)+'Sheet3(F_21)'!J16</f>
        <v>1794.3200482004158</v>
      </c>
    </row>
    <row r="31" ht="12.75">
      <c r="A31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Motor Equipment Upgrades</v>
      </c>
      <c r="F2" t="s">
        <v>55</v>
      </c>
    </row>
    <row r="3" spans="6:7" ht="12.75">
      <c r="F3" s="35">
        <f>+Title_RESULTS!I4</f>
        <v>43599.323404166666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5417.194092827004</v>
      </c>
      <c r="C16" s="5">
        <f>$B16*'Sheet2(F_12)'!$E16/100</f>
        <v>157.13707037744757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157.13707037744757</v>
      </c>
      <c r="G16" s="5">
        <f>+$F16*'Sheet2(F_12)'!$I16</f>
        <v>157.13707037744757</v>
      </c>
    </row>
    <row r="17" spans="1:7" ht="12.75">
      <c r="A17">
        <f>+A16+1</f>
        <v>2021</v>
      </c>
      <c r="B17" s="5">
        <f>(+Partcipation!$C16+(Partcipation!$C17-Partcipation!$C16)/2)*Title_RESULTS!$C$10/1000</f>
        <v>16251.582278481012</v>
      </c>
      <c r="C17" s="5">
        <f>$B17*'Sheet2(F_12)'!$E17/100</f>
        <v>467.57682154692407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467.57682154692407</v>
      </c>
      <c r="G17" s="5">
        <f>+$F17*'Sheet2(F_12)'!$I17</f>
        <v>467.57682154692407</v>
      </c>
    </row>
    <row r="18" spans="1:7" ht="12.75">
      <c r="A18">
        <f>+A17+1</f>
        <v>2022</v>
      </c>
      <c r="B18" s="5">
        <f>(+Partcipation!$C17+(Partcipation!$C18-Partcipation!$C17)/2)*Title_RESULTS!$C$10/1000</f>
        <v>27085.97046413502</v>
      </c>
      <c r="C18" s="5">
        <f>$B18*'Sheet2(F_12)'!$E18/100</f>
        <v>804.2842931365561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804.2842931365561</v>
      </c>
      <c r="G18" s="5">
        <f>+$F18*'Sheet2(F_12)'!$I18</f>
        <v>804.2842931365561</v>
      </c>
    </row>
    <row r="19" spans="1:7" ht="12.75">
      <c r="A19">
        <f aca="true" t="shared" si="0" ref="A19:A25">+A18+1</f>
        <v>2023</v>
      </c>
      <c r="B19" s="5">
        <f>(+Partcipation!$C18+(Partcipation!$C19-Partcipation!$C18)/2)*Title_RESULTS!$C$10/1000</f>
        <v>32503.164556962023</v>
      </c>
      <c r="C19" s="5">
        <f>$B19*'Sheet2(F_12)'!$E19/100</f>
        <v>1004.7349039313721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5">+C19-E19</f>
        <v>1004.7349039313721</v>
      </c>
      <c r="G19" s="5">
        <f>+$F19*'Sheet2(F_12)'!$I19</f>
        <v>1004.7349039313721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32503.164556962023</v>
      </c>
      <c r="C20" s="5">
        <f>$B20*'Sheet2(F_12)'!$E20/100</f>
        <v>1044.2171985841153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1044.2171985841153</v>
      </c>
      <c r="G20" s="5">
        <f>+$F20*'Sheet2(F_12)'!$I20</f>
        <v>1044.2171985841153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32503.164556962023</v>
      </c>
      <c r="C21" s="5">
        <f>$B21*'Sheet2(F_12)'!$E21/100</f>
        <v>1121.1748936718493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1121.1748936718493</v>
      </c>
      <c r="G21" s="5">
        <f>+$F21*'Sheet2(F_12)'!$I21</f>
        <v>1121.1748936718493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32503.164556962023</v>
      </c>
      <c r="C22" s="5">
        <f>$B22*'Sheet2(F_12)'!$E22/100</f>
        <v>1157.1361574716295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1157.1361574716295</v>
      </c>
      <c r="G22" s="5">
        <f>+$F22*'Sheet2(F_12)'!$I22</f>
        <v>1157.1361574716295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32503.164556962023</v>
      </c>
      <c r="C23" s="5">
        <f>$B23*'Sheet2(F_12)'!$E23/100</f>
        <v>1229.4519882039574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1229.4519882039574</v>
      </c>
      <c r="G23" s="5">
        <f>+$F23*'Sheet2(F_12)'!$I23</f>
        <v>1229.4519882039574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32503.164556962023</v>
      </c>
      <c r="C24" s="5">
        <f>$B24*'Sheet2(F_12)'!$E24/100</f>
        <v>1362.3749774234702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1362.3749774234702</v>
      </c>
      <c r="G24" s="5">
        <f>+$F24*'Sheet2(F_12)'!$I24</f>
        <v>1362.3749774234702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32503.164556962023</v>
      </c>
      <c r="C25" s="5">
        <f>$B25*'Sheet2(F_12)'!$E25/100</f>
        <v>1459.599871394717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1459.599871394717</v>
      </c>
      <c r="G25" s="5">
        <f>+$F25*'Sheet2(F_12)'!$I25</f>
        <v>1459.599871394717</v>
      </c>
    </row>
    <row r="26" spans="2:7" ht="12.75">
      <c r="B26" s="5"/>
      <c r="C26" s="5"/>
      <c r="D26" s="5"/>
      <c r="E26" s="5"/>
      <c r="F26" s="5"/>
      <c r="G26" s="5"/>
    </row>
    <row r="27" spans="1:7" ht="12.75">
      <c r="A27" t="s">
        <v>87</v>
      </c>
      <c r="B27" s="5">
        <f aca="true" t="shared" si="2" ref="B27:G27">SUM(B16:B26)</f>
        <v>276276.89873417723</v>
      </c>
      <c r="C27" s="5">
        <f t="shared" si="2"/>
        <v>9807.68817574204</v>
      </c>
      <c r="D27" s="5">
        <f t="shared" si="2"/>
        <v>0</v>
      </c>
      <c r="E27" s="5">
        <f t="shared" si="2"/>
        <v>0</v>
      </c>
      <c r="F27" s="5">
        <f t="shared" si="2"/>
        <v>9807.68817574204</v>
      </c>
      <c r="G27" s="5">
        <f t="shared" si="2"/>
        <v>9807.68817574204</v>
      </c>
    </row>
    <row r="28" spans="2:7" ht="12.75">
      <c r="B28" s="5"/>
      <c r="C28" s="5"/>
      <c r="D28" s="5"/>
      <c r="E28" s="5"/>
      <c r="F28" s="5"/>
      <c r="G28" s="5"/>
    </row>
    <row r="29" spans="1:7" ht="12.75">
      <c r="A29" t="s">
        <v>118</v>
      </c>
      <c r="B29" s="5"/>
      <c r="C29" s="5">
        <f>NPV(+Title_RESULTS!$C$37,C17:C26)+C16</f>
        <v>6810.254706548654</v>
      </c>
      <c r="D29" s="5"/>
      <c r="E29" s="5">
        <f>NPV(+Title_RESULTS!$C$37,E17:E26)+E16</f>
        <v>0</v>
      </c>
      <c r="F29" s="5">
        <f>NPV(+Title_RESULTS!$C$37,F17:F26)+F16</f>
        <v>6810.254706548654</v>
      </c>
      <c r="G29" s="5">
        <f>NPV(+Title_RESULTS!$C$37,G17:G26)+G16</f>
        <v>6810.254706548654</v>
      </c>
    </row>
    <row r="30" spans="6:7" ht="12.75">
      <c r="F30" s="9"/>
      <c r="G30" s="9"/>
    </row>
    <row r="31" ht="12.75">
      <c r="A31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Motor Equipment Upgrades</v>
      </c>
      <c r="J2" t="s">
        <v>42</v>
      </c>
    </row>
    <row r="3" spans="9:10" ht="12.75">
      <c r="I3" s="4"/>
      <c r="J3" s="35">
        <f>+Title_RESULTS!I4</f>
        <v>43599.323404166666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5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2:14" ht="15">
      <c r="B26" s="28"/>
      <c r="C26" s="28"/>
      <c r="D26" s="10"/>
      <c r="E26" s="10"/>
      <c r="N26" s="64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5" ht="12.75">
      <c r="B31" s="28"/>
      <c r="C31" s="28"/>
      <c r="D31" s="10"/>
      <c r="E31" s="10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Motor Equipment Upgrades</v>
      </c>
      <c r="H2" t="s">
        <v>108</v>
      </c>
    </row>
    <row r="3" ht="12.75">
      <c r="H3" s="35">
        <f>+Title_RESULTS!I4</f>
        <v>43599.323404166666</v>
      </c>
    </row>
    <row r="5" spans="3:6" ht="12.75">
      <c r="C5" t="s">
        <v>60</v>
      </c>
      <c r="F5" s="38">
        <f>+'Value of Defferal'!L4</f>
        <v>163.9641088</v>
      </c>
    </row>
    <row r="6" spans="3:6" ht="12.75">
      <c r="C6" t="s">
        <v>62</v>
      </c>
      <c r="F6" s="38">
        <f>+'Value of Defferal'!L5</f>
        <v>349.1960832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157.13707037744757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16.203310931879717</v>
      </c>
      <c r="C17" s="5">
        <f>IF(+Title_RESULTS!$H$9&lt;='Sheet4(F_22)'!$A17,(+Title_RESULTS!$H$16*((1+Title_RESULTS!$H$18/100)^('Sheet4(F_22)'!$A17-Title_RESULTS!$H$7))*Title_RESULTS!$C$8*Partcipation!$C$26/1000),0)</f>
        <v>13.060319019034262</v>
      </c>
      <c r="D17" s="5">
        <f>(+B17+C17)*+Partcipation!$H17</f>
        <v>29.26362995091398</v>
      </c>
      <c r="E17" s="5">
        <f>VLOOKUP(A17,'Value of Defferal'!$I24:$P$58,'Value of Defferal'!$K$13)</f>
        <v>34.50836133403934</v>
      </c>
      <c r="F17" s="5">
        <f>IF(+'Value of Defferal'!P24=0,0,Title_RESULTS!$H$17*Title_RESULTS!$C$7*Partcipation!$C$26*(1+Title_RESULTS!$H$18/100)^('Sheet4(F_22)'!A17-Title_RESULTS!$H$7))/1000</f>
        <v>48.0743424</v>
      </c>
      <c r="G17" s="5">
        <f>(+E17+F17)*Partcipation!$H17</f>
        <v>82.58270373403934</v>
      </c>
      <c r="H17" s="5">
        <f>+'Sheet5(p_5)'!$F17*'Sheet2(F_12)'!$I17</f>
        <v>467.57682154692407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16.59219039424483</v>
      </c>
      <c r="C18" s="5">
        <f>IF(+Title_RESULTS!$H$9&lt;='Sheet4(F_22)'!$A18,(+Title_RESULTS!$H$16*((1+Title_RESULTS!$H$18/100)^('Sheet4(F_22)'!$A18-Title_RESULTS!$H$7))*Title_RESULTS!$C$8*Partcipation!$C$26/1000),0)</f>
        <v>13.373766675491085</v>
      </c>
      <c r="D18" s="5">
        <f>(+B18+C18)*+Partcipation!$H18</f>
        <v>29.965957069735914</v>
      </c>
      <c r="E18" s="5">
        <f>VLOOKUP(A18,'Value of Defferal'!$I25:$P$58,'Value of Defferal'!$K$13)</f>
        <v>35.33656200605628</v>
      </c>
      <c r="F18" s="5">
        <f>IF(+'Value of Defferal'!P25=0,0,Title_RESULTS!$H$17*Title_RESULTS!$C$7*Partcipation!$C$26*(1+Title_RESULTS!$H$18/100)^('Sheet4(F_22)'!A18-Title_RESULTS!$H$7))/1000</f>
        <v>49.2281266176</v>
      </c>
      <c r="G18" s="5">
        <f>(+E18+F18)*Partcipation!$H18</f>
        <v>84.56468862365628</v>
      </c>
      <c r="H18" s="5">
        <f>+'Sheet5(p_5)'!$F18*'Sheet2(F_12)'!$I18</f>
        <v>804.2842931365561</v>
      </c>
      <c r="I18" s="5"/>
      <c r="J18" s="5"/>
    </row>
    <row r="19" spans="1:10" ht="12.75">
      <c r="A19">
        <f aca="true" t="shared" si="0" ref="A19:A25">+A18+1</f>
        <v>2023</v>
      </c>
      <c r="B19" s="5">
        <f>VLOOKUP(A19,'Value of Defferal'!$I26:$P$58,'Value of Defferal'!$K$9)</f>
        <v>16.990402963706707</v>
      </c>
      <c r="C19" s="5">
        <f>IF(+Title_RESULTS!$H$9&lt;='Sheet4(F_22)'!$A19,(+Title_RESULTS!$H$16*((1+Title_RESULTS!$H$18/100)^('Sheet4(F_22)'!$A19-Title_RESULTS!$H$7))*Title_RESULTS!$C$8*Partcipation!$C$26/1000),0)</f>
        <v>13.69473707570287</v>
      </c>
      <c r="D19" s="5">
        <f>(+B19+C19)*+Partcipation!$H19</f>
        <v>30.685140039409575</v>
      </c>
      <c r="E19" s="5">
        <f>VLOOKUP(A19,'Value of Defferal'!$I26:$P$58,'Value of Defferal'!$K$13)</f>
        <v>36.18463949420163</v>
      </c>
      <c r="F19" s="5">
        <f>IF(+'Value of Defferal'!P26=0,0,Title_RESULTS!$H$17*Title_RESULTS!$C$7*Partcipation!$C$26*(1+Title_RESULTS!$H$18/100)^('Sheet4(F_22)'!A19-Title_RESULTS!$H$7))/1000</f>
        <v>50.4096016564224</v>
      </c>
      <c r="G19" s="5">
        <f>(+E19+F19)*Partcipation!$H19</f>
        <v>86.59424115062404</v>
      </c>
      <c r="H19" s="5">
        <f>+'Sheet5(p_5)'!$F19*'Sheet2(F_12)'!$I19</f>
        <v>1004.7349039313721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17.398172634835667</v>
      </c>
      <c r="C20" s="5">
        <f>IF(+Title_RESULTS!$H$9&lt;='Sheet4(F_22)'!$A20,(+Title_RESULTS!$H$16*((1+Title_RESULTS!$H$18/100)^('Sheet4(F_22)'!$A20-Title_RESULTS!$H$7))*Title_RESULTS!$C$8*Partcipation!$C$26/1000),0)</f>
        <v>14.023410765519738</v>
      </c>
      <c r="D20" s="5">
        <f>(+B20+C20)*+Partcipation!$H20</f>
        <v>31.421583400355406</v>
      </c>
      <c r="E20" s="5">
        <f>VLOOKUP(A20,'Value of Defferal'!$I27:$P$58,'Value of Defferal'!$K$13)</f>
        <v>37.053070842062475</v>
      </c>
      <c r="F20" s="5">
        <f>IF(+'Value of Defferal'!P27=0,0,Title_RESULTS!$H$17*Title_RESULTS!$C$7*Partcipation!$C$26*(1+Title_RESULTS!$H$18/100)^('Sheet4(F_22)'!A20-Title_RESULTS!$H$7))/1000</f>
        <v>51.61943209617653</v>
      </c>
      <c r="G20" s="5">
        <f>(+E20+F20)*Partcipation!$H20</f>
        <v>88.672502938239</v>
      </c>
      <c r="H20" s="5">
        <f>+'Sheet5(p_5)'!$F20*'Sheet2(F_12)'!$I20</f>
        <v>1044.2171985841153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17.815728778071723</v>
      </c>
      <c r="C21" s="5">
        <f>IF(+Title_RESULTS!$H$9&lt;='Sheet4(F_22)'!$A21,(+Title_RESULTS!$H$16*((1+Title_RESULTS!$H$18/100)^('Sheet4(F_22)'!$A21-Title_RESULTS!$H$7))*Title_RESULTS!$C$8*Partcipation!$C$26/1000),0)</f>
        <v>14.359972623892215</v>
      </c>
      <c r="D21" s="5">
        <f>(+B21+C21)*+Partcipation!$H21</f>
        <v>32.175701401963934</v>
      </c>
      <c r="E21" s="5">
        <f>VLOOKUP(A21,'Value of Defferal'!$I28:$P$58,'Value of Defferal'!$K$13)</f>
        <v>37.942344542271975</v>
      </c>
      <c r="F21" s="5">
        <f>IF(+'Value of Defferal'!P28=0,0,Title_RESULTS!$H$17*Title_RESULTS!$C$7*Partcipation!$C$26*(1+Title_RESULTS!$H$18/100)^('Sheet4(F_22)'!A21-Title_RESULTS!$H$7))/1000</f>
        <v>52.858298466484776</v>
      </c>
      <c r="G21" s="5">
        <f>(+E21+F21)*Partcipation!$H21</f>
        <v>90.80064300875675</v>
      </c>
      <c r="H21" s="5">
        <f>+'Sheet5(p_5)'!$F21*'Sheet2(F_12)'!$I21</f>
        <v>1121.1748936718493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18.243306268745446</v>
      </c>
      <c r="C22" s="5">
        <f>IF(+Title_RESULTS!$H$9&lt;='Sheet4(F_22)'!$A22,(+Title_RESULTS!$H$16*((1+Title_RESULTS!$H$18/100)^('Sheet4(F_22)'!$A22-Title_RESULTS!$H$7))*Title_RESULTS!$C$8*Partcipation!$C$26/1000),0)</f>
        <v>14.704611966865622</v>
      </c>
      <c r="D22" s="5">
        <f>(+B22+C22)*+Partcipation!$H22</f>
        <v>32.94791823561107</v>
      </c>
      <c r="E22" s="5">
        <f>VLOOKUP(A22,'Value of Defferal'!$I29:$P$58,'Value of Defferal'!$K$13)</f>
        <v>38.8529608112865</v>
      </c>
      <c r="F22" s="5">
        <f>IF(+'Value of Defferal'!P29=0,0,Title_RESULTS!$H$17*Title_RESULTS!$C$7*Partcipation!$C$26*(1+Title_RESULTS!$H$18/100)^('Sheet4(F_22)'!A22-Title_RESULTS!$H$7))/1000</f>
        <v>54.1268976296804</v>
      </c>
      <c r="G22" s="5">
        <f>(+E22+F22)*Partcipation!$H22</f>
        <v>92.9798584409669</v>
      </c>
      <c r="H22" s="5">
        <f>+'Sheet5(p_5)'!$F22*'Sheet2(F_12)'!$I22</f>
        <v>1157.1361574716295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18.681145619195338</v>
      </c>
      <c r="C23" s="5">
        <f>IF(+Title_RESULTS!$H$9&lt;='Sheet4(F_22)'!$A23,(+Title_RESULTS!$H$16*((1+Title_RESULTS!$H$18/100)^('Sheet4(F_22)'!$A23-Title_RESULTS!$H$7))*Title_RESULTS!$C$8*Partcipation!$C$26/1000),0)</f>
        <v>15.057522654070402</v>
      </c>
      <c r="D23" s="5">
        <f>(+B23+C23)*+Partcipation!$H23</f>
        <v>33.73866827326574</v>
      </c>
      <c r="E23" s="5">
        <f>VLOOKUP(A23,'Value of Defferal'!$I30:$P$58,'Value of Defferal'!$K$13)</f>
        <v>39.78543187075738</v>
      </c>
      <c r="F23" s="5">
        <f>IF(+'Value of Defferal'!P30=0,0,Title_RESULTS!$H$17*Title_RESULTS!$C$7*Partcipation!$C$26*(1+Title_RESULTS!$H$18/100)^('Sheet4(F_22)'!A23-Title_RESULTS!$H$7))/1000</f>
        <v>55.42594317279274</v>
      </c>
      <c r="G23" s="5">
        <f>(+E23+F23)*Partcipation!$H23</f>
        <v>95.21137504355012</v>
      </c>
      <c r="H23" s="5">
        <f>+'Sheet5(p_5)'!$F23*'Sheet2(F_12)'!$I23</f>
        <v>1229.4519882039574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19.129493114056025</v>
      </c>
      <c r="C24" s="5">
        <f>IF(+Title_RESULTS!$H$9&lt;='Sheet4(F_22)'!$A24,(+Title_RESULTS!$H$16*((1+Title_RESULTS!$H$18/100)^('Sheet4(F_22)'!$A24-Title_RESULTS!$H$7))*Title_RESULTS!$C$8*Partcipation!$C$26/1000),0)</f>
        <v>15.418903197768088</v>
      </c>
      <c r="D24" s="5">
        <f>(+B24+C24)*+Partcipation!$H24</f>
        <v>34.54839631182411</v>
      </c>
      <c r="E24" s="5">
        <f>VLOOKUP(A24,'Value of Defferal'!$I31:$P$58,'Value of Defferal'!$K$13)</f>
        <v>40.740282235655556</v>
      </c>
      <c r="F24" s="5">
        <f>IF(+'Value of Defferal'!P31=0,0,Title_RESULTS!$H$17*Title_RESULTS!$C$7*Partcipation!$C$26*(1+Title_RESULTS!$H$18/100)^('Sheet4(F_22)'!A24-Title_RESULTS!$H$7))/1000</f>
        <v>56.75616580893976</v>
      </c>
      <c r="G24" s="5">
        <f>(+E24+F24)*Partcipation!$H24</f>
        <v>97.49644804459533</v>
      </c>
      <c r="H24" s="5">
        <f>+'Sheet5(p_5)'!$F24*'Sheet2(F_12)'!$I24</f>
        <v>1362.3749774234702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19.58860094879337</v>
      </c>
      <c r="C25" s="5">
        <f>IF(+Title_RESULTS!$H$9&lt;='Sheet4(F_22)'!$A25,(+Title_RESULTS!$H$16*((1+Title_RESULTS!$H$18/100)^('Sheet4(F_22)'!$A25-Title_RESULTS!$H$7))*Title_RESULTS!$C$8*Partcipation!$C$26/1000),0)</f>
        <v>15.78895687451452</v>
      </c>
      <c r="D25" s="5">
        <f>(+B25+C25)*+Partcipation!$H25</f>
        <v>35.37755782330789</v>
      </c>
      <c r="E25" s="5">
        <f>VLOOKUP(A25,'Value of Defferal'!$I32:$P$58,'Value of Defferal'!$K$13)</f>
        <v>41.71804900931129</v>
      </c>
      <c r="F25" s="5">
        <f>IF(+'Value of Defferal'!P32=0,0,Title_RESULTS!$H$17*Title_RESULTS!$C$7*Partcipation!$C$26*(1+Title_RESULTS!$H$18/100)^('Sheet4(F_22)'!A25-Title_RESULTS!$H$7))/1000</f>
        <v>58.11831378835431</v>
      </c>
      <c r="G25" s="5">
        <f>(+E25+F25)*Partcipation!$H25</f>
        <v>99.8363627976656</v>
      </c>
      <c r="H25" s="5">
        <f>+'Sheet5(p_5)'!$F25*'Sheet2(F_12)'!$I25</f>
        <v>1459.599871394717</v>
      </c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88</v>
      </c>
      <c r="B27" s="5">
        <f aca="true" t="shared" si="1" ref="B27:H27">SUM(B16:B26)</f>
        <v>160.6423516535288</v>
      </c>
      <c r="C27" s="5">
        <f t="shared" si="1"/>
        <v>129.4822008528588</v>
      </c>
      <c r="D27" s="5">
        <f t="shared" si="1"/>
        <v>290.12455250638766</v>
      </c>
      <c r="E27" s="5">
        <f t="shared" si="1"/>
        <v>342.1217021456424</v>
      </c>
      <c r="F27" s="5">
        <f t="shared" si="1"/>
        <v>476.617121636451</v>
      </c>
      <c r="G27" s="5">
        <f t="shared" si="1"/>
        <v>818.7388237820934</v>
      </c>
      <c r="H27" s="5">
        <f t="shared" si="1"/>
        <v>9807.68817574204</v>
      </c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90</v>
      </c>
      <c r="B29" s="5">
        <f>NPV(Title_RESULTS!$C$37,'Sheet4(F_22)'!B17:B26)+'Sheet4(F_22)'!B16</f>
        <v>114.65461157922854</v>
      </c>
      <c r="C29" s="5">
        <f>NPV(Title_RESULTS!$C$37,'Sheet4(F_22)'!C17:C26)+'Sheet4(F_22)'!C16</f>
        <v>92.41480401897532</v>
      </c>
      <c r="D29" s="5">
        <f>NPV(Title_RESULTS!$C$37,'Sheet4(F_22)'!D17:D26)+'Sheet4(F_22)'!D16</f>
        <v>207.06941559820385</v>
      </c>
      <c r="E29" s="5">
        <f>NPV(Title_RESULTS!$C$37,'Sheet4(F_22)'!E17:E26)+'Sheet4(F_22)'!E16</f>
        <v>244.1811295002384</v>
      </c>
      <c r="F29" s="5">
        <f>NPV(Title_RESULTS!$C$37,'Sheet4(F_22)'!F17:F26)+'Sheet4(F_22)'!F16</f>
        <v>340.1739976460111</v>
      </c>
      <c r="G29" s="5">
        <f>NPV(Title_RESULTS!$C$37,'Sheet4(F_22)'!G17:G26)+'Sheet4(F_22)'!G16</f>
        <v>584.3551271462495</v>
      </c>
      <c r="H29" s="5">
        <f>NPV(Title_RESULTS!$C$37,'Sheet4(F_22)'!H17:H26)+'Sheet4(F_22)'!H16</f>
        <v>6810.254706548654</v>
      </c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ht="12.75">
      <c r="A31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Motor Equipment Upgrades</v>
      </c>
      <c r="P2" t="s">
        <v>121</v>
      </c>
    </row>
    <row r="3" ht="12.75">
      <c r="P3" s="35">
        <f>+Title_RESULTS!I4</f>
        <v>43599.323404166666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587.2142003508415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587.2142003508415</v>
      </c>
      <c r="H16" s="5">
        <f>IF(Partcipation!$B17&lt;Partcipation!$B16,0,IF(Partcipation!$B16=0,0,(Partcipation!$B16-Partcipation!$B15)*(+Title_RESULTS!$C$29*(1+Title_RESULTS!$C$30/100)^(+'Sheet8(F_24)'!$A16-Title_RESULTS!$H$7))/1000))</f>
        <v>1920.26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1920.26</v>
      </c>
      <c r="K16" s="5">
        <f>(+Partcipation!$B15+(Partcipation!$B16-Partcipation!$B15)/2)*(+Title_RESULTS!$C$14)/1000</f>
        <v>5135.5</v>
      </c>
      <c r="L16" s="5">
        <f>($K16)*Partcipation!$E73*Title_RESULTS!$C$12/100</f>
        <v>125.0295270719001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191.64699000000002</v>
      </c>
      <c r="N16" s="5">
        <f>'Sheet2(F_12)'!$I16*('Sheet6(p_6)'!$L16+'Sheet6(p_6)'!$M16)</f>
        <v>316.6765170719001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587.2142003508415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587.2142003508415</v>
      </c>
      <c r="H17" s="5">
        <f>IF(Partcipation!$B18&lt;Partcipation!$B17,0,IF(Partcipation!$B17=0,0,(Partcipation!$B17-Partcipation!$B16)*(+Title_RESULTS!$C$29*(1+Title_RESULTS!$C$30/100)^(+'Sheet8(F_24)'!$A17-Title_RESULTS!$H$7))/1000))</f>
        <v>1964.4259799999998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1964.4259799999998</v>
      </c>
      <c r="K17" s="5">
        <f>(+Partcipation!$B16+(Partcipation!$B17-Partcipation!$B16)/2)*(+Title_RESULTS!$C$14)/1000</f>
        <v>15406.5</v>
      </c>
      <c r="L17" s="5">
        <f>($K17)*Partcipation!$E74*Title_RESULTS!$C$12/100</f>
        <v>392.9403535292352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580.6903797</v>
      </c>
      <c r="N17" s="5">
        <f>'Sheet2(F_12)'!$I17*('Sheet6(p_6)'!$L17+'Sheet6(p_6)'!$M17)</f>
        <v>973.6307332292351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587.2142003508415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587.2142003508415</v>
      </c>
      <c r="H18" s="5">
        <f>IF(Partcipation!$B19&lt;Partcipation!$B18,0,IF(Partcipation!$B18=0,0,(Partcipation!$B18-Partcipation!$B17)*(+Title_RESULTS!$C$29*(1+Title_RESULTS!$C$30/100)^(+'Sheet8(F_24)'!$A18-Title_RESULTS!$H$7))/1000))</f>
        <v>2009.6077775399997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2009.6077775399997</v>
      </c>
      <c r="K18" s="5">
        <f>(+Partcipation!$B17+(Partcipation!$B18-Partcipation!$B17)/2)*(+Title_RESULTS!$C$14)/1000</f>
        <v>25677.5</v>
      </c>
      <c r="L18" s="5">
        <f>($K18)*Partcipation!$E75*Title_RESULTS!$C$12/100</f>
        <v>679.0241065728301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977.4954724950001</v>
      </c>
      <c r="N18" s="5">
        <f>'Sheet2(F_12)'!$I18*('Sheet6(p_6)'!$L18+'Sheet6(p_6)'!$M18)</f>
        <v>1656.5195790678301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5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5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5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5">SUM(H19:I19)</f>
        <v>0</v>
      </c>
      <c r="K19" s="5">
        <f>(+Partcipation!$B18+(Partcipation!$B19-Partcipation!$B18)/2)*(+Title_RESULTS!$C$14)/1000</f>
        <v>30813</v>
      </c>
      <c r="L19" s="5">
        <f>($K19)*Partcipation!$E76*Title_RESULTS!$C$12/100</f>
        <v>808.1494586224296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1184.72451266394</v>
      </c>
      <c r="N19" s="5">
        <f>'Sheet2(F_12)'!$I19*('Sheet6(p_6)'!$L19+'Sheet6(p_6)'!$M19)</f>
        <v>1992.8739712863696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30813</v>
      </c>
      <c r="L20" s="5">
        <f>($K20)*Partcipation!$E77*Title_RESULTS!$C$12/100</f>
        <v>853.9874805802178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1196.5717577905793</v>
      </c>
      <c r="N20" s="5">
        <f>'Sheet2(F_12)'!$I20*('Sheet6(p_6)'!$L20+'Sheet6(p_6)'!$M20)</f>
        <v>2050.559238370797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30813</v>
      </c>
      <c r="L21" s="5">
        <f>($K21)*Partcipation!$E78*Title_RESULTS!$C$12/100</f>
        <v>903.00523208445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1208.537475368485</v>
      </c>
      <c r="N21" s="5">
        <f>'Sheet2(F_12)'!$I21*('Sheet6(p_6)'!$L21+'Sheet6(p_6)'!$M21)</f>
        <v>2111.5427074529352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30813</v>
      </c>
      <c r="L22" s="5">
        <f>($K22)*Partcipation!$E79*Title_RESULTS!$C$12/100</f>
        <v>943.8338609637375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1220.6228501221703</v>
      </c>
      <c r="N22" s="5">
        <f>'Sheet2(F_12)'!$I22*('Sheet6(p_6)'!$L22+'Sheet6(p_6)'!$M22)</f>
        <v>2164.456711085908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30813</v>
      </c>
      <c r="L23" s="5">
        <f>($K23)*Partcipation!$E80*Title_RESULTS!$C$12/100</f>
        <v>999.4077122590274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1232.8290786233915</v>
      </c>
      <c r="N23" s="5">
        <f>'Sheet2(F_12)'!$I23*('Sheet6(p_6)'!$L23+'Sheet6(p_6)'!$M23)</f>
        <v>2232.236790882419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30813</v>
      </c>
      <c r="L24" s="5">
        <f>($K24)*Partcipation!$E81*Title_RESULTS!$C$12/100</f>
        <v>1094.0467369482808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1245.1573694096257</v>
      </c>
      <c r="N24" s="5">
        <f>'Sheet2(F_12)'!$I24*('Sheet6(p_6)'!$L24+'Sheet6(p_6)'!$M24)</f>
        <v>2339.2041063579063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30813</v>
      </c>
      <c r="L25" s="5">
        <f>($K25)*Partcipation!$E82*Title_RESULTS!$C$12/100</f>
        <v>1149.7859546896116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1257.6089431037221</v>
      </c>
      <c r="N25" s="5">
        <f>'Sheet2(F_12)'!$I25*('Sheet6(p_6)'!$L25+'Sheet6(p_6)'!$M25)</f>
        <v>2407.3948977933337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t="s">
        <v>87</v>
      </c>
      <c r="B27" s="5">
        <f aca="true" t="shared" si="4" ref="B27:R27">SUM(B16:B26)</f>
        <v>384.072</v>
      </c>
      <c r="C27" s="5">
        <f t="shared" si="4"/>
        <v>0</v>
      </c>
      <c r="D27" s="5">
        <f t="shared" si="4"/>
        <v>384.072</v>
      </c>
      <c r="E27" s="5">
        <f t="shared" si="4"/>
        <v>1761.6426010525242</v>
      </c>
      <c r="F27" s="5">
        <f t="shared" si="4"/>
        <v>0</v>
      </c>
      <c r="G27" s="5">
        <f t="shared" si="4"/>
        <v>1761.6426010525242</v>
      </c>
      <c r="H27" s="5">
        <f t="shared" si="4"/>
        <v>5894.293757539999</v>
      </c>
      <c r="I27" s="5">
        <f t="shared" si="4"/>
        <v>0</v>
      </c>
      <c r="J27" s="5">
        <f t="shared" si="4"/>
        <v>5894.293757539999</v>
      </c>
      <c r="K27" s="5">
        <f t="shared" si="4"/>
        <v>261910.5</v>
      </c>
      <c r="L27" s="5">
        <f t="shared" si="4"/>
        <v>7949.210423321721</v>
      </c>
      <c r="M27" s="5">
        <f t="shared" si="4"/>
        <v>10295.884829276914</v>
      </c>
      <c r="N27" s="5">
        <f t="shared" si="4"/>
        <v>18245.095252598632</v>
      </c>
      <c r="O27" s="5">
        <f t="shared" si="4"/>
        <v>0</v>
      </c>
      <c r="P27" s="5">
        <f t="shared" si="4"/>
        <v>0</v>
      </c>
      <c r="Q27" s="5">
        <f t="shared" si="4"/>
        <v>0</v>
      </c>
      <c r="R27" s="5">
        <f t="shared" si="4"/>
        <v>0</v>
      </c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89</v>
      </c>
      <c r="B29" s="5">
        <f>NPV(Title_RESULTS!$C$37,'Sheet6(p_6)'!B17:B26)+'Sheet6(p_6)'!B16</f>
        <v>358.8491576370552</v>
      </c>
      <c r="C29" s="5">
        <f>NPV(Title_RESULTS!$C$37,'Sheet6(p_6)'!C17:C26)+'Sheet6(p_6)'!C16</f>
        <v>0</v>
      </c>
      <c r="D29" s="5">
        <f>NPV(Title_RESULTS!$C$37,'Sheet6(p_6)'!D17:D26)+'Sheet6(p_6)'!D16</f>
        <v>358.8491576370552</v>
      </c>
      <c r="E29" s="5">
        <f>NPV(Title_RESULTS!$C$37,'Sheet6(p_6)'!E17:E26)+'Sheet6(p_6)'!E16</f>
        <v>1647.7320454066248</v>
      </c>
      <c r="F29" s="5">
        <f>NPV(Title_RESULTS!$C$37,'Sheet6(p_6)'!F17:F26)+'Sheet6(p_6)'!F16</f>
        <v>0</v>
      </c>
      <c r="G29" s="5">
        <f>NPV(Title_RESULTS!$C$37,'Sheet6(p_6)'!G17:G26)+'Sheet6(p_6)'!G16</f>
        <v>1647.7320454066248</v>
      </c>
      <c r="H29" s="5">
        <f>NPV(Title_RESULTS!$C$37,'Sheet6(p_6)'!H17:H26)+'Sheet6(p_6)'!H16</f>
        <v>5507.448012268904</v>
      </c>
      <c r="I29" s="5">
        <f>NPV(Title_RESULTS!$C$37,'Sheet6(p_6)'!I17:I26)+'Sheet6(p_6)'!I16</f>
        <v>0</v>
      </c>
      <c r="J29" s="5">
        <f>NPV(Title_RESULTS!$C$37,'Sheet6(p_6)'!J17:J26)+'Sheet6(p_6)'!J16</f>
        <v>5507.448012268904</v>
      </c>
      <c r="K29" s="5"/>
      <c r="L29" s="5">
        <f>NPV(Title_RESULTS!$C$37,'Sheet6(p_6)'!L17:L26)+'Sheet6(p_6)'!L16</f>
        <v>5532.78922076751</v>
      </c>
      <c r="M29" s="5">
        <f>NPV(Title_RESULTS!$C$37,'Sheet6(p_6)'!M17:M26)+'Sheet6(p_6)'!M16</f>
        <v>7293.256831863999</v>
      </c>
      <c r="N29" s="5">
        <f>NPV(Title_RESULTS!$C$37,'Sheet6(p_6)'!N17:N26)+'Sheet6(p_6)'!N16</f>
        <v>12826.046052631507</v>
      </c>
      <c r="O29" s="5"/>
      <c r="P29" s="5">
        <f>NPV(Title_RESULTS!$C$37,'Sheet6(p_6)'!P17:P26)+'Sheet6(p_6)'!P16</f>
        <v>0</v>
      </c>
      <c r="Q29" s="5">
        <f>NPV(Title_RESULTS!$C$37,'Sheet6(p_6)'!Q17:Q26)+'Sheet6(p_6)'!Q16</f>
        <v>0</v>
      </c>
      <c r="R29" s="5">
        <f>NPV(Title_RESULTS!$C$37,'Sheet6(p_6)'!R17:R26)+'Sheet6(p_6)'!R16</f>
        <v>0</v>
      </c>
    </row>
    <row r="31" ht="12.75">
      <c r="A31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Motor Equipment Upgrades</v>
      </c>
      <c r="M2" t="s">
        <v>55</v>
      </c>
    </row>
    <row r="3" ht="12.75">
      <c r="M3" s="35">
        <f>+Title_RESULTS!I4</f>
        <v>43599.323404166666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1920.26</v>
      </c>
      <c r="E16" s="5">
        <f>IF(A16&gt;=(Title_RESULTS!$H$7+Title_RESULTS!$C$17),0,(+'f-11B'!$N15))</f>
        <v>0</v>
      </c>
      <c r="F16" s="5">
        <f>IF(A16&gt;=(Title_RESULTS!$H$7+Title_RESULTS!$C$17),0,(SUM(B16:E16)))</f>
        <v>2045.26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157.13707037744757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157.13707037744757</v>
      </c>
      <c r="L16" s="23">
        <f>IF(A16&gt;=(Title_RESULTS!$H$7+Title_RESULTS!$C$17),0,(+$K16-$F16))</f>
        <v>-1888.1229296225524</v>
      </c>
      <c r="M16" s="23">
        <f>IF(A16&gt;=(Title_RESULTS!$H$7+Title_RESULTS!$C$17),0,(+$L16/(1+Title_RESULTS!$C$37)^('Sheet7(F_23)'!$A16-Title_RESULTS!$H$7)))</f>
        <v>-1888.1229296225524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1964.4259799999998</v>
      </c>
      <c r="E17" s="5">
        <f>IF(A17&gt;=(Title_RESULTS!$H$7+Title_RESULTS!$C$17),0,(+'f-11B'!$N16))</f>
        <v>0</v>
      </c>
      <c r="F17" s="5">
        <f>IF(A17&gt;=(Title_RESULTS!$H$7+Title_RESULTS!$C$17),0,(SUM(B17:E17)))</f>
        <v>2092.42598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111.84633368495332</v>
      </c>
      <c r="I17" s="5">
        <f>IF(A17&gt;=(Title_RESULTS!$H$7+Title_RESULTS!$C$17),0,(+'Sheet4(F_22)'!$H17))</f>
        <v>467.57682154692407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579.4231552318774</v>
      </c>
      <c r="L17" s="23">
        <f>IF(A17&gt;=(Title_RESULTS!$H$7+Title_RESULTS!$C$17),0,(+$K17-$F17))</f>
        <v>-1513.0028247681225</v>
      </c>
      <c r="M17" s="23">
        <f>IF(A17&gt;=(Title_RESULTS!$H$7+Title_RESULTS!$C$17),0,(+M16+$L17/(1+Title_RESULTS!$C$37)^('Sheet7(F_23)'!$A17-Title_RESULTS!$H$7)))</f>
        <v>-3301.0878388195288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2009.6077775399997</v>
      </c>
      <c r="E18" s="5">
        <f>IF(A18&gt;=(Title_RESULTS!$H$7+Title_RESULTS!$C$17),0,(+'f-11B'!$N17))</f>
        <v>0</v>
      </c>
      <c r="F18" s="5">
        <f>IF(A18&gt;=(Title_RESULTS!$H$7+Title_RESULTS!$C$17),0,(SUM(B18:E18)))</f>
        <v>2140.6797775399996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114.53064569339219</v>
      </c>
      <c r="I18" s="5">
        <f>IF(A18&gt;=(Title_RESULTS!$H$7+Title_RESULTS!$C$17),0,(+'Sheet4(F_22)'!$H18))</f>
        <v>804.2842931365561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918.8149388299483</v>
      </c>
      <c r="L18" s="23">
        <f>IF(A18&gt;=(Title_RESULTS!$H$7+Title_RESULTS!$C$17),0,(+$K18-$F18))</f>
        <v>-1221.8648387100511</v>
      </c>
      <c r="M18" s="23">
        <f>IF(A18&gt;=(Title_RESULTS!$H$7+Title_RESULTS!$C$17),0,(+M17+$L18/(1+Title_RESULTS!$C$37)^('Sheet7(F_23)'!$A18-Title_RESULTS!$H$7)))</f>
        <v>-4366.717848541078</v>
      </c>
    </row>
    <row r="19" spans="1:13" ht="12.75">
      <c r="A19">
        <f aca="true" t="shared" si="0" ref="A19:A25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355.48843674855203</v>
      </c>
      <c r="H19" s="5">
        <f>IF(A19&gt;=(Title_RESULTS!$H$7+Title_RESULTS!$C$17),0,(+'Sheet4(F_22)'!$D19+'Sheet4(F_22)'!$G19))</f>
        <v>117.27938119003362</v>
      </c>
      <c r="I19" s="5">
        <f>IF(A19&gt;=(Title_RESULTS!$H$7+Title_RESULTS!$C$17),0,(+'Sheet4(F_22)'!$H19))</f>
        <v>1004.7349039313721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1477.5027218699577</v>
      </c>
      <c r="L19" s="23">
        <f>IF(A19&gt;=(Title_RESULTS!$H$7+Title_RESULTS!$C$17),0,(+$K19-$F19))</f>
        <v>1477.5027218699577</v>
      </c>
      <c r="M19" s="23">
        <f>IF(A19&gt;=(Title_RESULTS!$H$7+Title_RESULTS!$C$17),0,(+M18+$L19/(1+Title_RESULTS!$C$37)^('Sheet7(F_23)'!$A19-Title_RESULTS!$H$7)))</f>
        <v>-3163.336704812968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364.967432290279</v>
      </c>
      <c r="H20" s="5">
        <f>IF(A20&gt;=(Title_RESULTS!$H$7+Title_RESULTS!$C$17),0,(+'Sheet4(F_22)'!$D20+'Sheet4(F_22)'!$G20))</f>
        <v>120.09408633859441</v>
      </c>
      <c r="I20" s="5">
        <f>IF(A20&gt;=(Title_RESULTS!$H$7+Title_RESULTS!$C$17),0,(+'Sheet4(F_22)'!$H20))</f>
        <v>1044.2171985841153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1529.2787172129888</v>
      </c>
      <c r="L20" s="23">
        <f>IF(A20&gt;=(Title_RESULTS!$H$7+Title_RESULTS!$C$17),0,(+$K20-$F20))</f>
        <v>1529.2787172129888</v>
      </c>
      <c r="M20" s="23">
        <f>IF(A20&gt;=(Title_RESULTS!$H$7+Title_RESULTS!$C$17),0,(+M19+$L20/(1+Title_RESULTS!$C$37)^('Sheet7(F_23)'!$A20-Title_RESULTS!$H$7)))</f>
        <v>-2000.1399162451623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375.337498866699</v>
      </c>
      <c r="H21" s="5">
        <f>IF(A21&gt;=(Title_RESULTS!$H$7+Title_RESULTS!$C$17),0,(+'Sheet4(F_22)'!$D21+'Sheet4(F_22)'!$G21))</f>
        <v>122.97634441072069</v>
      </c>
      <c r="I21" s="5">
        <f>IF(A21&gt;=(Title_RESULTS!$H$7+Title_RESULTS!$C$17),0,(+'Sheet4(F_22)'!$H21))</f>
        <v>1121.1748936718493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1619.488736949269</v>
      </c>
      <c r="L21" s="23">
        <f>IF(A21&gt;=(Title_RESULTS!$H$7+Title_RESULTS!$C$17),0,(+$K21-$F21))</f>
        <v>1619.488736949269</v>
      </c>
      <c r="M21" s="23">
        <f>IF(A21&gt;=(Title_RESULTS!$H$7+Title_RESULTS!$C$17),0,(+M20+$L21/(1+Title_RESULTS!$C$37)^('Sheet7(F_23)'!$A21-Title_RESULTS!$H$7)))</f>
        <v>-849.7736987945191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386.9514189941177</v>
      </c>
      <c r="H22" s="5">
        <f>IF(A22&gt;=(Title_RESULTS!$H$7+Title_RESULTS!$C$17),0,(+'Sheet4(F_22)'!$D22+'Sheet4(F_22)'!$G22))</f>
        <v>125.92777667657796</v>
      </c>
      <c r="I22" s="5">
        <f>IF(A22&gt;=(Title_RESULTS!$H$7+Title_RESULTS!$C$17),0,(+'Sheet4(F_22)'!$H22))</f>
        <v>1157.1361574716295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1670.0153531423252</v>
      </c>
      <c r="L22" s="23">
        <f>IF(A22&gt;=(Title_RESULTS!$H$7+Title_RESULTS!$C$17),0,(+$K22-$F22))</f>
        <v>1670.0153531423252</v>
      </c>
      <c r="M22" s="23">
        <f>IF(A22&gt;=(Title_RESULTS!$H$7+Title_RESULTS!$C$17),0,(+M21+$L22/(1+Title_RESULTS!$C$37)^('Sheet7(F_23)'!$A22-Title_RESULTS!$H$7)))</f>
        <v>258.04907479830445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397.36808776906014</v>
      </c>
      <c r="H23" s="5">
        <f>IF(A23&gt;=(Title_RESULTS!$H$7+Title_RESULTS!$C$17),0,(+'Sheet4(F_22)'!$D23+'Sheet4(F_22)'!$G23))</f>
        <v>128.95004331681585</v>
      </c>
      <c r="I23" s="5">
        <f>IF(A23&gt;=(Title_RESULTS!$H$7+Title_RESULTS!$C$17),0,(+'Sheet4(F_22)'!$H23))</f>
        <v>1229.4519882039574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1755.7701192898335</v>
      </c>
      <c r="L23" s="23">
        <f>IF(A23&gt;=(Title_RESULTS!$H$7+Title_RESULTS!$C$17),0,(+$K23-$F23))</f>
        <v>1755.7701192898335</v>
      </c>
      <c r="M23" s="23">
        <f>IF(A23&gt;=(Title_RESULTS!$H$7+Title_RESULTS!$C$17),0,(+M22+$L23/(1+Title_RESULTS!$C$37)^('Sheet7(F_23)'!$A23-Title_RESULTS!$H$7)))</f>
        <v>1345.7490435932948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403.80527633872964</v>
      </c>
      <c r="H24" s="5">
        <f>IF(A24&gt;=(Title_RESULTS!$H$7+Title_RESULTS!$C$17),0,(+'Sheet4(F_22)'!$D24+'Sheet4(F_22)'!$G24))</f>
        <v>132.04484435641945</v>
      </c>
      <c r="I24" s="5">
        <f>IF(A24&gt;=(Title_RESULTS!$H$7+Title_RESULTS!$C$17),0,(+'Sheet4(F_22)'!$H24))</f>
        <v>1362.3749774234702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1898.2250981186194</v>
      </c>
      <c r="L24" s="23">
        <f>IF(A24&gt;=(Title_RESULTS!$H$7+Title_RESULTS!$C$17),0,(+$K24-$F24))</f>
        <v>1898.2250981186194</v>
      </c>
      <c r="M24" s="23">
        <f>IF(A24&gt;=(Title_RESULTS!$H$7+Title_RESULTS!$C$17),0,(+M23+$L24/(1+Title_RESULTS!$C$37)^('Sheet7(F_23)'!$A24-Title_RESULTS!$H$7)))</f>
        <v>2443.947455063525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414.7739346054916</v>
      </c>
      <c r="H25" s="5">
        <f>IF(A25&gt;=(Title_RESULTS!$H$7+Title_RESULTS!$C$17),0,(+'Sheet4(F_22)'!$D25+'Sheet4(F_22)'!$G25))</f>
        <v>135.21392062097348</v>
      </c>
      <c r="I25" s="5">
        <f>IF(A25&gt;=(Title_RESULTS!$H$7+Title_RESULTS!$C$17),0,(+'Sheet4(F_22)'!$H25))</f>
        <v>1459.599871394717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2009.587726621182</v>
      </c>
      <c r="L25" s="23">
        <f>IF(A25&gt;=(Title_RESULTS!$H$7+Title_RESULTS!$C$17),0,(+$K25-$F25))</f>
        <v>2009.587726621182</v>
      </c>
      <c r="M25" s="23">
        <f>IF(A25&gt;=(Title_RESULTS!$H$7+Title_RESULTS!$C$17),0,(+M24+$L25/(1+Title_RESULTS!$C$37)^('Sheet7(F_23)'!$A25-Title_RESULTS!$H$7)))</f>
        <v>3529.702127587566</v>
      </c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L27">SUM(B16:B26)</f>
        <v>0</v>
      </c>
      <c r="C27" s="5">
        <f t="shared" si="1"/>
        <v>384.072</v>
      </c>
      <c r="D27" s="5">
        <f t="shared" si="1"/>
        <v>5894.293757539999</v>
      </c>
      <c r="E27" s="5">
        <f t="shared" si="1"/>
        <v>0</v>
      </c>
      <c r="F27" s="5">
        <f t="shared" si="1"/>
        <v>6278.365757539999</v>
      </c>
      <c r="G27" s="5">
        <f t="shared" si="1"/>
        <v>2698.692085612929</v>
      </c>
      <c r="H27" s="5">
        <f t="shared" si="1"/>
        <v>1108.863376288481</v>
      </c>
      <c r="I27" s="5">
        <f t="shared" si="1"/>
        <v>9807.68817574204</v>
      </c>
      <c r="J27" s="5">
        <f t="shared" si="1"/>
        <v>0</v>
      </c>
      <c r="K27" s="5">
        <f t="shared" si="1"/>
        <v>13615.243637643449</v>
      </c>
      <c r="L27" s="5">
        <f t="shared" si="1"/>
        <v>7336.87788010345</v>
      </c>
      <c r="M27" s="5"/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118</v>
      </c>
      <c r="B29" s="5">
        <f>NPV(Title_RESULTS!$C$37,'Sheet7(F_23)'!B17:B26)+'Sheet7(F_23)'!B16</f>
        <v>0</v>
      </c>
      <c r="C29" s="5">
        <f>NPV(Title_RESULTS!$C$37,'Sheet7(F_23)'!C17:C26)+'Sheet7(F_23)'!C16</f>
        <v>358.8491576370552</v>
      </c>
      <c r="D29" s="5">
        <f>NPV(Title_RESULTS!$C$37,'Sheet7(F_23)'!D17:D26)+'Sheet7(F_23)'!D16</f>
        <v>5507.448012268904</v>
      </c>
      <c r="E29" s="5">
        <f>NPV(Title_RESULTS!$C$37,'Sheet7(F_23)'!E17:E26)+'Sheet7(F_23)'!E16</f>
        <v>0</v>
      </c>
      <c r="F29" s="5">
        <f>NPV(Title_RESULTS!$C$37,'Sheet7(F_23)'!F17:F26)+'Sheet7(F_23)'!F16</f>
        <v>5866.297169905959</v>
      </c>
      <c r="G29" s="5">
        <f>NPV(Title_RESULTS!$C$37,'Sheet7(F_23)'!G17:G26)+'Sheet7(F_23)'!G16</f>
        <v>1794.3200482004158</v>
      </c>
      <c r="H29" s="5">
        <f>NPV(Title_RESULTS!$C$37,'Sheet7(F_23)'!H17:H26)+'Sheet7(F_23)'!H16</f>
        <v>791.4245427444534</v>
      </c>
      <c r="I29" s="5">
        <f>NPV(Title_RESULTS!$C$37,'Sheet7(F_23)'!I17:I26)+'Sheet7(F_23)'!I16</f>
        <v>6810.254706548654</v>
      </c>
      <c r="J29" s="5">
        <f>NPV(Title_RESULTS!$C$37,'Sheet7(F_23)'!J17:J26)+'Sheet7(F_23)'!J16</f>
        <v>0</v>
      </c>
      <c r="K29" s="5">
        <f>NPV(Title_RESULTS!$C$37,'Sheet7(F_23)'!K17:K26)+'Sheet7(F_23)'!K16</f>
        <v>9395.999297493525</v>
      </c>
      <c r="L29" s="5">
        <f>NPV(Title_RESULTS!$C$37,'Sheet7(F_23)'!L17:L26)+'Sheet7(F_23)'!L16</f>
        <v>3529.7021275875645</v>
      </c>
      <c r="M29" s="5"/>
    </row>
    <row r="31" spans="1:8" ht="12.75">
      <c r="A31" t="s">
        <v>162</v>
      </c>
      <c r="C31">
        <f>+Title_RESULTS!C37</f>
        <v>0.0708</v>
      </c>
      <c r="D31" t="s">
        <v>163</v>
      </c>
      <c r="H31" s="10">
        <f>+K29/F29</f>
        <v>1.6016916677346145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Motor Equipment Upgrades</v>
      </c>
      <c r="L2" t="s">
        <v>55</v>
      </c>
    </row>
    <row r="3" ht="12.75">
      <c r="L3" s="35">
        <f>+Title_RESULTS!I4</f>
        <v>43599.323404166666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316.6765170719001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587.2142003508415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903.8907174227415</v>
      </c>
      <c r="G16" s="5">
        <f>IF(A16&gt;=(Title_RESULTS!$H$7+Title_RESULTS!$C$17),0,(+'Sheet6(p_6)'!$H16))</f>
        <v>1920.26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1920.26</v>
      </c>
      <c r="K16" s="23">
        <f>IF(A16&gt;=(Title_RESULTS!$H$7+Title_RESULTS!$C$17),0,(+F16-J16))</f>
        <v>-1016.3692825772584</v>
      </c>
      <c r="L16" s="23">
        <f>IF(A16&gt;=(Title_RESULTS!$H$7+Title_RESULTS!$C$17),0,(+$K16/((1+Title_RESULTS!$C$37)^('Sheet8(F_24)'!$A16-Title_RESULTS!$H$7))))</f>
        <v>-1016.3692825772584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973.6307332292351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587.2142003508415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1560.8449335800765</v>
      </c>
      <c r="G17" s="5">
        <f>IF(A17&gt;=(Title_RESULTS!$H$7+Title_RESULTS!$C$17),0,(+'Sheet6(p_6)'!$H17))</f>
        <v>1964.4259799999998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1964.4259799999998</v>
      </c>
      <c r="K17" s="23">
        <f>IF(A17&gt;=(Title_RESULTS!$H$7+Title_RESULTS!$C$17),0,(+F17-J17))</f>
        <v>-403.58104641992327</v>
      </c>
      <c r="L17" s="23">
        <f>IF(A16&gt;=(Title_RESULTS!$H$7+Title_RESULTS!$C$17),0,(+$K17/((1+Title_RESULTS!$C$37)^('Sheet8(F_24)'!$A17-Title_RESULTS!$H$7))+L16))</f>
        <v>-1393.2660386660923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1656.5195790678301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587.2142003508415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2243.7337794186715</v>
      </c>
      <c r="G18" s="5">
        <f>IF(A18&gt;=(Title_RESULTS!$H$7+Title_RESULTS!$C$17),0,(+'Sheet6(p_6)'!$H18))</f>
        <v>2009.6077775399997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2009.6077775399997</v>
      </c>
      <c r="K18" s="23">
        <f>IF(A18&gt;=(Title_RESULTS!$H$7+Title_RESULTS!$C$17),0,(+F18-J18))</f>
        <v>234.1260018786718</v>
      </c>
      <c r="L18" s="23">
        <f>IF(A17&gt;=(Title_RESULTS!$H$7+Title_RESULTS!$C$17),0,(+$K18/((1+Title_RESULTS!$C$37)^('Sheet8(F_24)'!$A18-Title_RESULTS!$H$7))+L17))</f>
        <v>-1189.0767652261345</v>
      </c>
      <c r="M18" s="5"/>
    </row>
    <row r="19" spans="1:13" ht="12.75">
      <c r="A19">
        <f aca="true" t="shared" si="0" ref="A19:A25">+A18+1</f>
        <v>2023</v>
      </c>
      <c r="B19" s="5">
        <f>IF(A19&gt;=(Title_RESULTS!$H$7+Title_RESULTS!$C$17),0,(+'Sheet6(p_6)'!N19-'Sheet6(p_6)'!R19))</f>
        <v>1992.8739712863696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1992.8739712863696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1992.8739712863696</v>
      </c>
      <c r="L19" s="23">
        <f>IF(A18&gt;=(Title_RESULTS!$H$7+Title_RESULTS!$C$17),0,(+$K19/((1+Title_RESULTS!$C$37)^('Sheet8(F_24)'!$A19-Title_RESULTS!$H$7))+L18))</f>
        <v>434.058626252114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2050.559238370797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2050.559238370797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2050.559238370797</v>
      </c>
      <c r="L20" s="23">
        <f>IF(A19&gt;=(Title_RESULTS!$H$7+Title_RESULTS!$C$17),0,(+$K20/((1+Title_RESULTS!$C$37)^('Sheet8(F_24)'!$A20-Title_RESULTS!$H$7))+L19))</f>
        <v>1993.7507176897273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2111.5427074529352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2111.5427074529352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2111.5427074529352</v>
      </c>
      <c r="L21" s="23">
        <f>IF(A20&gt;=(Title_RESULTS!$H$7+Title_RESULTS!$C$17),0,(+$K21/((1+Title_RESULTS!$C$37)^('Sheet8(F_24)'!$A21-Title_RESULTS!$H$7))+L20))</f>
        <v>3493.6360468917505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2164.456711085908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2164.456711085908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2164.456711085908</v>
      </c>
      <c r="L22" s="23">
        <f>IF(A21&gt;=(Title_RESULTS!$H$7+Title_RESULTS!$C$17),0,(+$K22/((1+Title_RESULTS!$C$37)^('Sheet8(F_24)'!$A22-Title_RESULTS!$H$7))+L21))</f>
        <v>4929.451850911151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2232.236790882419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2232.236790882419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2232.236790882419</v>
      </c>
      <c r="L23" s="23">
        <f>IF(A22&gt;=(Title_RESULTS!$H$7+Title_RESULTS!$C$17),0,(+$K23/((1+Title_RESULTS!$C$37)^('Sheet8(F_24)'!$A23-Title_RESULTS!$H$7))+L22))</f>
        <v>6312.323025850559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2339.2041063579063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2339.2041063579063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2339.2041063579063</v>
      </c>
      <c r="L24" s="23">
        <f>IF(A23&gt;=(Title_RESULTS!$H$7+Title_RESULTS!$C$17),0,(+$K24/((1+Title_RESULTS!$C$37)^('Sheet8(F_24)'!$A24-Title_RESULTS!$H$7))+L23))</f>
        <v>7665.64526158172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2407.3948977933337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2407.3948977933337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2407.3948977933337</v>
      </c>
      <c r="L25" s="23">
        <f>IF(A24&gt;=(Title_RESULTS!$H$7+Title_RESULTS!$C$17),0,(+$K25/((1+Title_RESULTS!$C$37)^('Sheet8(F_24)'!$A25-Title_RESULTS!$H$7))+L24))</f>
        <v>8966.330085769228</v>
      </c>
      <c r="M25" s="5"/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K27">SUM(B16:B26)</f>
        <v>18245.095252598632</v>
      </c>
      <c r="C27" s="5">
        <f t="shared" si="1"/>
        <v>0</v>
      </c>
      <c r="D27" s="5">
        <f t="shared" si="1"/>
        <v>1761.6426010525242</v>
      </c>
      <c r="E27" s="5">
        <f t="shared" si="1"/>
        <v>0</v>
      </c>
      <c r="F27" s="5">
        <f t="shared" si="1"/>
        <v>20006.737853651157</v>
      </c>
      <c r="G27" s="5">
        <f t="shared" si="1"/>
        <v>5894.293757539999</v>
      </c>
      <c r="H27" s="5">
        <f t="shared" si="1"/>
        <v>0</v>
      </c>
      <c r="I27" s="5">
        <f t="shared" si="1"/>
        <v>0</v>
      </c>
      <c r="J27" s="5">
        <f t="shared" si="1"/>
        <v>5894.293757539999</v>
      </c>
      <c r="K27" s="5">
        <f t="shared" si="1"/>
        <v>14112.44409611116</v>
      </c>
      <c r="L27" s="5"/>
      <c r="M27" s="5"/>
    </row>
    <row r="28" ht="12.75">
      <c r="M28" s="5"/>
    </row>
    <row r="29" spans="1:13" ht="12.75">
      <c r="A29" t="s">
        <v>118</v>
      </c>
      <c r="B29" s="5">
        <f>NPV(Title_RESULTS!$C$37,'Sheet8(F_24)'!B17:B26)+'Sheet8(F_24)'!B16</f>
        <v>12826.046052631507</v>
      </c>
      <c r="C29" s="5">
        <f>NPV(Title_RESULTS!$C$37,'Sheet8(F_24)'!C17:C26)+'Sheet8(F_24)'!C16</f>
        <v>0</v>
      </c>
      <c r="D29" s="5">
        <f>NPV(Title_RESULTS!$C$37,'Sheet8(F_24)'!D17:D26)+'Sheet8(F_24)'!D16</f>
        <v>1647.7320454066248</v>
      </c>
      <c r="E29" s="5">
        <f>NPV(Title_RESULTS!$C$37,'Sheet8(F_24)'!E17:E26)+'Sheet8(F_24)'!E16</f>
        <v>0</v>
      </c>
      <c r="F29" s="5">
        <f>NPV(Title_RESULTS!$C$37,'Sheet8(F_24)'!F17:F26)+'Sheet8(F_24)'!F16</f>
        <v>14473.778098038129</v>
      </c>
      <c r="G29" s="5">
        <f>NPV(Title_RESULTS!$C$37,'Sheet8(F_24)'!G17:G26)+'Sheet8(F_24)'!G16</f>
        <v>5507.448012268904</v>
      </c>
      <c r="H29" s="5">
        <f>NPV(Title_RESULTS!$C$37,'Sheet8(F_24)'!H17:H26)+'Sheet8(F_24)'!H16</f>
        <v>0</v>
      </c>
      <c r="I29" s="5">
        <f>NPV(Title_RESULTS!$C$37,'Sheet8(F_24)'!I17:I26)+'Sheet8(F_24)'!I16</f>
        <v>0</v>
      </c>
      <c r="J29" s="5">
        <f>NPV(Title_RESULTS!$C$37,'Sheet8(F_24)'!J17:J26)+'Sheet8(F_24)'!J16</f>
        <v>5507.448012268904</v>
      </c>
      <c r="K29" s="5">
        <f>NPV(Title_RESULTS!$C$37,'Sheet8(F_24)'!K17:K26)+'Sheet8(F_24)'!K16</f>
        <v>8966.330085769228</v>
      </c>
      <c r="L29" s="5"/>
      <c r="M29" s="5"/>
    </row>
    <row r="30" spans="2:12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1" ht="12.75">
      <c r="A31" t="s">
        <v>174</v>
      </c>
      <c r="D31">
        <f>+Title_RESULTS!H8</f>
        <v>2023</v>
      </c>
      <c r="F31">
        <f>+F29/J29</f>
        <v>2.6280371718071587</v>
      </c>
      <c r="K31" s="10"/>
    </row>
    <row r="32" spans="1:10" ht="12.75">
      <c r="A32" t="s">
        <v>175</v>
      </c>
      <c r="D32">
        <f>+Title_RESULTS!C37</f>
        <v>0.0708</v>
      </c>
      <c r="J32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Motor Equipment Upgrades</v>
      </c>
      <c r="N2" t="s">
        <v>55</v>
      </c>
    </row>
    <row r="3" ht="12.75">
      <c r="N3" s="35">
        <f>+Title_RESULTS!I4</f>
        <v>43599.323404166666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587.2142003508415</v>
      </c>
      <c r="E16" s="5">
        <f>+'Sheet6(p_6)'!M16</f>
        <v>191.64699000000002</v>
      </c>
      <c r="F16">
        <f>IF(A16&gt;=(Title_RESULTS!$H$7+Title_RESULTS!$C$17),0,(+'f-11B'!$R15))</f>
        <v>0</v>
      </c>
      <c r="G16" s="5">
        <f>IF(A16&gt;=(Title_RESULTS!$H$7+Title_RESULTS!$C$17),0,(SUM(B16:F16)))</f>
        <v>903.8611903508415</v>
      </c>
      <c r="H16" s="5">
        <f>IF(A16&gt;=(Title_RESULTS!$H$7+Title_RESULTS!$C$17),0,(+'Sheet3(F_21)'!$J16+'Sheet4(F_22)'!$H16))</f>
        <v>157.13707037744757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157.13707037744757</v>
      </c>
      <c r="M16" s="23">
        <f>IF(A16&gt;=(Title_RESULTS!$H$7+Title_RESULTS!$C$17),0,(+L16-G16))</f>
        <v>-746.724119973394</v>
      </c>
      <c r="N16" s="24">
        <f>IF(A16&gt;=(Title_RESULTS!$H$7+Title_RESULTS!$C$17),0,(+$M16/((1+Title_RESULTS!$C$37)^('Sheet9(F_25)'!$A16-Title_RESULTS!$H$7))))</f>
        <v>-746.724119973394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587.2142003508415</v>
      </c>
      <c r="E17" s="5">
        <f>+'Sheet6(p_6)'!M17</f>
        <v>580.6903797</v>
      </c>
      <c r="F17">
        <f>IF(A17&gt;=(Title_RESULTS!$H$7+Title_RESULTS!$C$17),0,(+'f-11B'!$R16))</f>
        <v>0</v>
      </c>
      <c r="G17" s="5">
        <f>IF(A17&gt;=(Title_RESULTS!$H$7+Title_RESULTS!$C$17),0,(SUM(B17:F17)))</f>
        <v>1295.9045800508416</v>
      </c>
      <c r="H17" s="5">
        <f>IF(A17&gt;=(Title_RESULTS!$H$7+Title_RESULTS!$C$17),0,(+'Sheet3(F_21)'!$J17+'Sheet4(F_22)'!$H17))</f>
        <v>467.57682154692407</v>
      </c>
      <c r="I17" s="5">
        <f>IF(A17&gt;=(Title_RESULTS!$H$7+Title_RESULTS!$C$17),0,(+'Sheet4(F_22)'!$D17+'Sheet4(F_22)'!$G17))</f>
        <v>111.84633368495332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579.4231552318774</v>
      </c>
      <c r="M17" s="23">
        <f>IF(A17&gt;=(Title_RESULTS!$H$7+Title_RESULTS!$C$17),0,(+L17-G17))</f>
        <v>-716.4814248189641</v>
      </c>
      <c r="N17" s="24">
        <f>(IF(A16&gt;=(Title_RESULTS!$H$7+Title_RESULTS!$C$17),0,(+$M17/((1+Title_RESULTS!$C$37)^('Sheet9(F_25)'!$A17-Title_RESULTS!$H$7))+N16)))</f>
        <v>-1415.8326601479962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587.2142003508415</v>
      </c>
      <c r="E18" s="5">
        <f>+'Sheet6(p_6)'!M18</f>
        <v>977.4954724950001</v>
      </c>
      <c r="F18">
        <f>IF(A18&gt;=(Title_RESULTS!$H$7+Title_RESULTS!$C$17),0,(+'f-11B'!$R17))</f>
        <v>0</v>
      </c>
      <c r="G18" s="5">
        <f>IF(A18&gt;=(Title_RESULTS!$H$7+Title_RESULTS!$C$17),0,(SUM(B18:F18)))</f>
        <v>1695.7816728458415</v>
      </c>
      <c r="H18" s="5">
        <f>IF(A18&gt;=(Title_RESULTS!$H$7+Title_RESULTS!$C$17),0,(+'Sheet3(F_21)'!$J18+'Sheet4(F_22)'!$H18))</f>
        <v>804.2842931365561</v>
      </c>
      <c r="I18" s="5">
        <f>IF(A18&gt;=(Title_RESULTS!$H$7+Title_RESULTS!$C$17),0,(+'Sheet4(F_22)'!$D18+'Sheet4(F_22)'!$G18))</f>
        <v>114.53064569339219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918.8149388299483</v>
      </c>
      <c r="M18" s="23">
        <f>IF(A18&gt;=(Title_RESULTS!$H$7+Title_RESULTS!$C$17),0,(+L18-G18))</f>
        <v>-776.9667340158932</v>
      </c>
      <c r="N18" s="24">
        <f>(IF(A17&gt;=(Title_RESULTS!$H$7+Title_RESULTS!$C$17),0,(+$M18/((1+Title_RESULTS!$C$37)^('Sheet9(F_25)'!$A18-Title_RESULTS!$H$7))+N17)))</f>
        <v>-2093.451855080204</v>
      </c>
    </row>
    <row r="19" spans="1:14" ht="12.75">
      <c r="A19">
        <f aca="true" t="shared" si="0" ref="A19:A25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1184.72451266394</v>
      </c>
      <c r="F19">
        <f>IF(A19&gt;=(Title_RESULTS!$H$7+Title_RESULTS!$C$17),0,(+'f-11B'!$R18))</f>
        <v>0</v>
      </c>
      <c r="G19" s="5">
        <f>IF(A19&gt;=(Title_RESULTS!$H$7+Title_RESULTS!$C$17),0,(SUM(B19:F19)))</f>
        <v>1184.72451266394</v>
      </c>
      <c r="H19" s="5">
        <f>IF(A19&gt;=(Title_RESULTS!$H$7+Title_RESULTS!$C$17),0,(+'Sheet3(F_21)'!$J19+'Sheet4(F_22)'!$H19))</f>
        <v>1360.2233406799241</v>
      </c>
      <c r="I19" s="5">
        <f>IF(A19&gt;=(Title_RESULTS!$H$7+Title_RESULTS!$C$17),0,(+'Sheet4(F_22)'!$D19+'Sheet4(F_22)'!$G19))</f>
        <v>117.27938119003362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1477.5027218699577</v>
      </c>
      <c r="M19" s="23">
        <f>IF(A19&gt;=(Title_RESULTS!$H$7+Title_RESULTS!$C$17),0,(+L19-G19))</f>
        <v>292.77820920601766</v>
      </c>
      <c r="N19" s="24">
        <f>(IF(A18&gt;=(Title_RESULTS!$H$7+Title_RESULTS!$C$17),0,(+$M19/((1+Title_RESULTS!$C$37)^('Sheet9(F_25)'!$A19-Title_RESULTS!$H$7))+N18)))</f>
        <v>-1854.992885740982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1196.5717577905793</v>
      </c>
      <c r="F20">
        <f>IF(A20&gt;=(Title_RESULTS!$H$7+Title_RESULTS!$C$17),0,(+'f-11B'!$R19))</f>
        <v>0</v>
      </c>
      <c r="G20" s="5">
        <f>IF(A20&gt;=(Title_RESULTS!$H$7+Title_RESULTS!$C$17),0,(SUM(B20:F20)))</f>
        <v>1196.5717577905793</v>
      </c>
      <c r="H20" s="5">
        <f>IF(A20&gt;=(Title_RESULTS!$H$7+Title_RESULTS!$C$17),0,(+'Sheet3(F_21)'!$J20+'Sheet4(F_22)'!$H20))</f>
        <v>1409.1846308743943</v>
      </c>
      <c r="I20" s="5">
        <f>IF(A20&gt;=(Title_RESULTS!$H$7+Title_RESULTS!$C$17),0,(+'Sheet4(F_22)'!$D20+'Sheet4(F_22)'!$G20))</f>
        <v>120.09408633859441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1529.2787172129888</v>
      </c>
      <c r="M20" s="23">
        <f>IF(A20&gt;=(Title_RESULTS!$H$7+Title_RESULTS!$C$17),0,(+L20-G20))</f>
        <v>332.70695942240945</v>
      </c>
      <c r="N20" s="24">
        <f>(IF(A19&gt;=(Title_RESULTS!$H$7+Title_RESULTS!$C$17),0,(+$M20/((1+Title_RESULTS!$C$37)^('Sheet9(F_25)'!$A20-Title_RESULTS!$H$7))+N19)))</f>
        <v>-1601.9300121272074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1208.537475368485</v>
      </c>
      <c r="F21">
        <f>IF(A21&gt;=(Title_RESULTS!$H$7+Title_RESULTS!$C$17),0,(+'f-11B'!$R20))</f>
        <v>0</v>
      </c>
      <c r="G21" s="5">
        <f>IF(A21&gt;=(Title_RESULTS!$H$7+Title_RESULTS!$C$17),0,(SUM(B21:F21)))</f>
        <v>1208.537475368485</v>
      </c>
      <c r="H21" s="5">
        <f>IF(A21&gt;=(Title_RESULTS!$H$7+Title_RESULTS!$C$17),0,(+'Sheet3(F_21)'!$J21+'Sheet4(F_22)'!$H21))</f>
        <v>1496.5123925385483</v>
      </c>
      <c r="I21" s="5">
        <f>IF(A21&gt;=(Title_RESULTS!$H$7+Title_RESULTS!$C$17),0,(+'Sheet4(F_22)'!$D21+'Sheet4(F_22)'!$G21))</f>
        <v>122.97634441072069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1619.488736949269</v>
      </c>
      <c r="M21" s="23">
        <f>IF(A21&gt;=(Title_RESULTS!$H$7+Title_RESULTS!$C$17),0,(+L21-G21))</f>
        <v>410.9512615807839</v>
      </c>
      <c r="N21" s="24">
        <f>(IF(A20&gt;=(Title_RESULTS!$H$7+Title_RESULTS!$C$17),0,(+$M21/((1+Title_RESULTS!$C$37)^('Sheet9(F_25)'!$A21-Title_RESULTS!$H$7))+N20)))</f>
        <v>-1310.0203263384724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1220.6228501221703</v>
      </c>
      <c r="F22">
        <f>IF(A22&gt;=(Title_RESULTS!$H$7+Title_RESULTS!$C$17),0,(+'f-11B'!$R21))</f>
        <v>0</v>
      </c>
      <c r="G22" s="5">
        <f>IF(A22&gt;=(Title_RESULTS!$H$7+Title_RESULTS!$C$17),0,(SUM(B22:F22)))</f>
        <v>1220.6228501221703</v>
      </c>
      <c r="H22" s="5">
        <f>IF(A22&gt;=(Title_RESULTS!$H$7+Title_RESULTS!$C$17),0,(+'Sheet3(F_21)'!$J22+'Sheet4(F_22)'!$H22))</f>
        <v>1544.0875764657471</v>
      </c>
      <c r="I22" s="5">
        <f>IF(A22&gt;=(Title_RESULTS!$H$7+Title_RESULTS!$C$17),0,(+'Sheet4(F_22)'!$D22+'Sheet4(F_22)'!$G22))</f>
        <v>125.92777667657796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1670.015353142325</v>
      </c>
      <c r="M22" s="23">
        <f>IF(A22&gt;=(Title_RESULTS!$H$7+Title_RESULTS!$C$17),0,(+L22-G22))</f>
        <v>449.39250302015466</v>
      </c>
      <c r="N22" s="24">
        <f>(IF(A21&gt;=(Title_RESULTS!$H$7+Title_RESULTS!$C$17),0,(+$M22/((1+Title_RESULTS!$C$37)^('Sheet9(F_25)'!$A22-Title_RESULTS!$H$7))+N21)))</f>
        <v>-1011.9109417805087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1232.8290786233915</v>
      </c>
      <c r="F23">
        <f>IF(A23&gt;=(Title_RESULTS!$H$7+Title_RESULTS!$C$17),0,(+'f-11B'!$R22))</f>
        <v>0</v>
      </c>
      <c r="G23" s="5">
        <f>IF(A23&gt;=(Title_RESULTS!$H$7+Title_RESULTS!$C$17),0,(SUM(B23:F23)))</f>
        <v>1232.8290786233915</v>
      </c>
      <c r="H23" s="5">
        <f>IF(A23&gt;=(Title_RESULTS!$H$7+Title_RESULTS!$C$17),0,(+'Sheet3(F_21)'!$J23+'Sheet4(F_22)'!$H23))</f>
        <v>1626.8200759730175</v>
      </c>
      <c r="I23" s="5">
        <f>IF(A23&gt;=(Title_RESULTS!$H$7+Title_RESULTS!$C$17),0,(+'Sheet4(F_22)'!$D23+'Sheet4(F_22)'!$G23))</f>
        <v>128.95004331681585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1755.7701192898335</v>
      </c>
      <c r="M23" s="23">
        <f>IF(A23&gt;=(Title_RESULTS!$H$7+Title_RESULTS!$C$17),0,(+L23-G23))</f>
        <v>522.941040666442</v>
      </c>
      <c r="N23" s="24">
        <f>(IF(A22&gt;=(Title_RESULTS!$H$7+Title_RESULTS!$C$17),0,(+$M23/((1+Title_RESULTS!$C$37)^('Sheet9(F_25)'!$A23-Title_RESULTS!$H$7))+N22)))</f>
        <v>-687.9488539392053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1245.1573694096257</v>
      </c>
      <c r="F24">
        <f>IF(A24&gt;=(Title_RESULTS!$H$7+Title_RESULTS!$C$17),0,(+'f-11B'!$R23))</f>
        <v>0</v>
      </c>
      <c r="G24" s="5">
        <f>IF(A24&gt;=(Title_RESULTS!$H$7+Title_RESULTS!$C$17),0,(SUM(B24:F24)))</f>
        <v>1245.1573694096257</v>
      </c>
      <c r="H24" s="5">
        <f>IF(A24&gt;=(Title_RESULTS!$H$7+Title_RESULTS!$C$17),0,(+'Sheet3(F_21)'!$J24+'Sheet4(F_22)'!$H24))</f>
        <v>1766.1802537621998</v>
      </c>
      <c r="I24" s="5">
        <f>IF(A24&gt;=(Title_RESULTS!$H$7+Title_RESULTS!$C$17),0,(+'Sheet4(F_22)'!$D24+'Sheet4(F_22)'!$G24))</f>
        <v>132.04484435641945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1898.2250981186191</v>
      </c>
      <c r="M24" s="23">
        <f>IF(A24&gt;=(Title_RESULTS!$H$7+Title_RESULTS!$C$17),0,(+L24-G24))</f>
        <v>653.0677287089934</v>
      </c>
      <c r="N24" s="24">
        <f>(IF(A23&gt;=(Title_RESULTS!$H$7+Title_RESULTS!$C$17),0,(+$M24/((1+Title_RESULTS!$C$37)^('Sheet9(F_25)'!$A24-Title_RESULTS!$H$7))+N23)))</f>
        <v>-310.12330365988305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1257.6089431037221</v>
      </c>
      <c r="F25">
        <f>IF(A25&gt;=(Title_RESULTS!$H$7+Title_RESULTS!$C$17),0,(+'f-11B'!$R24))</f>
        <v>0</v>
      </c>
      <c r="G25" s="5">
        <f>IF(A25&gt;=(Title_RESULTS!$H$7+Title_RESULTS!$C$17),0,(SUM(B25:F25)))</f>
        <v>1257.6089431037221</v>
      </c>
      <c r="H25" s="5">
        <f>IF(A25&gt;=(Title_RESULTS!$H$7+Title_RESULTS!$C$17),0,(+'Sheet3(F_21)'!$J25+'Sheet4(F_22)'!$H25))</f>
        <v>1874.3738060002086</v>
      </c>
      <c r="I25" s="5">
        <f>IF(A25&gt;=(Title_RESULTS!$H$7+Title_RESULTS!$C$17),0,(+'Sheet4(F_22)'!$D25+'Sheet4(F_22)'!$G25))</f>
        <v>135.21392062097348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2009.5877266211821</v>
      </c>
      <c r="M25" s="23">
        <f>IF(A25&gt;=(Title_RESULTS!$H$7+Title_RESULTS!$C$17),0,(+L25-G25))</f>
        <v>751.97878351746</v>
      </c>
      <c r="N25" s="24">
        <f>(IF(A24&gt;=(Title_RESULTS!$H$7+Title_RESULTS!$C$17),0,(+$M25/((1+Title_RESULTS!$C$37)^('Sheet9(F_25)'!$A25-Title_RESULTS!$H$7))+N24)))</f>
        <v>96.16126258584535</v>
      </c>
    </row>
    <row r="26" ht="12.75">
      <c r="E26" s="5"/>
    </row>
    <row r="27" spans="1:13" ht="12.75">
      <c r="A27" t="s">
        <v>87</v>
      </c>
      <c r="B27" s="5">
        <f aca="true" t="shared" si="1" ref="B27:M27">SUM(B16:B26)</f>
        <v>0</v>
      </c>
      <c r="C27" s="5">
        <f t="shared" si="1"/>
        <v>384.072</v>
      </c>
      <c r="D27" s="5">
        <f t="shared" si="1"/>
        <v>1761.6426010525242</v>
      </c>
      <c r="E27" s="5">
        <f t="shared" si="1"/>
        <v>10295.884829276914</v>
      </c>
      <c r="F27" s="5">
        <f t="shared" si="1"/>
        <v>0</v>
      </c>
      <c r="G27" s="5">
        <f t="shared" si="1"/>
        <v>12441.59943032944</v>
      </c>
      <c r="H27" s="5">
        <f t="shared" si="1"/>
        <v>12506.380261354969</v>
      </c>
      <c r="I27" s="5">
        <f t="shared" si="1"/>
        <v>1108.863376288481</v>
      </c>
      <c r="J27" s="5">
        <f t="shared" si="1"/>
        <v>0</v>
      </c>
      <c r="K27" s="9">
        <f t="shared" si="1"/>
        <v>0</v>
      </c>
      <c r="L27" s="5">
        <f t="shared" si="1"/>
        <v>13615.243637643449</v>
      </c>
      <c r="M27" s="5">
        <f t="shared" si="1"/>
        <v>1173.64420731401</v>
      </c>
    </row>
    <row r="29" spans="1:13" ht="12.75">
      <c r="A29" t="s">
        <v>118</v>
      </c>
      <c r="B29" s="5">
        <f>NPV(Title_RESULTS!$C$37,'Sheet9(F_25)'!B17:B26)+'Sheet9(F_25)'!B16</f>
        <v>0</v>
      </c>
      <c r="C29" s="5">
        <f>NPV(Title_RESULTS!$C$37,'Sheet9(F_25)'!C17:C26)+'Sheet9(F_25)'!C16</f>
        <v>358.8491576370552</v>
      </c>
      <c r="D29" s="5">
        <f>NPV(Title_RESULTS!$C$37,'Sheet9(F_25)'!D17:D26)+'Sheet9(F_25)'!D16</f>
        <v>1647.7320454066248</v>
      </c>
      <c r="E29" s="5">
        <f>NPV(Title_RESULTS!$C$37,'Sheet9(F_25)'!E17:E26)+'Sheet9(F_25)'!E16</f>
        <v>7293.256831863999</v>
      </c>
      <c r="F29" s="5">
        <f>NPV(Title_RESULTS!$C$37,'Sheet9(F_25)'!F17:F26)+'Sheet9(F_25)'!F16</f>
        <v>0</v>
      </c>
      <c r="G29" s="5">
        <f>NPV(Title_RESULTS!$C$37,'Sheet9(F_25)'!G17:G26)+'Sheet9(F_25)'!G16</f>
        <v>9299.838034907678</v>
      </c>
      <c r="H29" s="5">
        <f>NPV(Title_RESULTS!$C$37,'Sheet9(F_25)'!H17:H26)+'Sheet9(F_25)'!H16</f>
        <v>8604.57475474907</v>
      </c>
      <c r="I29" s="5">
        <f>NPV(Title_RESULTS!$C$37,'Sheet9(F_25)'!I17:I26)+'Sheet9(F_25)'!I16</f>
        <v>791.4245427444534</v>
      </c>
      <c r="J29" s="5">
        <f>NPV(Title_RESULTS!$C$37,'Sheet9(F_25)'!J17:J26)+'Sheet9(F_25)'!J16</f>
        <v>0</v>
      </c>
      <c r="K29" s="9">
        <f>NPV(Title_RESULTS!$C$37,'Sheet9(F_25)'!K17:K26)+'Sheet9(F_25)'!K16</f>
        <v>0</v>
      </c>
      <c r="L29" s="5">
        <f>NPV(Title_RESULTS!$C$37,'Sheet9(F_25)'!L17:L26)+'Sheet9(F_25)'!L16</f>
        <v>9395.999297493525</v>
      </c>
      <c r="M29" s="5">
        <f>NPV(Title_RESULTS!$C$37,'Sheet9(F_25)'!M17:M26)+'Sheet9(F_25)'!M16</f>
        <v>96.16126258584552</v>
      </c>
    </row>
    <row r="31" spans="1:10" ht="12.75">
      <c r="A31" t="s">
        <v>175</v>
      </c>
      <c r="D31">
        <f>+Title_RESULTS!C37</f>
        <v>0.0708</v>
      </c>
      <c r="F31" t="s">
        <v>183</v>
      </c>
      <c r="J31" s="10">
        <f>+L29/G29</f>
        <v>1.0103401007872286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2810.8346308345117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163.9641088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349.1960832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16.203310931879717</v>
      </c>
      <c r="P24" s="48">
        <f aca="true" t="shared" si="4" ref="P24:P61">N24*$L$5</f>
        <v>34.50836133403934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16.59219039424483</v>
      </c>
      <c r="P25" s="48">
        <f t="shared" si="4"/>
        <v>35.33656200605628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386.74459836636066</v>
      </c>
      <c r="E26" s="11">
        <f>IF(B26=Title_RESULTS!$H$8,$F$16,+E25*(1+$F$7))</f>
        <v>0.09882230355451863</v>
      </c>
      <c r="F26" s="9">
        <f t="shared" si="1"/>
        <v>277.7731531298814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22.559930317041715</v>
      </c>
      <c r="L26" s="5">
        <f t="shared" si="3"/>
        <v>48.04612034689327</v>
      </c>
      <c r="N26" s="11">
        <f>IF(+B26=Title_RESULTS!$H$9,'Value of Defferal'!$O$16,+'Value of Defferal'!N25*(1+'Value of Defferal'!$F$7))</f>
        <v>0.10362269577198292</v>
      </c>
      <c r="O26" s="5">
        <f t="shared" si="7"/>
        <v>16.990402963706707</v>
      </c>
      <c r="P26" s="48">
        <f t="shared" si="4"/>
        <v>36.18463949420163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375.3240751934575</v>
      </c>
      <c r="E27" s="11">
        <f>IF(B27=Title_RESULTS!$H$8,$F$16,+E26*(1+$F$7))</f>
        <v>0.10119403883982707</v>
      </c>
      <c r="F27" s="9">
        <f t="shared" si="1"/>
        <v>284.43970880499853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21.893738189076196</v>
      </c>
      <c r="L27" s="5">
        <f t="shared" si="3"/>
        <v>46.62732398074467</v>
      </c>
      <c r="N27" s="11">
        <f>IF(+B27=Title_RESULTS!$H$9,'Value of Defferal'!$O$16,+'Value of Defferal'!N26*(1+'Value of Defferal'!$F$7))</f>
        <v>0.10610964047051051</v>
      </c>
      <c r="O27" s="5">
        <f t="shared" si="7"/>
        <v>17.398172634835667</v>
      </c>
      <c r="P27" s="48">
        <f t="shared" si="4"/>
        <v>37.053070842062475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362.7159009014796</v>
      </c>
      <c r="E28" s="11">
        <f>IF(B28=Title_RESULTS!$H$8,$F$16,+E27*(1+$F$7))</f>
        <v>0.10362269577198292</v>
      </c>
      <c r="F28" s="9">
        <f t="shared" si="1"/>
        <v>291.26626181631855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21.158266938401635</v>
      </c>
      <c r="L28" s="5">
        <f t="shared" si="3"/>
        <v>45.0609831399267</v>
      </c>
      <c r="N28" s="11">
        <f>IF(+B28=Title_RESULTS!$H$9,'Value of Defferal'!$O$16,+'Value of Defferal'!N27*(1+'Value of Defferal'!$F$7))</f>
        <v>0.10865627184180277</v>
      </c>
      <c r="O28" s="5">
        <f t="shared" si="7"/>
        <v>17.815728778071723</v>
      </c>
      <c r="P28" s="48">
        <f t="shared" si="4"/>
        <v>37.942344542271975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350.7115886573693</v>
      </c>
      <c r="E29" s="11">
        <f>IF(B29=Title_RESULTS!$H$8,$F$16,+E28*(1+$F$7))</f>
        <v>0.10610964047051051</v>
      </c>
      <c r="F29" s="9">
        <f t="shared" si="1"/>
        <v>298.2566520999102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20.458020706456605</v>
      </c>
      <c r="L29" s="5">
        <f t="shared" si="3"/>
        <v>43.56966139115894</v>
      </c>
      <c r="N29" s="11">
        <f>IF(+B29=Title_RESULTS!$H$9,'Value of Defferal'!$O$16,+'Value of Defferal'!N28*(1+'Value of Defferal'!$F$7))</f>
        <v>0.11126402236600604</v>
      </c>
      <c r="O29" s="5">
        <f t="shared" si="7"/>
        <v>18.243306268745446</v>
      </c>
      <c r="P29" s="48">
        <f t="shared" si="4"/>
        <v>38.8529608112865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339.2505849815343</v>
      </c>
      <c r="E30" s="11">
        <f>IF(B30=Title_RESULTS!$H$8,$F$16,+E29*(1+$F$7))</f>
        <v>0.10865627184180277</v>
      </c>
      <c r="F30" s="9">
        <f t="shared" si="1"/>
        <v>305.41481175030805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19.789467233745228</v>
      </c>
      <c r="L30" s="5">
        <f t="shared" si="3"/>
        <v>42.145836044324426</v>
      </c>
      <c r="N30" s="11">
        <f>IF(+B30=Title_RESULTS!$H$9,'Value of Defferal'!$O$16,+'Value of Defferal'!N29*(1+'Value of Defferal'!$F$7))</f>
        <v>0.11393435890279018</v>
      </c>
      <c r="O30" s="5">
        <f t="shared" si="7"/>
        <v>18.681145619195338</v>
      </c>
      <c r="P30" s="48">
        <f t="shared" si="4"/>
        <v>39.78543187075738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328.2790273866023</v>
      </c>
      <c r="E31" s="11">
        <f>IF(B31=Title_RESULTS!$H$8,$F$16,+E30*(1+$F$7))</f>
        <v>0.11126402236600604</v>
      </c>
      <c r="F31" s="9">
        <f t="shared" si="1"/>
        <v>312.74476723231544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19.1494645656883</v>
      </c>
      <c r="L31" s="5">
        <f t="shared" si="3"/>
        <v>40.78281564578323</v>
      </c>
      <c r="N31" s="11">
        <f>IF(+B31=Title_RESULTS!$H$9,'Value of Defferal'!$O$16,+'Value of Defferal'!N30*(1+'Value of Defferal'!$F$7))</f>
        <v>0.11666878351645714</v>
      </c>
      <c r="O31" s="5">
        <f t="shared" si="7"/>
        <v>19.129493114056025</v>
      </c>
      <c r="P31" s="48">
        <f t="shared" si="4"/>
        <v>40.740282235655556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317.64904494450855</v>
      </c>
      <c r="E32" s="11">
        <f>IF(B32=Title_RESULTS!$H$8,$F$16,+E31*(1+$F$7))</f>
        <v>0.11393435890279018</v>
      </c>
      <c r="F32" s="9">
        <f t="shared" si="1"/>
        <v>320.250641645891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18.529386963627417</v>
      </c>
      <c r="L32" s="5">
        <f t="shared" si="3"/>
        <v>39.46222986939343</v>
      </c>
      <c r="N32" s="11">
        <f>IF(+B32=Title_RESULTS!$H$9,'Value of Defferal'!$O$16,+'Value of Defferal'!N31*(1+'Value of Defferal'!$F$7))</f>
        <v>0.11946883432085212</v>
      </c>
      <c r="O32" s="5">
        <f t="shared" si="7"/>
        <v>19.58860094879337</v>
      </c>
      <c r="P32" s="48">
        <f t="shared" si="4"/>
        <v>41.71804900931129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307.12846022521404</v>
      </c>
      <c r="E33" s="11">
        <f>IF(B33=Title_RESULTS!$H$8,$F$16,+E32*(1+$F$7))</f>
        <v>0.11666878351645714</v>
      </c>
      <c r="F33" s="9">
        <f t="shared" si="1"/>
        <v>327.9366570453924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17.9156908469541</v>
      </c>
      <c r="L33" s="5">
        <f t="shared" si="3"/>
        <v>38.155234809402764</v>
      </c>
      <c r="N33" s="11">
        <f>IF(+B33=Title_RESULTS!$H$9,'Value of Defferal'!$O$16,+'Value of Defferal'!N32*(1+'Value of Defferal'!$F$7))</f>
        <v>0.12233608634455258</v>
      </c>
      <c r="O33" s="5">
        <f t="shared" si="7"/>
        <v>20.058727371564412</v>
      </c>
      <c r="P33" s="48">
        <f t="shared" si="4"/>
        <v>42.719282185534766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296.6078755059195</v>
      </c>
      <c r="E34" s="11">
        <f>IF(B34=Title_RESULTS!$H$8,$F$16,+E33*(1+$F$7))</f>
        <v>0.11946883432085212</v>
      </c>
      <c r="F34" s="9">
        <f t="shared" si="1"/>
        <v>335.8071368144818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17.301994730280775</v>
      </c>
      <c r="L34" s="5">
        <f t="shared" si="3"/>
        <v>36.84823974941208</v>
      </c>
      <c r="N34" s="11">
        <f>IF(+B34=Title_RESULTS!$H$9,'Value of Defferal'!$O$16,+'Value of Defferal'!N33*(1+'Value of Defferal'!$F$7))</f>
        <v>0.12527215241682185</v>
      </c>
      <c r="O34" s="5">
        <f t="shared" si="7"/>
        <v>20.54013682848196</v>
      </c>
      <c r="P34" s="48">
        <f t="shared" si="4"/>
        <v>43.7445449579876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286.0872907866249</v>
      </c>
      <c r="E35" s="11">
        <f>IF(B35=Title_RESULTS!$H$8,$F$16,+E34*(1+$F$7))</f>
        <v>0.12233608634455258</v>
      </c>
      <c r="F35" s="9">
        <f t="shared" si="1"/>
        <v>343.8665080980294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16.688298613607454</v>
      </c>
      <c r="L35" s="5">
        <f t="shared" si="3"/>
        <v>35.541244689421404</v>
      </c>
      <c r="N35" s="11">
        <f>IF(+B35=Title_RESULTS!$H$9,'Value of Defferal'!$O$16,+'Value of Defferal'!N34*(1+'Value of Defferal'!$F$7))</f>
        <v>0.12827868407482557</v>
      </c>
      <c r="O35" s="5">
        <f t="shared" si="7"/>
        <v>21.033100112365524</v>
      </c>
      <c r="P35" s="48">
        <f t="shared" si="4"/>
        <v>44.7944140369793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275.5667060673305</v>
      </c>
      <c r="E36" s="11">
        <f>IF(B36=Title_RESULTS!$H$8,$F$16,+E35*(1+$F$7))</f>
        <v>0.12527215241682185</v>
      </c>
      <c r="F36" s="9">
        <f t="shared" si="1"/>
        <v>352.11930429238214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16.074602496934137</v>
      </c>
      <c r="L36" s="5">
        <f t="shared" si="3"/>
        <v>34.234249629430735</v>
      </c>
      <c r="N36" s="11">
        <f>IF(+B36=Title_RESULTS!$H$9,'Value of Defferal'!$O$16,+'Value of Defferal'!N35*(1+'Value of Defferal'!$F$7))</f>
        <v>0.1313573724926214</v>
      </c>
      <c r="O36" s="5">
        <f t="shared" si="7"/>
        <v>21.5378945150623</v>
      </c>
      <c r="P36" s="48">
        <f t="shared" si="4"/>
        <v>45.86947997386681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265.0461213480359</v>
      </c>
      <c r="E37" s="11">
        <f>IF(B37&gt;Title_RESULTS!$H$8-1+Title_RESULTS!$C$18,0,+E36*(1+$F$7))</f>
        <v>0.12827868407482557</v>
      </c>
      <c r="F37" s="9">
        <f t="shared" si="1"/>
        <v>360.57016759539925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15.460906380260816</v>
      </c>
      <c r="L37" s="5">
        <f t="shared" si="3"/>
        <v>32.92725456944006</v>
      </c>
      <c r="N37" s="11">
        <f>IF(+B37=Title_RESULTS!$H$9,'Value of Defferal'!$O$16,+'Value of Defferal'!N36*(1+'Value of Defferal'!$F$7))</f>
        <v>0.1345099494324443</v>
      </c>
      <c r="O37" s="5">
        <f t="shared" si="7"/>
        <v>22.054803983423792</v>
      </c>
      <c r="P37" s="48">
        <f t="shared" si="4"/>
        <v>46.97034749323961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254.52553662874132</v>
      </c>
      <c r="E38" s="11">
        <f>IF(B38&gt;Title_RESULTS!$H$8-1+Title_RESULTS!$C$18,0,+E37*(1+$F$7))</f>
        <v>0.1313573724926214</v>
      </c>
      <c r="F38" s="9">
        <f t="shared" si="1"/>
        <v>369.22385161768887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14.847210263587494</v>
      </c>
      <c r="L38" s="5">
        <f t="shared" si="3"/>
        <v>31.620259509449376</v>
      </c>
      <c r="N38" s="11">
        <f>IF(+B38=Title_RESULTS!$H$9,'Value of Defferal'!$O$16,+'Value of Defferal'!N37*(1+'Value of Defferal'!$F$7))</f>
        <v>0.13773818821882297</v>
      </c>
      <c r="O38" s="5">
        <f t="shared" si="7"/>
        <v>22.584119279025966</v>
      </c>
      <c r="P38" s="48">
        <f t="shared" si="4"/>
        <v>48.09763583307736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244.00495190944676</v>
      </c>
      <c r="E39" s="11">
        <f>IF(B39&gt;Title_RESULTS!$H$8-1+Title_RESULTS!$C$18,0,+E38*(1+$F$7))</f>
        <v>0.1345099494324443</v>
      </c>
      <c r="F39" s="9">
        <f t="shared" si="1"/>
        <v>378.08522405651337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14.233514146914171</v>
      </c>
      <c r="L39" s="5">
        <f t="shared" si="3"/>
        <v>30.313264449458696</v>
      </c>
      <c r="N39" s="11">
        <f>IF(+B39&gt;Title_RESULTS!$H$9+Title_RESULTS!$C$19-1,0,+'Value of Defferal'!N38*(1+'Value of Defferal'!$F$7))</f>
        <v>0.14104390473607473</v>
      </c>
      <c r="O39" s="5">
        <f t="shared" si="7"/>
        <v>23.126138141722592</v>
      </c>
      <c r="P39" s="48">
        <f t="shared" si="4"/>
        <v>49.25197909307122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233.4843671901523</v>
      </c>
      <c r="E40" s="11">
        <f>IF(B40&gt;Title_RESULTS!$H$8-1+Title_RESULTS!$C$18,0,+E39*(1+$F$7))</f>
        <v>0.13773818821882297</v>
      </c>
      <c r="F40" s="9">
        <f t="shared" si="1"/>
        <v>387.1592694338698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13.619818030240856</v>
      </c>
      <c r="L40" s="5">
        <f t="shared" si="3"/>
        <v>29.00626938946803</v>
      </c>
      <c r="N40" s="11">
        <f>IF(+B40&gt;Title_RESULTS!$H$9+Title_RESULTS!$C$19-1,0,+'Value of Defferal'!N39*(1+'Value of Defferal'!$F$7))</f>
        <v>0.14442895844974052</v>
      </c>
      <c r="O40" s="5">
        <f t="shared" si="7"/>
        <v>23.68116545712393</v>
      </c>
      <c r="P40" s="48">
        <f t="shared" si="4"/>
        <v>50.43402659130493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223.95170747216122</v>
      </c>
      <c r="E41" s="11">
        <f>IF(B41&gt;Title_RESULTS!$H$8-1+Title_RESULTS!$C$18,0,+E40*(1+$F$7))</f>
        <v>0.14104390473607473</v>
      </c>
      <c r="F41" s="9">
        <f t="shared" si="1"/>
        <v>396.4510919002826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13.06375043451395</v>
      </c>
      <c r="L41" s="5">
        <f t="shared" si="3"/>
        <v>27.82200639530796</v>
      </c>
      <c r="N41" s="11">
        <f>IF(+B41&gt;Title_RESULTS!$H$9+Title_RESULTS!$C$19-1,0,+'Value of Defferal'!N40*(1+'Value of Defferal'!$F$7))</f>
        <v>0.1478952534525343</v>
      </c>
      <c r="O41" s="5">
        <f t="shared" si="7"/>
        <v>24.249513428094907</v>
      </c>
      <c r="P41" s="48">
        <f t="shared" si="4"/>
        <v>51.64444322949625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216.39456320716616</v>
      </c>
      <c r="E42" s="11">
        <f>IF(B42&gt;Title_RESULTS!$H$8-1+Title_RESULTS!$C$18,0,+E41*(1+$F$7))</f>
        <v>0.14442895844974052</v>
      </c>
      <c r="F42" s="9">
        <f t="shared" si="1"/>
        <v>405.96591810588944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12.622920365434053</v>
      </c>
      <c r="L42" s="5">
        <f t="shared" si="3"/>
        <v>26.883165970985257</v>
      </c>
      <c r="N42" s="11">
        <f>IF(+B42&gt;Title_RESULTS!$H$9+Title_RESULTS!$C$19-1,0,+'Value of Defferal'!N41*(1+'Value of Defferal'!$F$7))</f>
        <v>0.1514447395353951</v>
      </c>
      <c r="O42" s="5">
        <f t="shared" si="7"/>
        <v>24.831501750369185</v>
      </c>
      <c r="P42" s="48">
        <f t="shared" si="4"/>
        <v>52.88390986700416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209.82500939386358</v>
      </c>
      <c r="E43" s="11">
        <f>IF(B43&gt;Title_RESULTS!$H$8-1+Title_RESULTS!$C$18,0,+E42*(1+$F$7))</f>
        <v>0.1478952534525343</v>
      </c>
      <c r="F43" s="9">
        <f t="shared" si="1"/>
        <v>415.7091001404308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12.239699302054742</v>
      </c>
      <c r="L43" s="5">
        <f t="shared" si="3"/>
        <v>26.067016050669313</v>
      </c>
      <c r="N43" s="11">
        <f>IF(+B43&gt;Title_RESULTS!$H$9+Title_RESULTS!$C$19-1,0,+'Value of Defferal'!N42*(1+'Value of Defferal'!$F$7))</f>
        <v>0.1550794132842446</v>
      </c>
      <c r="O43" s="5">
        <f t="shared" si="7"/>
        <v>25.427457792378046</v>
      </c>
      <c r="P43" s="48">
        <f t="shared" si="4"/>
        <v>54.153123703812255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203.25545558056106</v>
      </c>
      <c r="E44" s="11">
        <f>IF(B44&gt;Title_RESULTS!$H$8-1+Title_RESULTS!$C$18,0,+E43*(1+$F$7))</f>
        <v>0.1514447395353951</v>
      </c>
      <c r="F44" s="9">
        <f t="shared" si="1"/>
        <v>425.6861185438011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11.856478238675432</v>
      </c>
      <c r="L44" s="5">
        <f t="shared" si="3"/>
        <v>25.250866130353373</v>
      </c>
      <c r="N44" s="11">
        <f>IF(+B44&gt;Title_RESULTS!$H$9+Title_RESULTS!$C$19-1,0,+'Value of Defferal'!N43*(1+'Value of Defferal'!$F$7))</f>
        <v>0.15880131920306648</v>
      </c>
      <c r="O44" s="5">
        <f t="shared" si="7"/>
        <v>26.03771677939512</v>
      </c>
      <c r="P44" s="48">
        <f t="shared" si="4"/>
        <v>55.45279867270376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196.6859017672584</v>
      </c>
      <c r="E45" s="11">
        <f>IF(B45&gt;Title_RESULTS!$H$8-1+Title_RESULTS!$C$18,0,+E44*(1+$F$7))</f>
        <v>0.1550794132842446</v>
      </c>
      <c r="F45" s="9">
        <f t="shared" si="1"/>
        <v>435.90258538885234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11.473257175296116</v>
      </c>
      <c r="L45" s="5">
        <f t="shared" si="3"/>
        <v>24.43471621003742</v>
      </c>
      <c r="N45" s="11">
        <f>IF(+B45&gt;Title_RESULTS!$H$9+Title_RESULTS!$C$19-1,0,+'Value of Defferal'!N44*(1+'Value of Defferal'!$F$7))</f>
        <v>0.16261255086394008</v>
      </c>
      <c r="O45" s="5">
        <f t="shared" si="7"/>
        <v>26.662621982100603</v>
      </c>
      <c r="P45" s="48">
        <f t="shared" si="4"/>
        <v>56.78366584084865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190.11634795395585</v>
      </c>
      <c r="E46" s="11">
        <f>IF(B46&gt;Title_RESULTS!$H$8-1+Title_RESULTS!$C$18,0,+E45*(1+$F$7))</f>
        <v>0.15880131920306648</v>
      </c>
      <c r="F46" s="9">
        <f t="shared" si="1"/>
        <v>446.3642474381848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11.090036111916804</v>
      </c>
      <c r="L46" s="5">
        <f t="shared" si="3"/>
        <v>23.61856628972148</v>
      </c>
      <c r="N46" s="11">
        <f>IF(+B46&gt;Title_RESULTS!$H$9+Title_RESULTS!$C$19-1,0,+'Value of Defferal'!N45*(1+'Value of Defferal'!$F$7))</f>
        <v>0.16651525208467466</v>
      </c>
      <c r="O46" s="5">
        <f t="shared" si="7"/>
        <v>27.30252490967102</v>
      </c>
      <c r="P46" s="48">
        <f t="shared" si="4"/>
        <v>58.14647382102902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183.5467941406533</v>
      </c>
      <c r="E47" s="11">
        <f>IF(B47&gt;Title_RESULTS!$H$8-1+Title_RESULTS!$C$18,0,+E46*(1+$F$7))</f>
        <v>0.16261255086394008</v>
      </c>
      <c r="F47" s="9">
        <f t="shared" si="1"/>
        <v>457.07698937670125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10.706815048537495</v>
      </c>
      <c r="L47" s="5">
        <f t="shared" si="3"/>
        <v>22.802416369405538</v>
      </c>
      <c r="N47" s="11">
        <f>IF(+B47&gt;Title_RESULTS!$H$9+Title_RESULTS!$C$19-1,0,+'Value of Defferal'!N46*(1+'Value of Defferal'!$F$7))</f>
        <v>0.17051161813470686</v>
      </c>
      <c r="O47" s="5">
        <f t="shared" si="7"/>
        <v>27.95778550750313</v>
      </c>
      <c r="P47" s="48">
        <f t="shared" si="4"/>
        <v>59.54198919273372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176.97724032735076</v>
      </c>
      <c r="E48" s="11">
        <f>IF(B48&gt;Title_RESULTS!$H$8-1+Title_RESULTS!$C$18,0,+E47*(1+$F$7))</f>
        <v>0.16651525208467466</v>
      </c>
      <c r="F48" s="9">
        <f t="shared" si="1"/>
        <v>468.04683712174216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10.323593985158181</v>
      </c>
      <c r="L48" s="5">
        <f t="shared" si="3"/>
        <v>21.986266449089594</v>
      </c>
      <c r="N48" s="11">
        <f>IF(+B48&gt;Title_RESULTS!$H$9+Title_RESULTS!$C$19-1,0,+'Value of Defferal'!N47*(1+'Value of Defferal'!$F$7))</f>
        <v>0.17460389696993983</v>
      </c>
      <c r="O48" s="5">
        <f t="shared" si="7"/>
        <v>28.628772359683204</v>
      </c>
      <c r="P48" s="48">
        <f t="shared" si="4"/>
        <v>60.97099693335933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170.40768651404812</v>
      </c>
      <c r="E49" s="11">
        <f>IF(B49&gt;Title_RESULTS!$H$8-1+Title_RESULTS!$C$18,0,+E48*(1+$F$7))</f>
        <v>0.17051161813470686</v>
      </c>
      <c r="F49" s="9">
        <f t="shared" si="1"/>
        <v>479.279961212664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9.940372921778867</v>
      </c>
      <c r="L49" s="5">
        <f t="shared" si="3"/>
        <v>21.170116528773644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163.83813270074555</v>
      </c>
      <c r="E50" s="11">
        <f>IF(B50&gt;Title_RESULTS!$H$8-1+Title_RESULTS!$C$18,0,+E49*(1+$F$7))</f>
        <v>0.17460389696993983</v>
      </c>
      <c r="F50" s="9">
        <f t="shared" si="1"/>
        <v>490.78268028176797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9.557151858399555</v>
      </c>
      <c r="L50" s="5">
        <f t="shared" si="3"/>
        <v>20.3539666084577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157.268578887443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9.173930795020244</v>
      </c>
      <c r="L51" s="5">
        <f t="shared" si="3"/>
        <v>19.53781668814176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6715.393548037984</v>
      </c>
      <c r="F63" s="9">
        <f>SUM(F23:F61)</f>
        <v>9366.179644943695</v>
      </c>
      <c r="J63" t="s">
        <v>87</v>
      </c>
      <c r="K63" s="9">
        <f>SUM(K23:K61)</f>
        <v>391.7283166596024</v>
      </c>
      <c r="O63" s="9">
        <f>SUM(O23:O61)</f>
        <v>546.3563318514946</v>
      </c>
    </row>
    <row r="64" spans="3:15" ht="12.75">
      <c r="C64" t="s">
        <v>89</v>
      </c>
      <c r="D64" s="9">
        <f>NPV(+Title_RESULTS!$C$37,'Value of Defferal'!D24:D61)+'Value of Defferal'!D23</f>
        <v>2998.4638332054433</v>
      </c>
      <c r="F64" s="9">
        <f>NPV(+Title_RESULTS!$C$37,'Value of Defferal'!F24:F61)+'Value of Defferal'!F23</f>
        <v>3482.7722331923155</v>
      </c>
      <c r="J64" t="s">
        <v>89</v>
      </c>
      <c r="K64" s="9">
        <f>NPV(+Title_RESULTS!$C$37,'Value of Defferal'!K24:K61)+'Value of Defferal'!K23</f>
        <v>174.90906252090633</v>
      </c>
      <c r="O64" s="9">
        <f>NPV(+Title_RESULTS!$C$37,'Value of Defferal'!O24:O61)+'Value of Defferal'!O23</f>
        <v>232.94602046828547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1.534231843856158</v>
      </c>
      <c r="C25" t="s">
        <v>372</v>
      </c>
    </row>
    <row r="26" spans="2:3" ht="18">
      <c r="B26" s="15">
        <f>+((Input!$C$6*'EUE_Line Losses'!C4)+(Input!$C$7*'EUE_Line Losses'!C3))/'EUE_Line Losses'!C22</f>
        <v>1.5292827088759768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0" sqref="C40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1.35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1.38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10271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10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1920.26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587.2142003508416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Motor Equipment Upgrades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43599.323404166666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1.38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1.5292827088759768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10834.388185654008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10271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10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1920.26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587.2142003508416</v>
      </c>
      <c r="D39" s="13" t="s">
        <v>189</v>
      </c>
      <c r="G39" s="20" t="s">
        <v>346</v>
      </c>
      <c r="H39" s="79">
        <f>+'Sheet7(F_23)'!H31</f>
        <v>1.6016916677346145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+'Sheet8(F_24)'!K29</f>
        <v>8966.330085769228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+'Sheet9(F_25)'!J31</f>
        <v>1.0103401007872286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2019-05-14T11:45:43Z</dcterms:created>
  <dcterms:modified xsi:type="dcterms:W3CDTF">2019-05-14T11:45:45Z</dcterms:modified>
  <cp:category/>
  <cp:version/>
  <cp:contentType/>
  <cp:contentStatus/>
</cp:coreProperties>
</file>