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'Sheet2(F_12)'!$A$1:$K$47</definedName>
    <definedName name="_xlnm.Print_Area" localSheetId="11">'Sheet3(F_21)'!$A$1:$J$36</definedName>
    <definedName name="_xlnm.Print_Area" localSheetId="14">'Sheet4(F_22)'!$A$1:$J$36</definedName>
    <definedName name="_xlnm.Print_Area" localSheetId="12">'Sheet5(p_5)'!$A$1:$H$36</definedName>
    <definedName name="_xlnm.Print_Area" localSheetId="15">'Sheet6(p_6)'!$A$1:$R$36</definedName>
    <definedName name="_xlnm.Print_Area" localSheetId="16">'Sheet7(F_23)'!$A$1:$M$36</definedName>
    <definedName name="_xlnm.Print_Area" localSheetId="17">'Sheet8(F_24)'!$A$1:$M$36</definedName>
    <definedName name="_xlnm.Print_Area" localSheetId="18">'Sheet9(F_25)'!$A$1:$N$36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<sst xmlns="http://schemas.openxmlformats.org/spreadsheetml/2006/main" count="1258" uniqueCount="468">
  <si>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</si>
  <si>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</si>
  <si>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</si>
  <si>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</si>
  <si>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</si>
  <si>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</si>
  <si>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</si>
  <si>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</si>
  <si>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</si>
  <si>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</si>
  <si>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</si>
  <si>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</si>
  <si>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</si>
  <si>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</si>
  <si>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</si>
  <si>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</si>
  <si>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</si>
  <si>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</si>
  <si>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</si>
  <si>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</si>
  <si>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</si>
  <si>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</si>
  <si>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</si>
  <si>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</si>
  <si>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</si>
  <si>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</si>
  <si>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</si>
  <si>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</si>
  <si>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</si>
  <si>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</si>
  <si>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</si>
  <si>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</si>
  <si>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</si>
  <si>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</si>
  <si>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</si>
  <si>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</si>
  <si>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</si>
  <si>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</si>
  <si>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</si>
  <si>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</si>
  <si>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</si>
  <si>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</si>
  <si>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</si>
  <si>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</si>
  <si>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</si>
  <si>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</si>
  <si>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</si>
  <si>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</si>
  <si>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</si>
  <si>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</si>
  <si>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</si>
  <si>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</si>
  <si>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</si>
  <si>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</si>
  <si>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</si>
  <si>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</si>
  <si>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</si>
  <si>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</si>
  <si>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</si>
  <si>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</si>
  <si>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</si>
  <si>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</si>
  <si>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</si>
  <si>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</si>
  <si>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</si>
  <si>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</si>
  <si>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</si>
  <si>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</si>
  <si>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</si>
  <si>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</si>
  <si>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</si>
  <si>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</si>
  <si>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</si>
  <si>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</si>
  <si>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</si>
  <si>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</si>
  <si>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</si>
  <si>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</si>
  <si>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</si>
  <si>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</si>
  <si>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</si>
  <si>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</si>
  <si>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</si>
  <si>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</si>
  <si>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</si>
  <si>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</si>
  <si>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</si>
  <si>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</si>
  <si>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</si>
  <si>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</si>
  <si>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</si>
  <si>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</si>
  <si>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</si>
  <si>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</si>
  <si>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</si>
  <si>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</si>
  <si>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</si>
  <si>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</si>
  <si>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</si>
  <si>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</si>
  <si>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</si>
  <si>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</si>
  <si>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</si>
  <si>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</si>
  <si>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</si>
  <si>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</si>
  <si>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</si>
  <si>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</si>
  <si>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</si>
  <si>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</si>
  <si>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</si>
  <si>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</si>
  <si>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</si>
  <si>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</si>
  <si>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</si>
  <si>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</si>
  <si>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</si>
  <si>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</si>
  <si>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</si>
  <si>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</si>
  <si>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</si>
  <si>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</si>
  <si>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</si>
  <si>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</si>
  <si>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</si>
  <si>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</si>
  <si>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</si>
  <si>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</si>
  <si>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</si>
  <si>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</si>
  <si>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</si>
  <si>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</si>
  <si>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</si>
  <si>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</si>
  <si>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</si>
  <si>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</si>
  <si>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</si>
  <si>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</si>
  <si>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</si>
  <si>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</si>
  <si>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</si>
  <si>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</si>
  <si>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</si>
  <si>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</si>
  <si>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</si>
  <si>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</si>
  <si>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</si>
  <si>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</si>
  <si>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</si>
  <si>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</si>
  <si>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</si>
  <si>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</si>
  <si>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</si>
  <si>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</si>
  <si>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</si>
  <si>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</si>
  <si>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</si>
  <si>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</si>
  <si>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</si>
  <si>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</si>
  <si>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</si>
  <si>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</si>
  <si>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</si>
  <si>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</si>
  <si>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</si>
  <si>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</si>
  <si>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</si>
  <si>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</si>
  <si>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</si>
  <si>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</si>
  <si>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</si>
  <si>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</si>
  <si>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</si>
  <si>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</si>
  <si>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</si>
  <si>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</si>
  <si>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</si>
  <si>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</si>
  <si>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</si>
  <si>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</si>
  <si>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</si>
  <si>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</si>
  <si>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</si>
  <si>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</si>
  <si>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</si>
  <si>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</si>
  <si>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</si>
  <si>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</si>
  <si>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</si>
  <si>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</si>
  <si>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</si>
  <si>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</si>
  <si>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</si>
  <si>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</si>
  <si>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</si>
  <si>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</si>
  <si>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</si>
  <si>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</si>
  <si>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</si>
  <si>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</si>
  <si>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</si>
  <si>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</si>
  <si>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</si>
  <si>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</si>
  <si>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</si>
  <si>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</si>
  <si>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</si>
  <si>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</si>
  <si>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</si>
  <si>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</si>
  <si>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</si>
  <si>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</si>
  <si>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</si>
  <si>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</si>
  <si>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</si>
  <si>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</si>
  <si>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</si>
  <si>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</si>
  <si>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</si>
  <si>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</si>
  <si>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</si>
  <si>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</si>
  <si>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</si>
  <si>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</si>
  <si>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</si>
  <si>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</si>
  <si>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</si>
  <si>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</si>
  <si>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</si>
  <si>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</si>
  <si>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</si>
  <si>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</si>
  <si>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</si>
  <si>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</si>
  <si>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</si>
  <si>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</si>
  <si>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</si>
  <si>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</si>
  <si>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</si>
  <si>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</si>
  <si>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</si>
  <si>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</si>
  <si>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</si>
  <si>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</si>
  <si>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</si>
  <si>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</si>
  <si>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</si>
  <si>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</si>
  <si>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</si>
  <si>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</si>
  <si>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</si>
  <si>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</si>
  <si>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</si>
  <si>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</si>
  <si>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</si>
  <si>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</si>
  <si>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</si>
  <si>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</si>
  <si>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</si>
  <si>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</si>
  <si>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</si>
  <si>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</si>
  <si>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</si>
  <si>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</si>
  <si>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</si>
  <si>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</si>
  <si>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</si>
  <si>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</si>
  <si>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</si>
  <si>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</si>
  <si>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</si>
  <si>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</si>
  <si>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</si>
  <si>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</si>
  <si>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</si>
  <si>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</si>
  <si>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</si>
  <si>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</si>
  <si>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</si>
  <si>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</si>
  <si>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</si>
  <si>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</si>
  <si>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</si>
  <si>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</si>
  <si>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</si>
  <si>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</si>
  <si>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</si>
  <si>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</si>
  <si>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</si>
  <si>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</si>
  <si>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</si>
  <si>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</si>
  <si>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</si>
  <si>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</si>
  <si>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</si>
  <si>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</si>
  <si>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</si>
  <si>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</si>
  <si>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</si>
  <si>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</si>
  <si>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</si>
  <si>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</si>
  <si>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</si>
  <si>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</si>
  <si>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</si>
  <si>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</si>
  <si>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</si>
  <si>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</si>
  <si>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</si>
  <si>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</si>
  <si>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</si>
  <si>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</si>
  <si>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</si>
  <si>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</si>
  <si>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</si>
  <si>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</si>
  <si>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</si>
  <si>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</si>
  <si>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</si>
  <si>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</si>
  <si>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</si>
  <si>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</si>
  <si>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</si>
  <si>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</si>
  <si>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</si>
  <si>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</si>
  <si>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</si>
  <si>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</si>
  <si>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</si>
  <si>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</si>
  <si>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</si>
  <si>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</si>
  <si>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</si>
  <si>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</si>
  <si>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</si>
  <si>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</si>
  <si>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</si>
  <si>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</si>
  <si>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</si>
  <si>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</si>
  <si>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</si>
  <si>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</si>
  <si>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</si>
  <si>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</si>
  <si>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</si>
  <si>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</si>
  <si>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</si>
  <si>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</si>
  <si>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</si>
  <si>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</si>
  <si>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</si>
  <si>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</si>
  <si>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</si>
  <si>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</si>
  <si>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</si>
  <si>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</si>
  <si>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</si>
  <si>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</si>
  <si>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</si>
  <si>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</si>
  <si>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</si>
  <si>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</si>
  <si>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</si>
  <si>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</si>
  <si>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</si>
  <si>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</si>
  <si>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</si>
  <si>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</si>
  <si>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</si>
  <si>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</si>
  <si>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</si>
  <si>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</si>
  <si>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</si>
  <si>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</si>
  <si>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</si>
  <si>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</si>
  <si>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</si>
  <si>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</si>
  <si>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</si>
  <si>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</si>
  <si>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</si>
  <si>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</si>
  <si>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</si>
  <si>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</si>
  <si>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</si>
  <si>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</si>
  <si>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</si>
  <si>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</si>
  <si>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</si>
  <si>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</si>
  <si>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</si>
  <si>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</si>
  <si>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</si>
  <si>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</si>
  <si>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</si>
  <si>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</si>
  <si>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</si>
  <si>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</si>
  <si>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</si>
  <si>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</si>
  <si>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</si>
  <si>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</si>
  <si>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</si>
  <si>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</si>
  <si>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</si>
  <si>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</si>
  <si>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</si>
  <si>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</si>
  <si>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</si>
  <si>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</si>
  <si>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</si>
  <si>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</si>
  <si>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</si>
  <si>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</si>
  <si>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</si>
  <si>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</si>
  <si>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</si>
  <si>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</si>
  <si>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</si>
  <si>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</si>
  <si>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</si>
  <si>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</si>
  <si>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</si>
  <si>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</si>
  <si>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</si>
  <si>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</si>
  <si>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</si>
  <si>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</si>
  <si>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</si>
  <si>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</si>
  <si>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</si>
  <si>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</si>
  <si>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</si>
  <si>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</si>
  <si>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</si>
  <si>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</si>
  <si>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</si>
  <si>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</si>
  <si>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</si>
  <si>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</si>
  <si>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</si>
  <si>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</si>
  <si>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</si>
  <si>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</si>
  <si>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</si>
  <si>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</si>
  <si>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</si>
  <si>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</si>
  <si>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</si>
  <si>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</si>
  <si>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</si>
  <si>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</si>
  <si>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</si>
  <si>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</si>
  <si>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</si>
  <si>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</si>
  <si>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</si>
  <si>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</si>
  <si>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</si>
  <si>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</si>
  <si>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</si>
  <si>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</si>
  <si>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</si>
  <si>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</si>
  <si>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</si>
  <si>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</si>
  <si>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</si>
  <si>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Pump Equipment Upgrade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</si>
</sst>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43599.32391550926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5049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43599.32391550926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Pump Equipment Upgrade</v>
      </c>
      <c r="J2" t="s">
        <v>55</v>
      </c>
    </row>
    <row r="3" ht="12.75">
      <c r="J3" s="35">
        <f>+Title_RESULTS!I4</f>
        <v>43599.32391550926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5049</v>
      </c>
      <c r="H5" t="s">
        <v>59</v>
      </c>
    </row>
    <row r="6" spans="3:7" ht="12.75">
      <c r="C6" t="s">
        <v>61</v>
      </c>
      <c r="G6" s="36">
        <f>+'Value of Defferal'!E3</f>
        <v>3093.265922206506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0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305.6836639391393</v>
      </c>
      <c r="D19" s="5">
        <f>IF((Title_RESULTS!$H$8-Title_RESULTS!$H$7)&lt;=('Sheet3(F_21)'!A19-Title_RESULTS!$H$7),((Title_RESULTS!$C$8*Partcipation!$C$26*8760*Title_RESULTS!$H$21/100000)),0)</f>
        <v>4024.494709677419</v>
      </c>
      <c r="E19" s="5">
        <f>IF($G19=0,0,((Title_RESULTS!$H$14*((1+Title_RESULTS!$H$15/100)^($A19-Title_RESULTS!$H$7))*'EUE_Line Losses'!$B$25*Partcipation!$C$26))/1000)</f>
        <v>31.705711347143588</v>
      </c>
      <c r="F19" s="5">
        <f>IF($G19=0,0,(Title_RESULTS!$H$19/100*((1+Title_RESULTS!$H$20/100)^($A19-Title_RESULTS!$H$7))*$D19*1000)/1000)</f>
        <v>9.074663409519502</v>
      </c>
      <c r="G19" s="5">
        <f>(+Title_RESULTS!$H$22/100*((1+Title_RESULTS!$H$23/100)^(+'Sheet4(F_22)'!A19-Title_RESULTS!$H$7)))*'Sheet3(F_21)'!D19</f>
        <v>172.42098264270368</v>
      </c>
      <c r="H19" s="5">
        <f>IF($G19=0,0,(($D19))*(Partcipation!$G19/100))</f>
        <v>127.68222903131304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391.20279230719296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313.02007187367866</v>
      </c>
      <c r="D20" s="5">
        <f>IF((Title_RESULTS!$H$8-Title_RESULTS!$H$7)&lt;=('Sheet3(F_21)'!A20-Title_RESULTS!$H$7),((Title_RESULTS!$C$8*Partcipation!$C$26*8760*Title_RESULTS!$H$21/100000)),0)</f>
        <v>4024.494709677419</v>
      </c>
      <c r="E20" s="5">
        <f>IF($G20=0,0,((Title_RESULTS!$H$14*((1+Title_RESULTS!$H$15/100)^($A20-Title_RESULTS!$H$7))*'EUE_Line Losses'!$B$25*Partcipation!$C$26))/1000)</f>
        <v>32.466648419475035</v>
      </c>
      <c r="F20" s="5">
        <f>IF($G20=0,0,(Title_RESULTS!$H$19/100*((1+Title_RESULTS!$H$20/100)^($A20-Title_RESULTS!$H$7))*$D20*1000)/1000)</f>
        <v>9.29245533134797</v>
      </c>
      <c r="G20" s="5">
        <f>(+Title_RESULTS!$H$22/100*((1+Title_RESULTS!$H$23/100)^(+'Sheet4(F_22)'!A20-Title_RESULTS!$H$7)))*'Sheet3(F_21)'!D20</f>
        <v>180.24889525468242</v>
      </c>
      <c r="H20" s="5">
        <f>IF($G20=0,0,(($D20))*(Partcipation!$G20/100))</f>
        <v>133.3940172858227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401.63405359336133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320.5325535986469</v>
      </c>
      <c r="D21" s="5">
        <f>IF((Title_RESULTS!$H$8-Title_RESULTS!$H$7)&lt;=('Sheet3(F_21)'!A21-Title_RESULTS!$H$7),((Title_RESULTS!$C$8*Partcipation!$C$26*8760*Title_RESULTS!$H$21/100000)),0)</f>
        <v>4024.494709677419</v>
      </c>
      <c r="E21" s="5">
        <f>IF($G21=0,0,((Title_RESULTS!$H$14*((1+Title_RESULTS!$H$15/100)^($A21-Title_RESULTS!$H$7))*'EUE_Line Losses'!$B$25*Partcipation!$C$26))/1000)</f>
        <v>33.24584798154244</v>
      </c>
      <c r="F21" s="5">
        <f>IF($G21=0,0,(Title_RESULTS!$H$19/100*((1+Title_RESULTS!$H$20/100)^($A21-Title_RESULTS!$H$7))*$D21*1000)/1000)</f>
        <v>9.515474259300323</v>
      </c>
      <c r="G21" s="5">
        <f>(+Title_RESULTS!$H$22/100*((1+Title_RESULTS!$H$23/100)^(+'Sheet4(F_22)'!A21-Title_RESULTS!$H$7)))*'Sheet3(F_21)'!D21</f>
        <v>188.43219509924504</v>
      </c>
      <c r="H21" s="5">
        <f>IF($G21=0,0,(($D21))*(Partcipation!$G21/100))</f>
        <v>138.68019719767406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413.04587374106063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328.2253348850145</v>
      </c>
      <c r="D22" s="5">
        <f>IF((Title_RESULTS!$H$8-Title_RESULTS!$H$7)&lt;=('Sheet3(F_21)'!A22-Title_RESULTS!$H$7),((Title_RESULTS!$C$8*Partcipation!$C$26*8760*Title_RESULTS!$H$21/100000)),0)</f>
        <v>4024.494709677419</v>
      </c>
      <c r="E22" s="5">
        <f>IF($G22=0,0,((Title_RESULTS!$H$14*((1+Title_RESULTS!$H$15/100)^($A22-Title_RESULTS!$H$7))*'EUE_Line Losses'!$B$25*Partcipation!$C$26))/1000)</f>
        <v>34.043748333099444</v>
      </c>
      <c r="F22" s="5">
        <f>IF($G22=0,0,(Title_RESULTS!$H$19/100*((1+Title_RESULTS!$H$20/100)^($A22-Title_RESULTS!$H$7))*$D22*1000)/1000)</f>
        <v>9.743845641523528</v>
      </c>
      <c r="G22" s="5">
        <f>(+Title_RESULTS!$H$22/100*((1+Title_RESULTS!$H$23/100)^(+'Sheet4(F_22)'!A22-Title_RESULTS!$H$7)))*'Sheet3(F_21)'!D22</f>
        <v>196.9870167567508</v>
      </c>
      <c r="H22" s="5">
        <f>IF($G22=0,0,(($D22))*(Partcipation!$G22/100))</f>
        <v>143.17348515588833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425.8264604604999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336.10274292225483</v>
      </c>
      <c r="D23" s="5">
        <f>IF((Title_RESULTS!$H$8-Title_RESULTS!$H$7)&lt;=('Sheet3(F_21)'!A23-Title_RESULTS!$H$7),((Title_RESULTS!$C$8*Partcipation!$C$26*8760*Title_RESULTS!$H$21/100000)),0)</f>
        <v>4024.494709677419</v>
      </c>
      <c r="E23" s="5">
        <f>IF($G23=0,0,((Title_RESULTS!$H$14*((1+Title_RESULTS!$H$15/100)^($A23-Title_RESULTS!$H$7))*'EUE_Line Losses'!$B$25*Partcipation!$C$26))/1000)</f>
        <v>34.860798293093836</v>
      </c>
      <c r="F23" s="5">
        <f>IF($G23=0,0,(Title_RESULTS!$H$19/100*((1+Title_RESULTS!$H$20/100)^($A23-Title_RESULTS!$H$7))*$D23*1000)/1000)</f>
        <v>9.977697936920094</v>
      </c>
      <c r="G23" s="5">
        <f>(+Title_RESULTS!$H$22/100*((1+Title_RESULTS!$H$23/100)^(+'Sheet4(F_22)'!A23-Title_RESULTS!$H$7)))*'Sheet3(F_21)'!D23</f>
        <v>205.9302273175073</v>
      </c>
      <c r="H23" s="5">
        <f>IF($G23=0,0,(($D23))*(Partcipation!$G23/100))</f>
        <v>149.58188294746304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437.28958352231297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344.16920875238895</v>
      </c>
      <c r="D24" s="5">
        <f>IF((Title_RESULTS!$H$8-Title_RESULTS!$H$7)&lt;=('Sheet3(F_21)'!A24-Title_RESULTS!$H$7),((Title_RESULTS!$C$8*Partcipation!$C$26*8760*Title_RESULTS!$H$21/100000)),0)</f>
        <v>4024.494709677419</v>
      </c>
      <c r="E24" s="5">
        <f>IF($G24=0,0,((Title_RESULTS!$H$14*((1+Title_RESULTS!$H$15/100)^($A24-Title_RESULTS!$H$7))*'EUE_Line Losses'!$B$25*Partcipation!$C$26))/1000)</f>
        <v>35.69745745212809</v>
      </c>
      <c r="F24" s="5">
        <f>IF($G24=0,0,(Title_RESULTS!$H$19/100*((1+Title_RESULTS!$H$20/100)^($A24-Title_RESULTS!$H$7))*$D24*1000)/1000)</f>
        <v>10.217162687406177</v>
      </c>
      <c r="G24" s="5">
        <f>(+Title_RESULTS!$H$22/100*((1+Title_RESULTS!$H$23/100)^(+'Sheet4(F_22)'!A24-Title_RESULTS!$H$7)))*'Sheet3(F_21)'!D24</f>
        <v>215.27945963772217</v>
      </c>
      <c r="H24" s="5">
        <f>IF($G24=0,0,(($D24))*(Partcipation!$G24/100))</f>
        <v>160.98965402050766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444.37363450913773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352.42926976244627</v>
      </c>
      <c r="D25" s="5">
        <f>IF((Title_RESULTS!$H$8-Title_RESULTS!$H$7)&lt;=('Sheet3(F_21)'!A25-Title_RESULTS!$H$7),((Title_RESULTS!$C$8*Partcipation!$C$26*8760*Title_RESULTS!$H$21/100000)),0)</f>
        <v>4024.494709677419</v>
      </c>
      <c r="E25" s="5">
        <f>IF($G25=0,0,((Title_RESULTS!$H$14*((1+Title_RESULTS!$H$15/100)^($A25-Title_RESULTS!$H$7))*'EUE_Line Losses'!$B$25*Partcipation!$C$26))/1000)</f>
        <v>36.55419643097917</v>
      </c>
      <c r="F25" s="5">
        <f>IF($G25=0,0,(Title_RESULTS!$H$19/100*((1+Title_RESULTS!$H$20/100)^($A25-Title_RESULTS!$H$7))*$D25*1000)/1000)</f>
        <v>10.462374591903922</v>
      </c>
      <c r="G25" s="5">
        <f>(+Title_RESULTS!$H$22/100*((1+Title_RESULTS!$H$23/100)^(+'Sheet4(F_22)'!A25-Title_RESULTS!$H$7)))*'Sheet3(F_21)'!D25</f>
        <v>225.05314710527477</v>
      </c>
      <c r="H25" s="5">
        <f>IF($G25=0,0,(($D25))*(Partcipation!$G25/100))</f>
        <v>168.0547902016617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456.44419768894227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360.887572236745</v>
      </c>
      <c r="D26" s="5">
        <f>IF((Title_RESULTS!$H$8-Title_RESULTS!$H$7)&lt;=('Sheet3(F_21)'!A26-Title_RESULTS!$H$7),((Title_RESULTS!$C$8*Partcipation!$C$26*8760*Title_RESULTS!$H$21/100000)),0)</f>
        <v>4024.494709677419</v>
      </c>
      <c r="E26" s="5">
        <f>IF($G26=0,0,((Title_RESULTS!$H$14*((1+Title_RESULTS!$H$15/100)^($A26-Title_RESULTS!$H$7))*'EUE_Line Losses'!$B$25*Partcipation!$C$26))/1000)</f>
        <v>37.43149714532266</v>
      </c>
      <c r="F26" s="5">
        <f>IF($G26=0,0,(Title_RESULTS!$H$19/100*((1+Title_RESULTS!$H$20/100)^($A26-Title_RESULTS!$H$7))*$D26*1000)/1000)</f>
        <v>10.713471582109618</v>
      </c>
      <c r="G26" s="5">
        <f>(+Title_RESULTS!$H$22/100*((1+Title_RESULTS!$H$23/100)^(+'Sheet4(F_22)'!A26-Title_RESULTS!$H$7)))*'Sheet3(F_21)'!D26</f>
        <v>235.27055998385427</v>
      </c>
      <c r="H26" s="5">
        <f>IF($G26=0,0,(($D26))*(Partcipation!$G26/100))</f>
        <v>180.55015233629382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463.7529486117376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369.5488739704269</v>
      </c>
      <c r="D27" s="5">
        <f>IF((Title_RESULTS!$H$8-Title_RESULTS!$H$7)&lt;=('Sheet3(F_21)'!A27-Title_RESULTS!$H$7),((Title_RESULTS!$C$8*Partcipation!$C$26*8760*Title_RESULTS!$H$21/100000)),0)</f>
        <v>4024.494709677419</v>
      </c>
      <c r="E27" s="5">
        <f>IF($G27=0,0,((Title_RESULTS!$H$14*((1+Title_RESULTS!$H$15/100)^($A27-Title_RESULTS!$H$7))*'EUE_Line Losses'!$B$25*Partcipation!$C$26))/1000)</f>
        <v>38.329853076810416</v>
      </c>
      <c r="F27" s="5">
        <f>IF($G27=0,0,(Title_RESULTS!$H$19/100*((1+Title_RESULTS!$H$20/100)^($A27-Title_RESULTS!$H$7))*$D27*1000)/1000)</f>
        <v>10.97059490008025</v>
      </c>
      <c r="G27" s="5">
        <f>(+Title_RESULTS!$H$22/100*((1+Title_RESULTS!$H$23/100)^(+'Sheet4(F_22)'!A27-Title_RESULTS!$H$7)))*'Sheet3(F_21)'!D27</f>
        <v>245.95184340712126</v>
      </c>
      <c r="H27" s="5">
        <f>IF($G27=0,0,(($D27))*(Partcipation!$G27/100))</f>
        <v>185.03990320873643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479.7612621457025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378.41804694571715</v>
      </c>
      <c r="D28" s="5">
        <f>IF((Title_RESULTS!$H$8-Title_RESULTS!$H$7)&lt;=('Sheet3(F_21)'!A28-Title_RESULTS!$H$7),((Title_RESULTS!$C$8*Partcipation!$C$26*8760*Title_RESULTS!$H$21/100000)),0)</f>
        <v>4024.494709677419</v>
      </c>
      <c r="E28" s="5">
        <f>IF($G28=0,0,((Title_RESULTS!$H$14*((1+Title_RESULTS!$H$15/100)^($A28-Title_RESULTS!$H$7))*'EUE_Line Losses'!$B$25*Partcipation!$C$26))/1000)</f>
        <v>39.24976955065386</v>
      </c>
      <c r="F28" s="5">
        <f>IF($G28=0,0,(Title_RESULTS!$H$19/100*((1+Title_RESULTS!$H$20/100)^($A28-Title_RESULTS!$H$7))*$D28*1000)/1000)</f>
        <v>11.233889177682174</v>
      </c>
      <c r="G28" s="5">
        <f>(+Title_RESULTS!$H$22/100*((1+Title_RESULTS!$H$23/100)^(+'Sheet4(F_22)'!A28-Title_RESULTS!$H$7)))*'Sheet3(F_21)'!D28</f>
        <v>257.1180570978046</v>
      </c>
      <c r="H28" s="5">
        <f>IF($G28=0,0,(($D28))*(Partcipation!$G28/100))</f>
        <v>196.1441314217802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489.87563135007747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387.5000800724144</v>
      </c>
      <c r="D29" s="5">
        <f>IF((Title_RESULTS!$H$8-Title_RESULTS!$H$7)&lt;=('Sheet3(F_21)'!A29-Title_RESULTS!$H$7),((Title_RESULTS!$C$8*Partcipation!$C$26*8760*Title_RESULTS!$H$21/100000)),0)</f>
        <v>4024.494709677419</v>
      </c>
      <c r="E29" s="5">
        <f>IF($G29=0,0,((Title_RESULTS!$H$14*((1+Title_RESULTS!$H$15/100)^($A29-Title_RESULTS!$H$7))*'EUE_Line Losses'!$B$25*Partcipation!$C$26))/1000)</f>
        <v>40.19176401986955</v>
      </c>
      <c r="F29" s="5">
        <f>IF($G29=0,0,(Title_RESULTS!$H$19/100*((1+Title_RESULTS!$H$20/100)^($A29-Title_RESULTS!$H$7))*$D29*1000)/1000)</f>
        <v>11.503502517946547</v>
      </c>
      <c r="G29" s="5">
        <f>(+Title_RESULTS!$H$22/100*((1+Title_RESULTS!$H$23/100)^(+'Sheet4(F_22)'!A29-Title_RESULTS!$H$7)))*'Sheet3(F_21)'!D29</f>
        <v>268.79121689004495</v>
      </c>
      <c r="H29" s="5">
        <f>IF($G29=0,0,(($D29))*(Partcipation!$G29/100))</f>
        <v>200.61768062531638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507.36888287495907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396.8000819941523</v>
      </c>
      <c r="D30" s="5">
        <f>IF((Title_RESULTS!$H$8-Title_RESULTS!$H$7)&lt;=('Sheet3(F_21)'!A30-Title_RESULTS!$H$7),((Title_RESULTS!$C$8*Partcipation!$C$26*8760*Title_RESULTS!$H$21/100000)),0)</f>
        <v>4024.494709677419</v>
      </c>
      <c r="E30" s="5">
        <f>IF($G30=0,0,((Title_RESULTS!$H$14*((1+Title_RESULTS!$H$15/100)^($A30-Title_RESULTS!$H$7))*'EUE_Line Losses'!$B$25*Partcipation!$C$26))/1000)</f>
        <v>41.15636635634642</v>
      </c>
      <c r="F30" s="5">
        <f>IF($G30=0,0,(Title_RESULTS!$H$19/100*((1+Title_RESULTS!$H$20/100)^($A30-Title_RESULTS!$H$7))*$D30*1000)/1000)</f>
        <v>11.779586578377264</v>
      </c>
      <c r="G30" s="5">
        <f>(+Title_RESULTS!$H$22/100*((1+Title_RESULTS!$H$23/100)^(+'Sheet4(F_22)'!A30-Title_RESULTS!$H$7)))*'Sheet3(F_21)'!D30</f>
        <v>280.994338136853</v>
      </c>
      <c r="H30" s="5">
        <f>IF($G30=0,0,(($D30))*(Partcipation!$G30/100))</f>
        <v>213.56295737730278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517.1674156884262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87</v>
      </c>
      <c r="B32" s="9"/>
      <c r="C32" s="9">
        <f aca="true" t="shared" si="1" ref="C32:J32">SUM(C16:C31)</f>
        <v>4193.317500953025</v>
      </c>
      <c r="D32" s="9">
        <f t="shared" si="1"/>
        <v>48293.936516129026</v>
      </c>
      <c r="E32" s="9">
        <f t="shared" si="1"/>
        <v>434.93365840646453</v>
      </c>
      <c r="F32" s="9">
        <f t="shared" si="1"/>
        <v>124.48471861411737</v>
      </c>
      <c r="G32" s="9">
        <f t="shared" si="1"/>
        <v>2672.477939329564</v>
      </c>
      <c r="H32" s="9">
        <f t="shared" si="1"/>
        <v>1997.4710808097602</v>
      </c>
      <c r="I32" s="9">
        <f t="shared" si="1"/>
        <v>0</v>
      </c>
      <c r="J32" s="9">
        <f t="shared" si="1"/>
        <v>5427.742736493411</v>
      </c>
    </row>
    <row r="33" spans="3:10" ht="12.75"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89</v>
      </c>
      <c r="C34" s="5">
        <f>NPV(Title_RESULTS!$C$37,C17:C31)+'Sheet3(F_21)'!C16</f>
        <v>2364.4912667261146</v>
      </c>
      <c r="D34" s="5"/>
      <c r="E34" s="5">
        <f>NPV(Title_RESULTS!$C$37,E17:E31)+'Sheet3(F_21)'!E16</f>
        <v>245.24659453370708</v>
      </c>
      <c r="F34" s="5">
        <f>NPV(Title_RESULTS!$C$37,F17:F31)+'Sheet3(F_21)'!F16</f>
        <v>70.1933564384386</v>
      </c>
      <c r="G34" s="5">
        <f>NPV(Title_RESULTS!$C$37,G17:G31)+'Sheet3(F_21)'!G16</f>
        <v>1481.8159645687597</v>
      </c>
      <c r="H34" s="5">
        <f>NPV(Title_RESULTS!$C$37,H17:H31)+'Sheet3(F_21)'!H16</f>
        <v>1104.5506961256247</v>
      </c>
      <c r="I34" s="5">
        <f>NPV(Title_RESULTS!$C$37,I17:I31)+'Sheet3(F_21)'!I16</f>
        <v>0</v>
      </c>
      <c r="J34" s="5">
        <f>NPV(Title_RESULTS!$C$37,J17:J31)+'Sheet3(F_21)'!J16</f>
        <v>3057.1964861413944</v>
      </c>
    </row>
    <row r="36" ht="12.75">
      <c r="A3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Pump Equipment Upgrade</v>
      </c>
      <c r="F2" t="s">
        <v>55</v>
      </c>
    </row>
    <row r="3" spans="6:7" ht="12.75">
      <c r="F3" s="35">
        <f>+Title_RESULTS!I4</f>
        <v>43599.32391550926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5964.662447257384</v>
      </c>
      <c r="C16" s="5">
        <f>$B16*'Sheet2(F_12)'!$E16/100</f>
        <v>173.01753762034411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173.01753762034411</v>
      </c>
      <c r="G16" s="5">
        <f>+$F16*'Sheet2(F_12)'!$I16</f>
        <v>173.01753762034411</v>
      </c>
    </row>
    <row r="17" spans="1:7" ht="12.75">
      <c r="A17">
        <f>+A16+1</f>
        <v>2021</v>
      </c>
      <c r="B17" s="5">
        <f>(+Partcipation!$C16+(Partcipation!$C17-Partcipation!$C16)/2)*Title_RESULTS!$C$10/1000</f>
        <v>17893.98734177215</v>
      </c>
      <c r="C17" s="5">
        <f>$B17*'Sheet2(F_12)'!$E17/100</f>
        <v>514.8307151079899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514.8307151079899</v>
      </c>
      <c r="G17" s="5">
        <f>+$F17*'Sheet2(F_12)'!$I17</f>
        <v>514.8307151079899</v>
      </c>
    </row>
    <row r="18" spans="1:7" ht="12.75">
      <c r="A18">
        <f>+A17+1</f>
        <v>2022</v>
      </c>
      <c r="B18" s="5">
        <f>(+Partcipation!$C17+(Partcipation!$C18-Partcipation!$C17)/2)*Title_RESULTS!$C$10/1000</f>
        <v>29823.312236286918</v>
      </c>
      <c r="C18" s="5">
        <f>$B18*'Sheet2(F_12)'!$E18/100</f>
        <v>885.566261423553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885.566261423553</v>
      </c>
      <c r="G18" s="5">
        <f>+$F18*'Sheet2(F_12)'!$I18</f>
        <v>885.566261423553</v>
      </c>
    </row>
    <row r="19" spans="1:7" ht="12.75">
      <c r="A19">
        <f aca="true" t="shared" si="0" ref="A19:A30">+A18+1</f>
        <v>2023</v>
      </c>
      <c r="B19" s="5">
        <f>(+Partcipation!$C18+(Partcipation!$C19-Partcipation!$C18)/2)*Title_RESULTS!$C$10/1000</f>
        <v>35787.9746835443</v>
      </c>
      <c r="C19" s="5">
        <f>$B19*'Sheet2(F_12)'!$E19/100</f>
        <v>1106.2746595813344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0">+C19-E19</f>
        <v>1106.2746595813344</v>
      </c>
      <c r="G19" s="5">
        <f>+$F19*'Sheet2(F_12)'!$I19</f>
        <v>1106.2746595813344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35787.9746835443</v>
      </c>
      <c r="C20" s="5">
        <f>$B20*'Sheet2(F_12)'!$E20/100</f>
        <v>1149.747083904952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1149.747083904952</v>
      </c>
      <c r="G20" s="5">
        <f>+$F20*'Sheet2(F_12)'!$I20</f>
        <v>1149.747083904952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35787.9746835443</v>
      </c>
      <c r="C21" s="5">
        <f>$B21*'Sheet2(F_12)'!$E21/100</f>
        <v>1234.482219115465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1234.482219115465</v>
      </c>
      <c r="G21" s="5">
        <f>+$F21*'Sheet2(F_12)'!$I21</f>
        <v>1234.482219115465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35787.9746835443</v>
      </c>
      <c r="C22" s="5">
        <f>$B22*'Sheet2(F_12)'!$E22/100</f>
        <v>1274.0777728406833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1274.0777728406833</v>
      </c>
      <c r="G22" s="5">
        <f>+$F22*'Sheet2(F_12)'!$I22</f>
        <v>1274.0777728406833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35787.9746835443</v>
      </c>
      <c r="C23" s="5">
        <f>$B23*'Sheet2(F_12)'!$E23/100</f>
        <v>1353.7019311263316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1353.7019311263316</v>
      </c>
      <c r="G23" s="5">
        <f>+$F23*'Sheet2(F_12)'!$I23</f>
        <v>1353.7019311263316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35787.9746835443</v>
      </c>
      <c r="C24" s="5">
        <f>$B24*'Sheet2(F_12)'!$E24/100</f>
        <v>1500.0582825121237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1500.0582825121237</v>
      </c>
      <c r="G24" s="5">
        <f>+$F24*'Sheet2(F_12)'!$I24</f>
        <v>1500.0582825121237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35787.9746835443</v>
      </c>
      <c r="C25" s="5">
        <f>$B25*'Sheet2(F_12)'!$E25/100</f>
        <v>1607.1088448644584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1607.1088448644584</v>
      </c>
      <c r="G25" s="5">
        <f>+$F25*'Sheet2(F_12)'!$I25</f>
        <v>1607.1088448644584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35787.9746835443</v>
      </c>
      <c r="C26" s="5">
        <f>$B26*'Sheet2(F_12)'!$E26/100</f>
        <v>1795.0515455513173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1795.0515455513173</v>
      </c>
      <c r="G26" s="5">
        <f>+$F26*'Sheet2(F_12)'!$I26</f>
        <v>1795.0515455513173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35787.9746835443</v>
      </c>
      <c r="C27" s="5">
        <f>$B27*'Sheet2(F_12)'!$E27/100</f>
        <v>1788.3760260726742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1788.3760260726742</v>
      </c>
      <c r="G27" s="5">
        <f>+$F27*'Sheet2(F_12)'!$I27</f>
        <v>1788.3760260726742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35787.9746835443</v>
      </c>
      <c r="C28" s="5">
        <f>$B28*'Sheet2(F_12)'!$E28/100</f>
        <v>1954.529707830884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1954.529707830884</v>
      </c>
      <c r="G28" s="5">
        <f>+$F28*'Sheet2(F_12)'!$I28</f>
        <v>1954.529707830884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35787.9746835443</v>
      </c>
      <c r="C29" s="5">
        <f>$B29*'Sheet2(F_12)'!$E29/100</f>
        <v>2084.328141677745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2084.328141677745</v>
      </c>
      <c r="G29" s="5">
        <f>+$F29*'Sheet2(F_12)'!$I29</f>
        <v>2084.328141677745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35787.9746835443</v>
      </c>
      <c r="C30" s="5">
        <f>$B30*'Sheet2(F_12)'!$E30/100</f>
        <v>2181.379191592971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2181.379191592971</v>
      </c>
      <c r="G30" s="5">
        <f>+$F30*'Sheet2(F_12)'!$I30</f>
        <v>2181.379191592971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87</v>
      </c>
      <c r="B32" s="5">
        <f aca="true" t="shared" si="2" ref="B32:G32">SUM(B16:B31)</f>
        <v>483137.6582278481</v>
      </c>
      <c r="C32" s="5">
        <f t="shared" si="2"/>
        <v>20602.52992082283</v>
      </c>
      <c r="D32" s="5">
        <f t="shared" si="2"/>
        <v>0</v>
      </c>
      <c r="E32" s="5">
        <f t="shared" si="2"/>
        <v>0</v>
      </c>
      <c r="F32" s="5">
        <f t="shared" si="2"/>
        <v>20602.52992082283</v>
      </c>
      <c r="G32" s="5">
        <f t="shared" si="2"/>
        <v>20602.52992082283</v>
      </c>
    </row>
    <row r="33" spans="2:7" ht="12.75">
      <c r="B33" s="5"/>
      <c r="C33" s="5"/>
      <c r="D33" s="5"/>
      <c r="E33" s="5"/>
      <c r="F33" s="5"/>
      <c r="G33" s="5"/>
    </row>
    <row r="34" spans="1:7" ht="12.75">
      <c r="A34" t="s">
        <v>118</v>
      </c>
      <c r="B34" s="5"/>
      <c r="C34" s="5">
        <f>NPV(+Title_RESULTS!$C$37,C17:C31)+C16</f>
        <v>11800.73032265858</v>
      </c>
      <c r="D34" s="5"/>
      <c r="E34" s="5">
        <f>NPV(+Title_RESULTS!$C$37,E17:E31)+E16</f>
        <v>0</v>
      </c>
      <c r="F34" s="5">
        <f>NPV(+Title_RESULTS!$C$37,F17:F31)+F16</f>
        <v>11800.73032265858</v>
      </c>
      <c r="G34" s="5">
        <f>NPV(+Title_RESULTS!$C$37,G17:G31)+G16</f>
        <v>11800.73032265858</v>
      </c>
    </row>
    <row r="35" spans="6:7" ht="12.75">
      <c r="F35" s="9"/>
      <c r="G35" s="9"/>
    </row>
    <row r="36" ht="12.75">
      <c r="A3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Pump Equipment Upgrade</v>
      </c>
      <c r="J2" t="s">
        <v>42</v>
      </c>
    </row>
    <row r="3" spans="9:10" ht="12.75">
      <c r="I3" s="4"/>
      <c r="J3" s="35">
        <f>+Title_RESULTS!I4</f>
        <v>43599.32391550926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Pump Equipment Upgrade</v>
      </c>
      <c r="H2" t="s">
        <v>108</v>
      </c>
    </row>
    <row r="3" ht="12.75">
      <c r="H3" s="35">
        <f>+Title_RESULTS!I4</f>
        <v>43599.32391550926</v>
      </c>
    </row>
    <row r="5" spans="3:6" ht="12.75">
      <c r="C5" t="s">
        <v>60</v>
      </c>
      <c r="F5" s="38">
        <f>+'Value of Defferal'!L4</f>
        <v>180.4391424</v>
      </c>
    </row>
    <row r="6" spans="3:6" ht="12.75">
      <c r="C6" t="s">
        <v>62</v>
      </c>
      <c r="F6" s="38">
        <f>+'Value of Defferal'!L5</f>
        <v>384.62177280000003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173.01753762034411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17.831411703369813</v>
      </c>
      <c r="C17" s="5">
        <f>IF(+Title_RESULTS!$H$9&lt;='Sheet4(F_22)'!$A17,(+Title_RESULTS!$H$16*((1+Title_RESULTS!$H$18/100)^('Sheet4(F_22)'!$A17-Title_RESULTS!$H$7))*Title_RESULTS!$C$8*Partcipation!$C$26/1000),0)</f>
        <v>14.371781800307222</v>
      </c>
      <c r="D17" s="5">
        <f>(+B17+C17)*+Partcipation!$H17</f>
        <v>32.203193503677035</v>
      </c>
      <c r="E17" s="5">
        <f>VLOOKUP(A17,'Value of Defferal'!$I24:$P$58,'Value of Defferal'!$K$13)</f>
        <v>38.0092095853187</v>
      </c>
      <c r="F17" s="5">
        <f>IF(+'Value of Defferal'!P24=0,0,Title_RESULTS!$H$17*Title_RESULTS!$C$7*Partcipation!$C$26*(1+Title_RESULTS!$H$18/100)^('Sheet4(F_22)'!A17-Title_RESULTS!$H$7))/1000</f>
        <v>52.95144959999999</v>
      </c>
      <c r="G17" s="5">
        <f>(+E17+F17)*Partcipation!$H17</f>
        <v>90.96065918531869</v>
      </c>
      <c r="H17" s="5">
        <f>+'Sheet5(p_5)'!$F17*'Sheet2(F_12)'!$I17</f>
        <v>514.8307151079899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18.259365584250688</v>
      </c>
      <c r="C18" s="5">
        <f>IF(+Title_RESULTS!$H$9&lt;='Sheet4(F_22)'!$A18,(+Title_RESULTS!$H$16*((1+Title_RESULTS!$H$18/100)^('Sheet4(F_22)'!$A18-Title_RESULTS!$H$7))*Title_RESULTS!$C$8*Partcipation!$C$26/1000),0)</f>
        <v>14.716704563514593</v>
      </c>
      <c r="D18" s="5">
        <f>(+B18+C18)*+Partcipation!$H18</f>
        <v>32.976070147765284</v>
      </c>
      <c r="E18" s="5">
        <f>VLOOKUP(A18,'Value of Defferal'!$I25:$P$58,'Value of Defferal'!$K$13)</f>
        <v>38.92143061536635</v>
      </c>
      <c r="F18" s="5">
        <f>IF(+'Value of Defferal'!P25=0,0,Title_RESULTS!$H$17*Title_RESULTS!$C$7*Partcipation!$C$26*(1+Title_RESULTS!$H$18/100)^('Sheet4(F_22)'!A18-Title_RESULTS!$H$7))/1000</f>
        <v>54.22228439039999</v>
      </c>
      <c r="G18" s="5">
        <f>(+E18+F18)*Partcipation!$H18</f>
        <v>93.14371500576634</v>
      </c>
      <c r="H18" s="5">
        <f>+'Sheet5(p_5)'!$F18*'Sheet2(F_12)'!$I18</f>
        <v>885.566261423553</v>
      </c>
      <c r="I18" s="5"/>
      <c r="J18" s="5"/>
    </row>
    <row r="19" spans="1:10" ht="12.75">
      <c r="A19">
        <f aca="true" t="shared" si="0" ref="A19:A30">+A18+1</f>
        <v>2023</v>
      </c>
      <c r="B19" s="5">
        <f>VLOOKUP(A19,'Value of Defferal'!$I26:$P$58,'Value of Defferal'!$K$9)</f>
        <v>18.697590358272706</v>
      </c>
      <c r="C19" s="5">
        <f>IF(+Title_RESULTS!$H$9&lt;='Sheet4(F_22)'!$A19,(+Title_RESULTS!$H$16*((1+Title_RESULTS!$H$18/100)^('Sheet4(F_22)'!$A19-Title_RESULTS!$H$7))*Title_RESULTS!$C$8*Partcipation!$C$26/1000),0)</f>
        <v>15.069905473038943</v>
      </c>
      <c r="D19" s="5">
        <f>(+B19+C19)*+Partcipation!$H19</f>
        <v>33.76749583131165</v>
      </c>
      <c r="E19" s="5">
        <f>VLOOKUP(A19,'Value of Defferal'!$I26:$P$58,'Value of Defferal'!$K$13)</f>
        <v>39.85554495013514</v>
      </c>
      <c r="F19" s="5">
        <f>IF(+'Value of Defferal'!P26=0,0,Title_RESULTS!$H$17*Title_RESULTS!$C$7*Partcipation!$C$26*(1+Title_RESULTS!$H$18/100)^('Sheet4(F_22)'!A19-Title_RESULTS!$H$7))/1000</f>
        <v>55.5236192157696</v>
      </c>
      <c r="G19" s="5">
        <f>(+E19+F19)*Partcipation!$H19</f>
        <v>95.37916416590474</v>
      </c>
      <c r="H19" s="5">
        <f>+'Sheet5(p_5)'!$F19*'Sheet2(F_12)'!$I19</f>
        <v>1106.2746595813344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19.14633252687125</v>
      </c>
      <c r="C20" s="5">
        <f>IF(+Title_RESULTS!$H$9&lt;='Sheet4(F_22)'!$A20,(+Title_RESULTS!$H$16*((1+Title_RESULTS!$H$18/100)^('Sheet4(F_22)'!$A20-Title_RESULTS!$H$7))*Title_RESULTS!$C$8*Partcipation!$C$26/1000),0)</f>
        <v>15.43158320439188</v>
      </c>
      <c r="D20" s="5">
        <f>(+B20+C20)*+Partcipation!$H20</f>
        <v>34.57791573126313</v>
      </c>
      <c r="E20" s="5">
        <f>VLOOKUP(A20,'Value of Defferal'!$I27:$P$58,'Value of Defferal'!$K$13)</f>
        <v>40.81207802893838</v>
      </c>
      <c r="F20" s="5">
        <f>IF(+'Value of Defferal'!P27=0,0,Title_RESULTS!$H$17*Title_RESULTS!$C$7*Partcipation!$C$26*(1+Title_RESULTS!$H$18/100)^('Sheet4(F_22)'!A20-Title_RESULTS!$H$7))/1000</f>
        <v>56.85618607694806</v>
      </c>
      <c r="G20" s="5">
        <f>(+E20+F20)*Partcipation!$H20</f>
        <v>97.66826410588644</v>
      </c>
      <c r="H20" s="5">
        <f>+'Sheet5(p_5)'!$F20*'Sheet2(F_12)'!$I20</f>
        <v>1149.747083904952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19.60584450751616</v>
      </c>
      <c r="C21" s="5">
        <f>IF(+Title_RESULTS!$H$9&lt;='Sheet4(F_22)'!$A21,(+Title_RESULTS!$H$16*((1+Title_RESULTS!$H$18/100)^('Sheet4(F_22)'!$A21-Title_RESULTS!$H$7))*Title_RESULTS!$C$8*Partcipation!$C$26/1000),0)</f>
        <v>15.801941201297288</v>
      </c>
      <c r="D21" s="5">
        <f>(+B21+C21)*+Partcipation!$H21</f>
        <v>35.40778570881345</v>
      </c>
      <c r="E21" s="5">
        <f>VLOOKUP(A21,'Value of Defferal'!$I28:$P$58,'Value of Defferal'!$K$13)</f>
        <v>41.7915679016329</v>
      </c>
      <c r="F21" s="5">
        <f>IF(+'Value of Defferal'!P28=0,0,Title_RESULTS!$H$17*Title_RESULTS!$C$7*Partcipation!$C$26*(1+Title_RESULTS!$H$18/100)^('Sheet4(F_22)'!A21-Title_RESULTS!$H$7))/1000</f>
        <v>58.22073454279482</v>
      </c>
      <c r="G21" s="5">
        <f>(+E21+F21)*Partcipation!$H21</f>
        <v>100.01230244442772</v>
      </c>
      <c r="H21" s="5">
        <f>+'Sheet5(p_5)'!$F21*'Sheet2(F_12)'!$I21</f>
        <v>1234.482219115465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20.07638477569655</v>
      </c>
      <c r="C22" s="5">
        <f>IF(+Title_RESULTS!$H$9&lt;='Sheet4(F_22)'!$A22,(+Title_RESULTS!$H$16*((1+Title_RESULTS!$H$18/100)^('Sheet4(F_22)'!$A22-Title_RESULTS!$H$7))*Title_RESULTS!$C$8*Partcipation!$C$26/1000),0)</f>
        <v>16.181187790128416</v>
      </c>
      <c r="D22" s="5">
        <f>(+B22+C22)*+Partcipation!$H22</f>
        <v>36.257572565824965</v>
      </c>
      <c r="E22" s="5">
        <f>VLOOKUP(A22,'Value of Defferal'!$I29:$P$58,'Value of Defferal'!$K$13)</f>
        <v>42.79456553127209</v>
      </c>
      <c r="F22" s="5">
        <f>IF(+'Value of Defferal'!P29=0,0,Title_RESULTS!$H$17*Title_RESULTS!$C$7*Partcipation!$C$26*(1+Title_RESULTS!$H$18/100)^('Sheet4(F_22)'!A22-Title_RESULTS!$H$7))/1000</f>
        <v>59.61803217182188</v>
      </c>
      <c r="G22" s="5">
        <f>(+E22+F22)*Partcipation!$H22</f>
        <v>102.41259770309398</v>
      </c>
      <c r="H22" s="5">
        <f>+'Sheet5(p_5)'!$F22*'Sheet2(F_12)'!$I22</f>
        <v>1274.0777728406833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20.558218010313265</v>
      </c>
      <c r="C23" s="5">
        <f>IF(+Title_RESULTS!$H$9&lt;='Sheet4(F_22)'!$A23,(+Title_RESULTS!$H$16*((1+Title_RESULTS!$H$18/100)^('Sheet4(F_22)'!$A23-Title_RESULTS!$H$7))*Title_RESULTS!$C$8*Partcipation!$C$26/1000),0)</f>
        <v>16.569536297091503</v>
      </c>
      <c r="D23" s="5">
        <f>(+B23+C23)*+Partcipation!$H23</f>
        <v>37.12775430740477</v>
      </c>
      <c r="E23" s="5">
        <f>VLOOKUP(A23,'Value of Defferal'!$I30:$P$58,'Value of Defferal'!$K$13)</f>
        <v>43.821635104022626</v>
      </c>
      <c r="F23" s="5">
        <f>IF(+'Value of Defferal'!P30=0,0,Title_RESULTS!$H$17*Title_RESULTS!$C$7*Partcipation!$C$26*(1+Title_RESULTS!$H$18/100)^('Sheet4(F_22)'!A23-Title_RESULTS!$H$7))/1000</f>
        <v>61.04886494394563</v>
      </c>
      <c r="G23" s="5">
        <f>(+E23+F23)*Partcipation!$H23</f>
        <v>104.87050004796825</v>
      </c>
      <c r="H23" s="5">
        <f>+'Sheet5(p_5)'!$F23*'Sheet2(F_12)'!$I23</f>
        <v>1353.7019311263316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21.051615242560782</v>
      </c>
      <c r="C24" s="5">
        <f>IF(+Title_RESULTS!$H$9&lt;='Sheet4(F_22)'!$A24,(+Title_RESULTS!$H$16*((1+Title_RESULTS!$H$18/100)^('Sheet4(F_22)'!$A24-Title_RESULTS!$H$7))*Title_RESULTS!$C$8*Partcipation!$C$26/1000),0)</f>
        <v>16.967205168221696</v>
      </c>
      <c r="D24" s="5">
        <f>(+B24+C24)*+Partcipation!$H24</f>
        <v>38.01882041078248</v>
      </c>
      <c r="E24" s="5">
        <f>VLOOKUP(A24,'Value of Defferal'!$I31:$P$58,'Value of Defferal'!$K$13)</f>
        <v>44.873354346519164</v>
      </c>
      <c r="F24" s="5">
        <f>IF(+'Value of Defferal'!P31=0,0,Title_RESULTS!$H$17*Title_RESULTS!$C$7*Partcipation!$C$26*(1+Title_RESULTS!$H$18/100)^('Sheet4(F_22)'!A24-Title_RESULTS!$H$7))/1000</f>
        <v>62.51403770260031</v>
      </c>
      <c r="G24" s="5">
        <f>(+E24+F24)*Partcipation!$H24</f>
        <v>107.38739204911948</v>
      </c>
      <c r="H24" s="5">
        <f>+'Sheet5(p_5)'!$F24*'Sheet2(F_12)'!$I24</f>
        <v>1500.0582825121237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21.556854008382246</v>
      </c>
      <c r="C25" s="5">
        <f>IF(+Title_RESULTS!$H$9&lt;='Sheet4(F_22)'!$A25,(+Title_RESULTS!$H$16*((1+Title_RESULTS!$H$18/100)^('Sheet4(F_22)'!$A25-Title_RESULTS!$H$7))*Title_RESULTS!$C$8*Partcipation!$C$26/1000),0)</f>
        <v>17.374418092259017</v>
      </c>
      <c r="D25" s="5">
        <f>(+B25+C25)*+Partcipation!$H25</f>
        <v>38.931272100641266</v>
      </c>
      <c r="E25" s="5">
        <f>VLOOKUP(A25,'Value of Defferal'!$I32:$P$58,'Value of Defferal'!$K$13)</f>
        <v>45.95031485083563</v>
      </c>
      <c r="F25" s="5">
        <f>IF(+'Value of Defferal'!P32=0,0,Title_RESULTS!$H$17*Title_RESULTS!$C$7*Partcipation!$C$26*(1+Title_RESULTS!$H$18/100)^('Sheet4(F_22)'!A25-Title_RESULTS!$H$7))/1000</f>
        <v>64.01437460746271</v>
      </c>
      <c r="G25" s="5">
        <f>(+E25+F25)*Partcipation!$H25</f>
        <v>109.96468945829835</v>
      </c>
      <c r="H25" s="5">
        <f>+'Sheet5(p_5)'!$F25*'Sheet2(F_12)'!$I25</f>
        <v>1607.1088448644584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22.07421850458342</v>
      </c>
      <c r="C26" s="5">
        <f>IF(+Title_RESULTS!$H$9&lt;='Sheet4(F_22)'!$A26,(+Title_RESULTS!$H$16*((1+Title_RESULTS!$H$18/100)^('Sheet4(F_22)'!$A26-Title_RESULTS!$H$7))*Title_RESULTS!$C$8*Partcipation!$C$26/1000),0)</f>
        <v>17.791404126473232</v>
      </c>
      <c r="D26" s="5">
        <f>(+B26+C26)*+Partcipation!$H26</f>
        <v>39.86562263105665</v>
      </c>
      <c r="E26" s="5">
        <f>VLOOKUP(A26,'Value of Defferal'!$I33:$P$58,'Value of Defferal'!$K$13)</f>
        <v>47.053122407255685</v>
      </c>
      <c r="F26" s="5">
        <f>IF(+'Value of Defferal'!P33=0,0,Title_RESULTS!$H$17*Title_RESULTS!$C$7*Partcipation!$C$26*(1+Title_RESULTS!$H$18/100)^('Sheet4(F_22)'!A26-Title_RESULTS!$H$7))/1000</f>
        <v>65.55071959804182</v>
      </c>
      <c r="G26" s="5">
        <f>(+E26+F26)*Partcipation!$H26</f>
        <v>112.60384200529751</v>
      </c>
      <c r="H26" s="5">
        <f>+'Sheet5(p_5)'!$F26*'Sheet2(F_12)'!$I26</f>
        <v>1795.0515455513173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22.603999748693422</v>
      </c>
      <c r="C27" s="5">
        <f>IF(+Title_RESULTS!$H$9&lt;='Sheet4(F_22)'!$A27,(+Title_RESULTS!$H$16*((1+Title_RESULTS!$H$18/100)^('Sheet4(F_22)'!$A27-Title_RESULTS!$H$7))*Title_RESULTS!$C$8*Partcipation!$C$26/1000),0)</f>
        <v>18.218397825508593</v>
      </c>
      <c r="D27" s="5">
        <f>(+B27+C27)*+Partcipation!$H27</f>
        <v>40.822397574202014</v>
      </c>
      <c r="E27" s="5">
        <f>VLOOKUP(A27,'Value of Defferal'!$I34:$P$58,'Value of Defferal'!$K$13)</f>
        <v>48.18239734502983</v>
      </c>
      <c r="F27" s="5">
        <f>IF(+'Value of Defferal'!P34=0,0,Title_RESULTS!$H$17*Title_RESULTS!$C$7*Partcipation!$C$26*(1+Title_RESULTS!$H$18/100)^('Sheet4(F_22)'!A27-Title_RESULTS!$H$7))/1000</f>
        <v>67.12393686839482</v>
      </c>
      <c r="G27" s="5">
        <f>(+E27+F27)*Partcipation!$H27</f>
        <v>115.30633421342465</v>
      </c>
      <c r="H27" s="5">
        <f>+'Sheet5(p_5)'!$F27*'Sheet2(F_12)'!$I27</f>
        <v>1788.3760260726742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23.146495742662065</v>
      </c>
      <c r="C28" s="5">
        <f>IF(+Title_RESULTS!$H$9&lt;='Sheet4(F_22)'!$A28,(+Title_RESULTS!$H$16*((1+Title_RESULTS!$H$18/100)^('Sheet4(F_22)'!$A28-Title_RESULTS!$H$7))*Title_RESULTS!$C$8*Partcipation!$C$26/1000),0)</f>
        <v>18.6556393733208</v>
      </c>
      <c r="D28" s="5">
        <f>(+B28+C28)*+Partcipation!$H28</f>
        <v>41.802135115982864</v>
      </c>
      <c r="E28" s="5">
        <f>VLOOKUP(A28,'Value of Defferal'!$I35:$P$58,'Value of Defferal'!$K$13)</f>
        <v>49.33877488131054</v>
      </c>
      <c r="F28" s="5">
        <f>IF(+'Value of Defferal'!P35=0,0,Title_RESULTS!$H$17*Title_RESULTS!$C$7*Partcipation!$C$26*(1+Title_RESULTS!$H$18/100)^('Sheet4(F_22)'!A28-Title_RESULTS!$H$7))/1000</f>
        <v>68.7349113532363</v>
      </c>
      <c r="G28" s="5">
        <f>(+E28+F28)*Partcipation!$H28</f>
        <v>118.07368623454684</v>
      </c>
      <c r="H28" s="5">
        <f>+'Sheet5(p_5)'!$F28*'Sheet2(F_12)'!$I28</f>
        <v>1954.529707830884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23.702011640485956</v>
      </c>
      <c r="C29" s="5">
        <f>IF(+Title_RESULTS!$H$9&lt;='Sheet4(F_22)'!$A29,(+Title_RESULTS!$H$16*((1+Title_RESULTS!$H$18/100)^('Sheet4(F_22)'!$A29-Title_RESULTS!$H$7))*Title_RESULTS!$C$8*Partcipation!$C$26/1000),0)</f>
        <v>19.103374718280495</v>
      </c>
      <c r="D29" s="5">
        <f>(+B29+C29)*+Partcipation!$H29</f>
        <v>42.805386358766455</v>
      </c>
      <c r="E29" s="5">
        <f>VLOOKUP(A29,'Value of Defferal'!$I36:$P$58,'Value of Defferal'!$K$13)</f>
        <v>50.522905478462</v>
      </c>
      <c r="F29" s="5">
        <f>IF(+'Value of Defferal'!P36=0,0,Title_RESULTS!$H$17*Title_RESULTS!$C$7*Partcipation!$C$26*(1+Title_RESULTS!$H$18/100)^('Sheet4(F_22)'!A29-Title_RESULTS!$H$7))/1000</f>
        <v>70.38454922571397</v>
      </c>
      <c r="G29" s="5">
        <f>(+E29+F29)*Partcipation!$H29</f>
        <v>120.90745470417596</v>
      </c>
      <c r="H29" s="5">
        <f>+'Sheet5(p_5)'!$F29*'Sheet2(F_12)'!$I29</f>
        <v>2084.328141677745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24.270859919857617</v>
      </c>
      <c r="C30" s="5">
        <f>IF(+Title_RESULTS!$H$9&lt;='Sheet4(F_22)'!$A30,(+Title_RESULTS!$H$16*((1+Title_RESULTS!$H$18/100)^('Sheet4(F_22)'!$A30-Title_RESULTS!$H$7))*Title_RESULTS!$C$8*Partcipation!$C$26/1000),0)</f>
        <v>19.561855711519225</v>
      </c>
      <c r="D30" s="5">
        <f>(+B30+C30)*+Partcipation!$H30</f>
        <v>43.83271563137684</v>
      </c>
      <c r="E30" s="5">
        <f>VLOOKUP(A30,'Value of Defferal'!$I37:$P$58,'Value of Defferal'!$K$13)</f>
        <v>51.73545520994508</v>
      </c>
      <c r="F30" s="5">
        <f>IF(+'Value of Defferal'!P37=0,0,Title_RESULTS!$H$17*Title_RESULTS!$C$7*Partcipation!$C$26*(1+Title_RESULTS!$H$18/100)^('Sheet4(F_22)'!A30-Title_RESULTS!$H$7))/1000</f>
        <v>72.0737784071311</v>
      </c>
      <c r="G30" s="5">
        <f>(+E30+F30)*Partcipation!$H30</f>
        <v>123.80923361707619</v>
      </c>
      <c r="H30" s="5">
        <f>+'Sheet5(p_5)'!$F30*'Sheet2(F_12)'!$I30</f>
        <v>2181.379191592971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88</v>
      </c>
      <c r="B32" s="5">
        <f aca="true" t="shared" si="1" ref="B32:H32">SUM(B16:B31)</f>
        <v>292.581202273516</v>
      </c>
      <c r="C32" s="5">
        <f t="shared" si="1"/>
        <v>235.8149353453529</v>
      </c>
      <c r="D32" s="5">
        <f t="shared" si="1"/>
        <v>528.3961376188688</v>
      </c>
      <c r="E32" s="5">
        <f t="shared" si="1"/>
        <v>623.6623562360442</v>
      </c>
      <c r="F32" s="5">
        <f t="shared" si="1"/>
        <v>868.837478704261</v>
      </c>
      <c r="G32" s="5">
        <f t="shared" si="1"/>
        <v>1492.4998349403052</v>
      </c>
      <c r="H32" s="5">
        <f t="shared" si="1"/>
        <v>20602.52992082283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90</v>
      </c>
      <c r="B34" s="5">
        <f>NPV(Title_RESULTS!$C$37,'Sheet4(F_22)'!B17:B31)+'Sheet4(F_22)'!B16</f>
        <v>177.20461778575898</v>
      </c>
      <c r="C34" s="5">
        <f>NPV(Title_RESULTS!$C$37,'Sheet4(F_22)'!C17:C31)+'Sheet4(F_22)'!C16</f>
        <v>142.8235825177251</v>
      </c>
      <c r="D34" s="5">
        <f>NPV(Title_RESULTS!$C$37,'Sheet4(F_22)'!D17:D31)+'Sheet4(F_22)'!D16</f>
        <v>320.02820030348414</v>
      </c>
      <c r="E34" s="5">
        <f>NPV(Title_RESULTS!$C$37,'Sheet4(F_22)'!E17:E31)+'Sheet4(F_22)'!E16</f>
        <v>377.7271014180182</v>
      </c>
      <c r="F34" s="5">
        <f>NPV(Title_RESULTS!$C$37,'Sheet4(F_22)'!F17:F31)+'Sheet4(F_22)'!F16</f>
        <v>526.2197712476471</v>
      </c>
      <c r="G34" s="5">
        <f>NPV(Title_RESULTS!$C$37,'Sheet4(F_22)'!G17:G31)+'Sheet4(F_22)'!G16</f>
        <v>903.9468726656652</v>
      </c>
      <c r="H34" s="5">
        <f>NPV(Title_RESULTS!$C$37,'Sheet4(F_22)'!H17:H31)+'Sheet4(F_22)'!H16</f>
        <v>11800.73032265858</v>
      </c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ht="12.75">
      <c r="A3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Pump Equipment Upgrade</v>
      </c>
      <c r="P2" t="s">
        <v>121</v>
      </c>
    </row>
    <row r="3" ht="12.75">
      <c r="P3" s="35">
        <f>+Title_RESULTS!I4</f>
        <v>43599.32391550926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1123.07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1123.07</v>
      </c>
      <c r="H16" s="5">
        <f>IF(Partcipation!$B17&lt;Partcipation!$B16,0,IF(Partcipation!$B16=0,0,(Partcipation!$B16-Partcipation!$B15)*(+Title_RESULTS!$C$29*(1+Title_RESULTS!$C$30/100)^(+'Sheet8(F_24)'!$A16-Title_RESULTS!$H$7))/1000))</f>
        <v>2577.52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2577.52</v>
      </c>
      <c r="K16" s="5">
        <f>(+Partcipation!$B15+(Partcipation!$B16-Partcipation!$B15)/2)*(+Title_RESULTS!$C$14)/1000</f>
        <v>5654.5</v>
      </c>
      <c r="L16" s="5">
        <f>($K16)*Partcipation!$E73*Title_RESULTS!$C$12/100</f>
        <v>137.66516616260523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211.05321</v>
      </c>
      <c r="N16" s="5">
        <f>'Sheet2(F_12)'!$I16*('Sheet6(p_6)'!$L16+'Sheet6(p_6)'!$M16)</f>
        <v>348.71837616260524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1123.07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1123.07</v>
      </c>
      <c r="H17" s="5">
        <f>IF(Partcipation!$B18&lt;Partcipation!$B17,0,IF(Partcipation!$B17=0,0,(Partcipation!$B17-Partcipation!$B16)*(+Title_RESULTS!$C$29*(1+Title_RESULTS!$C$30/100)^(+'Sheet8(F_24)'!$A17-Title_RESULTS!$H$7))/1000))</f>
        <v>2636.8029599999995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2636.8029599999995</v>
      </c>
      <c r="K17" s="5">
        <f>(+Partcipation!$B16+(Partcipation!$B17-Partcipation!$B16)/2)*(+Title_RESULTS!$C$14)/1000</f>
        <v>16963.5</v>
      </c>
      <c r="L17" s="5">
        <f>($K17)*Partcipation!$E74*Title_RESULTS!$C$12/100</f>
        <v>432.6513930544368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639.4912263</v>
      </c>
      <c r="N17" s="5">
        <f>'Sheet2(F_12)'!$I17*('Sheet6(p_6)'!$L17+'Sheet6(p_6)'!$M17)</f>
        <v>1072.1426193544369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1123.07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1123.07</v>
      </c>
      <c r="H18" s="5">
        <f>IF(Partcipation!$B19&lt;Partcipation!$B18,0,IF(Partcipation!$B18=0,0,(Partcipation!$B18-Partcipation!$B17)*(+Title_RESULTS!$C$29*(1+Title_RESULTS!$C$30/100)^(+'Sheet8(F_24)'!$A18-Title_RESULTS!$H$7))/1000))</f>
        <v>2697.4494280799995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2697.4494280799995</v>
      </c>
      <c r="K18" s="5">
        <f>(+Partcipation!$B17+(Partcipation!$B18-Partcipation!$B17)/2)*(+Title_RESULTS!$C$14)/1000</f>
        <v>28272.5</v>
      </c>
      <c r="L18" s="5">
        <f>($K18)*Partcipation!$E75*Title_RESULTS!$C$12/100</f>
        <v>747.6471250347712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1076.476897605</v>
      </c>
      <c r="N18" s="5">
        <f>'Sheet2(F_12)'!$I18*('Sheet6(p_6)'!$L18+'Sheet6(p_6)'!$M18)</f>
        <v>1824.1240226397713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0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0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0">SUM(H19:I19)</f>
        <v>0</v>
      </c>
      <c r="K19" s="5">
        <f>(+Partcipation!$B18+(Partcipation!$B19-Partcipation!$B18)/2)*(+Title_RESULTS!$C$14)/1000</f>
        <v>33927</v>
      </c>
      <c r="L19" s="5">
        <f>($K19)*Partcipation!$E76*Title_RESULTS!$C$12/100</f>
        <v>889.8220453277245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1304.68999989726</v>
      </c>
      <c r="N19" s="5">
        <f>'Sheet2(F_12)'!$I19*('Sheet6(p_6)'!$L19+'Sheet6(p_6)'!$M19)</f>
        <v>2194.5120452249844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33927</v>
      </c>
      <c r="L20" s="5">
        <f>($K20)*Partcipation!$E77*Title_RESULTS!$C$12/100</f>
        <v>940.2925146413867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1317.7368998962327</v>
      </c>
      <c r="N20" s="5">
        <f>'Sheet2(F_12)'!$I20*('Sheet6(p_6)'!$L20+'Sheet6(p_6)'!$M20)</f>
        <v>2258.0294145376192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33927</v>
      </c>
      <c r="L21" s="5">
        <f>($K21)*Partcipation!$E78*Title_RESULTS!$C$12/100</f>
        <v>994.2640609135473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1330.9142688951947</v>
      </c>
      <c r="N21" s="5">
        <f>'Sheet2(F_12)'!$I21*('Sheet6(p_6)'!$L21+'Sheet6(p_6)'!$M21)</f>
        <v>2325.178329808742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33927</v>
      </c>
      <c r="L22" s="5">
        <f>($K22)*Partcipation!$E79*Title_RESULTS!$C$12/100</f>
        <v>1039.218881670617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1344.223411584147</v>
      </c>
      <c r="N22" s="5">
        <f>'Sheet2(F_12)'!$I22*('Sheet6(p_6)'!$L22+'Sheet6(p_6)'!$M22)</f>
        <v>2383.442293254764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33927</v>
      </c>
      <c r="L23" s="5">
        <f>($K23)*Partcipation!$E80*Title_RESULTS!$C$12/100</f>
        <v>1100.4090953108112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1357.665645699988</v>
      </c>
      <c r="N23" s="5">
        <f>'Sheet2(F_12)'!$I23*('Sheet6(p_6)'!$L23+'Sheet6(p_6)'!$M23)</f>
        <v>2458.0747410107992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33927</v>
      </c>
      <c r="L24" s="5">
        <f>($K24)*Partcipation!$E81*Title_RESULTS!$C$12/100</f>
        <v>1204.6124572240392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1371.2423021569884</v>
      </c>
      <c r="N24" s="5">
        <f>'Sheet2(F_12)'!$I24*('Sheet6(p_6)'!$L24+'Sheet6(p_6)'!$M24)</f>
        <v>2575.8547593810276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33927</v>
      </c>
      <c r="L25" s="5">
        <f>($K25)*Partcipation!$E82*Title_RESULTS!$C$12/100</f>
        <v>1265.9847494484293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1384.9547251785584</v>
      </c>
      <c r="N25" s="5">
        <f>'Sheet2(F_12)'!$I25*('Sheet6(p_6)'!$L25+'Sheet6(p_6)'!$M25)</f>
        <v>2650.9394746269877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33927</v>
      </c>
      <c r="L26" s="5">
        <f>($K26)*Partcipation!$E83*Title_RESULTS!$C$12/100</f>
        <v>1379.3561995521495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1398.804272430344</v>
      </c>
      <c r="N26" s="5">
        <f>'Sheet2(F_12)'!$I26*('Sheet6(p_6)'!$L26+'Sheet6(p_6)'!$M26)</f>
        <v>2778.1604719824936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33927</v>
      </c>
      <c r="L27" s="5">
        <f>($K27)*Partcipation!$E84*Title_RESULTS!$C$12/100</f>
        <v>1426.9054797066428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1412.7923151546472</v>
      </c>
      <c r="N27" s="5">
        <f>'Sheet2(F_12)'!$I27*('Sheet6(p_6)'!$L27+'Sheet6(p_6)'!$M27)</f>
        <v>2839.6977948612903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33927</v>
      </c>
      <c r="L28" s="5">
        <f>($K28)*Partcipation!$E85*Title_RESULTS!$C$12/100</f>
        <v>1528.716680856135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1426.9202383061938</v>
      </c>
      <c r="N28" s="5">
        <f>'Sheet2(F_12)'!$I28*('Sheet6(p_6)'!$L28+'Sheet6(p_6)'!$M28)</f>
        <v>2955.636919162329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33927</v>
      </c>
      <c r="L29" s="5">
        <f>($K29)*Partcipation!$E86*Title_RESULTS!$C$12/100</f>
        <v>1560.7820999711894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1441.1894406892557</v>
      </c>
      <c r="N29" s="5">
        <f>'Sheet2(F_12)'!$I29*('Sheet6(p_6)'!$L29+'Sheet6(p_6)'!$M29)</f>
        <v>3001.971540660445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33927</v>
      </c>
      <c r="L30" s="5">
        <f>($K30)*Partcipation!$E87*Title_RESULTS!$C$12/100</f>
        <v>1663.8635873214664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1455.6013350961484</v>
      </c>
      <c r="N30" s="5">
        <f>'Sheet2(F_12)'!$I30*('Sheet6(p_6)'!$L30+'Sheet6(p_6)'!$M30)</f>
        <v>3119.4649224176146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87</v>
      </c>
      <c r="B32" s="5">
        <f aca="true" t="shared" si="4" ref="B32:R32">SUM(B16:B31)</f>
        <v>384.072</v>
      </c>
      <c r="C32" s="5">
        <f t="shared" si="4"/>
        <v>0</v>
      </c>
      <c r="D32" s="5">
        <f t="shared" si="4"/>
        <v>384.072</v>
      </c>
      <c r="E32" s="5">
        <f t="shared" si="4"/>
        <v>3369.21</v>
      </c>
      <c r="F32" s="5">
        <f t="shared" si="4"/>
        <v>0</v>
      </c>
      <c r="G32" s="5">
        <f t="shared" si="4"/>
        <v>3369.21</v>
      </c>
      <c r="H32" s="5">
        <f t="shared" si="4"/>
        <v>7911.772388079999</v>
      </c>
      <c r="I32" s="5">
        <f t="shared" si="4"/>
        <v>0</v>
      </c>
      <c r="J32" s="5">
        <f t="shared" si="4"/>
        <v>7911.772388079999</v>
      </c>
      <c r="K32" s="5">
        <f t="shared" si="4"/>
        <v>458014.5</v>
      </c>
      <c r="L32" s="5">
        <f t="shared" si="4"/>
        <v>16312.191536195949</v>
      </c>
      <c r="M32" s="5">
        <f t="shared" si="4"/>
        <v>18473.75618888996</v>
      </c>
      <c r="N32" s="5">
        <f t="shared" si="4"/>
        <v>34785.94772508591</v>
      </c>
      <c r="O32" s="5">
        <f t="shared" si="4"/>
        <v>0</v>
      </c>
      <c r="P32" s="5">
        <f t="shared" si="4"/>
        <v>0</v>
      </c>
      <c r="Q32" s="5">
        <f t="shared" si="4"/>
        <v>0</v>
      </c>
      <c r="R32" s="5">
        <f t="shared" si="4"/>
        <v>0</v>
      </c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t="s">
        <v>89</v>
      </c>
      <c r="B34" s="5">
        <f>NPV(Title_RESULTS!$C$37,'Sheet6(p_6)'!B17:B31)+'Sheet6(p_6)'!B16</f>
        <v>358.8491576370552</v>
      </c>
      <c r="C34" s="5">
        <f>NPV(Title_RESULTS!$C$37,'Sheet6(p_6)'!C17:C31)+'Sheet6(p_6)'!C16</f>
        <v>0</v>
      </c>
      <c r="D34" s="5">
        <f>NPV(Title_RESULTS!$C$37,'Sheet6(p_6)'!D17:D31)+'Sheet6(p_6)'!D16</f>
        <v>358.8491576370552</v>
      </c>
      <c r="E34" s="5">
        <f>NPV(Title_RESULTS!$C$37,'Sheet6(p_6)'!E17:E31)+'Sheet6(p_6)'!E16</f>
        <v>3151.351631362445</v>
      </c>
      <c r="F34" s="5">
        <f>NPV(Title_RESULTS!$C$37,'Sheet6(p_6)'!F17:F31)+'Sheet6(p_6)'!F16</f>
        <v>0</v>
      </c>
      <c r="G34" s="5">
        <f>NPV(Title_RESULTS!$C$37,'Sheet6(p_6)'!G17:G31)+'Sheet6(p_6)'!G16</f>
        <v>3151.351631362445</v>
      </c>
      <c r="H34" s="5">
        <f>NPV(Title_RESULTS!$C$37,'Sheet6(p_6)'!H17:H31)+'Sheet6(p_6)'!H16</f>
        <v>7392.518409269236</v>
      </c>
      <c r="I34" s="5">
        <f>NPV(Title_RESULTS!$C$37,'Sheet6(p_6)'!I17:I31)+'Sheet6(p_6)'!I16</f>
        <v>0</v>
      </c>
      <c r="J34" s="5">
        <f>NPV(Title_RESULTS!$C$37,'Sheet6(p_6)'!J17:J31)+'Sheet6(p_6)'!J16</f>
        <v>7392.518409269236</v>
      </c>
      <c r="K34" s="5"/>
      <c r="L34" s="5">
        <f>NPV(Title_RESULTS!$C$37,'Sheet6(p_6)'!L17:L31)+'Sheet6(p_6)'!L16</f>
        <v>9412.94884557402</v>
      </c>
      <c r="M34" s="5">
        <f>NPV(Title_RESULTS!$C$37,'Sheet6(p_6)'!M17:M31)+'Sheet6(p_6)'!M16</f>
        <v>11182.076341286589</v>
      </c>
      <c r="N34" s="5">
        <f>NPV(Title_RESULTS!$C$37,'Sheet6(p_6)'!N17:N31)+'Sheet6(p_6)'!N16</f>
        <v>20595.025186860606</v>
      </c>
      <c r="O34" s="5"/>
      <c r="P34" s="5">
        <f>NPV(Title_RESULTS!$C$37,'Sheet6(p_6)'!P17:P31)+'Sheet6(p_6)'!P16</f>
        <v>0</v>
      </c>
      <c r="Q34" s="5">
        <f>NPV(Title_RESULTS!$C$37,'Sheet6(p_6)'!Q17:Q31)+'Sheet6(p_6)'!Q16</f>
        <v>0</v>
      </c>
      <c r="R34" s="5">
        <f>NPV(Title_RESULTS!$C$37,'Sheet6(p_6)'!R17:R31)+'Sheet6(p_6)'!R16</f>
        <v>0</v>
      </c>
    </row>
    <row r="36" ht="12.75">
      <c r="A3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Pump Equipment Upgrade</v>
      </c>
      <c r="M2" t="s">
        <v>55</v>
      </c>
    </row>
    <row r="3" ht="12.75">
      <c r="M3" s="35">
        <f>+Title_RESULTS!I4</f>
        <v>43599.32391550926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2577.52</v>
      </c>
      <c r="E16" s="5">
        <f>IF(A16&gt;=(Title_RESULTS!$H$7+Title_RESULTS!$C$17),0,(+'f-11B'!$N15))</f>
        <v>0</v>
      </c>
      <c r="F16" s="5">
        <f>IF(A16&gt;=(Title_RESULTS!$H$7+Title_RESULTS!$C$17),0,(SUM(B16:E16)))</f>
        <v>2702.52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173.01753762034411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173.01753762034411</v>
      </c>
      <c r="L16" s="23">
        <f>IF(A16&gt;=(Title_RESULTS!$H$7+Title_RESULTS!$C$17),0,(+$K16-$F16))</f>
        <v>-2529.5024623796558</v>
      </c>
      <c r="M16" s="23">
        <f>IF(A16&gt;=(Title_RESULTS!$H$7+Title_RESULTS!$C$17),0,(+$L16/(1+Title_RESULTS!$C$37)^('Sheet7(F_23)'!$A16-Title_RESULTS!$H$7)))</f>
        <v>-2529.5024623796558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2636.8029599999995</v>
      </c>
      <c r="E17" s="5">
        <f>IF(A17&gt;=(Title_RESULTS!$H$7+Title_RESULTS!$C$17),0,(+'f-11B'!$N16))</f>
        <v>0</v>
      </c>
      <c r="F17" s="5">
        <f>IF(A17&gt;=(Title_RESULTS!$H$7+Title_RESULTS!$C$17),0,(SUM(B17:E17)))</f>
        <v>2764.8029599999995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123.16385268899572</v>
      </c>
      <c r="I17" s="5">
        <f>IF(A17&gt;=(Title_RESULTS!$H$7+Title_RESULTS!$C$17),0,(+'Sheet4(F_22)'!$H17))</f>
        <v>514.8307151079899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637.9945677969856</v>
      </c>
      <c r="L17" s="23">
        <f>IF(A17&gt;=(Title_RESULTS!$H$7+Title_RESULTS!$C$17),0,(+$K17-$F17))</f>
        <v>-2126.8083922030137</v>
      </c>
      <c r="M17" s="23">
        <f>IF(A17&gt;=(Title_RESULTS!$H$7+Title_RESULTS!$C$17),0,(+M16+$L17/(1+Title_RESULTS!$C$37)^('Sheet7(F_23)'!$A17-Title_RESULTS!$H$7)))</f>
        <v>-4515.688857787774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2697.4494280799995</v>
      </c>
      <c r="E18" s="5">
        <f>IF(A18&gt;=(Title_RESULTS!$H$7+Title_RESULTS!$C$17),0,(+'f-11B'!$N17))</f>
        <v>0</v>
      </c>
      <c r="F18" s="5">
        <f>IF(A18&gt;=(Title_RESULTS!$H$7+Title_RESULTS!$C$17),0,(SUM(B18:E18)))</f>
        <v>2828.5214280799996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126.11978515353162</v>
      </c>
      <c r="I18" s="5">
        <f>IF(A18&gt;=(Title_RESULTS!$H$7+Title_RESULTS!$C$17),0,(+'Sheet4(F_22)'!$H18))</f>
        <v>885.566261423553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1011.6860465770847</v>
      </c>
      <c r="L18" s="23">
        <f>IF(A18&gt;=(Title_RESULTS!$H$7+Title_RESULTS!$C$17),0,(+$K18-$F18))</f>
        <v>-1816.835381502915</v>
      </c>
      <c r="M18" s="23">
        <f>IF(A18&gt;=(Title_RESULTS!$H$7+Title_RESULTS!$C$17),0,(+M17+$L18/(1+Title_RESULTS!$C$37)^('Sheet7(F_23)'!$A18-Title_RESULTS!$H$7)))</f>
        <v>-6100.212975281294</v>
      </c>
    </row>
    <row r="19" spans="1:13" ht="12.75">
      <c r="A19">
        <f aca="true" t="shared" si="0" ref="A19:A3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391.20279230719296</v>
      </c>
      <c r="H19" s="5">
        <f>IF(A19&gt;=(Title_RESULTS!$H$7+Title_RESULTS!$C$17),0,(+'Sheet4(F_22)'!$D19+'Sheet4(F_22)'!$G19))</f>
        <v>129.14665999721637</v>
      </c>
      <c r="I19" s="5">
        <f>IF(A19&gt;=(Title_RESULTS!$H$7+Title_RESULTS!$C$17),0,(+'Sheet4(F_22)'!$H19))</f>
        <v>1106.2746595813344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1626.6241118857438</v>
      </c>
      <c r="L19" s="23">
        <f>IF(A19&gt;=(Title_RESULTS!$H$7+Title_RESULTS!$C$17),0,(+$K19-$F19))</f>
        <v>1626.6241118857438</v>
      </c>
      <c r="M19" s="23">
        <f>IF(A19&gt;=(Title_RESULTS!$H$7+Title_RESULTS!$C$17),0,(+M18+$L19/(1+Title_RESULTS!$C$37)^('Sheet7(F_23)'!$A19-Title_RESULTS!$H$7)))</f>
        <v>-4775.3769833046435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401.63405359336133</v>
      </c>
      <c r="H20" s="5">
        <f>IF(A20&gt;=(Title_RESULTS!$H$7+Title_RESULTS!$C$17),0,(+'Sheet4(F_22)'!$D20+'Sheet4(F_22)'!$G20))</f>
        <v>132.24617983714955</v>
      </c>
      <c r="I20" s="5">
        <f>IF(A20&gt;=(Title_RESULTS!$H$7+Title_RESULTS!$C$17),0,(+'Sheet4(F_22)'!$H20))</f>
        <v>1149.747083904952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1683.627317335463</v>
      </c>
      <c r="L20" s="23">
        <f>IF(A20&gt;=(Title_RESULTS!$H$7+Title_RESULTS!$C$17),0,(+$K20-$F20))</f>
        <v>1683.627317335463</v>
      </c>
      <c r="M20" s="23">
        <f>IF(A20&gt;=(Title_RESULTS!$H$7+Title_RESULTS!$C$17),0,(+M19+$L20/(1+Title_RESULTS!$C$37)^('Sheet7(F_23)'!$A20-Title_RESULTS!$H$7)))</f>
        <v>-3494.779884406492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413.04587374106063</v>
      </c>
      <c r="H21" s="5">
        <f>IF(A21&gt;=(Title_RESULTS!$H$7+Title_RESULTS!$C$17),0,(+'Sheet4(F_22)'!$D21+'Sheet4(F_22)'!$G21))</f>
        <v>135.42008815324118</v>
      </c>
      <c r="I21" s="5">
        <f>IF(A21&gt;=(Title_RESULTS!$H$7+Title_RESULTS!$C$17),0,(+'Sheet4(F_22)'!$H21))</f>
        <v>1234.482219115465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1782.9481810097668</v>
      </c>
      <c r="L21" s="23">
        <f>IF(A21&gt;=(Title_RESULTS!$H$7+Title_RESULTS!$C$17),0,(+$K21-$F21))</f>
        <v>1782.9481810097668</v>
      </c>
      <c r="M21" s="23">
        <f>IF(A21&gt;=(Title_RESULTS!$H$7+Title_RESULTS!$C$17),0,(+M20+$L21/(1+Title_RESULTS!$C$37)^('Sheet7(F_23)'!$A21-Title_RESULTS!$H$7)))</f>
        <v>-2228.3040466292023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425.8264604604999</v>
      </c>
      <c r="H22" s="5">
        <f>IF(A22&gt;=(Title_RESULTS!$H$7+Title_RESULTS!$C$17),0,(+'Sheet4(F_22)'!$D22+'Sheet4(F_22)'!$G22))</f>
        <v>138.67017026891895</v>
      </c>
      <c r="I22" s="5">
        <f>IF(A22&gt;=(Title_RESULTS!$H$7+Title_RESULTS!$C$17),0,(+'Sheet4(F_22)'!$H22))</f>
        <v>1274.0777728406833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1838.5744035701023</v>
      </c>
      <c r="L22" s="23">
        <f>IF(A22&gt;=(Title_RESULTS!$H$7+Title_RESULTS!$C$17),0,(+$K22-$F22))</f>
        <v>1838.5744035701023</v>
      </c>
      <c r="M22" s="23">
        <f>IF(A22&gt;=(Title_RESULTS!$H$7+Title_RESULTS!$C$17),0,(+M21+$L22/(1+Title_RESULTS!$C$37)^('Sheet7(F_23)'!$A22-Title_RESULTS!$H$7)))</f>
        <v>-1008.6658011560082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437.28958352231297</v>
      </c>
      <c r="H23" s="5">
        <f>IF(A23&gt;=(Title_RESULTS!$H$7+Title_RESULTS!$C$17),0,(+'Sheet4(F_22)'!$D23+'Sheet4(F_22)'!$G23))</f>
        <v>141.99825435537304</v>
      </c>
      <c r="I23" s="5">
        <f>IF(A23&gt;=(Title_RESULTS!$H$7+Title_RESULTS!$C$17),0,(+'Sheet4(F_22)'!$H23))</f>
        <v>1353.7019311263316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1932.9897690040175</v>
      </c>
      <c r="L23" s="23">
        <f>IF(A23&gt;=(Title_RESULTS!$H$7+Title_RESULTS!$C$17),0,(+$K23-$F23))</f>
        <v>1932.9897690040175</v>
      </c>
      <c r="M23" s="23">
        <f>IF(A23&gt;=(Title_RESULTS!$H$7+Title_RESULTS!$C$17),0,(+M22+$L23/(1+Title_RESULTS!$C$37)^('Sheet7(F_23)'!$A23-Title_RESULTS!$H$7)))</f>
        <v>188.82177898182954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444.37363450913773</v>
      </c>
      <c r="H24" s="5">
        <f>IF(A24&gt;=(Title_RESULTS!$H$7+Title_RESULTS!$C$17),0,(+'Sheet4(F_22)'!$D24+'Sheet4(F_22)'!$G24))</f>
        <v>145.40621245990195</v>
      </c>
      <c r="I24" s="5">
        <f>IF(A24&gt;=(Title_RESULTS!$H$7+Title_RESULTS!$C$17),0,(+'Sheet4(F_22)'!$H24))</f>
        <v>1500.0582825121237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2089.8381294811634</v>
      </c>
      <c r="L24" s="23">
        <f>IF(A24&gt;=(Title_RESULTS!$H$7+Title_RESULTS!$C$17),0,(+$K24-$F24))</f>
        <v>2089.8381294811634</v>
      </c>
      <c r="M24" s="23">
        <f>IF(A24&gt;=(Title_RESULTS!$H$7+Title_RESULTS!$C$17),0,(+M23+$L24/(1+Title_RESULTS!$C$37)^('Sheet7(F_23)'!$A24-Title_RESULTS!$H$7)))</f>
        <v>1397.875919242024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456.44419768894227</v>
      </c>
      <c r="H25" s="5">
        <f>IF(A25&gt;=(Title_RESULTS!$H$7+Title_RESULTS!$C$17),0,(+'Sheet4(F_22)'!$D25+'Sheet4(F_22)'!$G25))</f>
        <v>148.89596155893963</v>
      </c>
      <c r="I25" s="5">
        <f>IF(A25&gt;=(Title_RESULTS!$H$7+Title_RESULTS!$C$17),0,(+'Sheet4(F_22)'!$H25))</f>
        <v>1607.1088448644584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2212.4490041123404</v>
      </c>
      <c r="L25" s="23">
        <f>IF(A25&gt;=(Title_RESULTS!$H$7+Title_RESULTS!$C$17),0,(+$K25-$F25))</f>
        <v>2212.4490041123404</v>
      </c>
      <c r="M25" s="23">
        <f>IF(A25&gt;=(Title_RESULTS!$H$7+Title_RESULTS!$C$17),0,(+M24+$L25/(1+Title_RESULTS!$C$37)^('Sheet7(F_23)'!$A25-Title_RESULTS!$H$7)))</f>
        <v>2593.233958164282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463.7529486117376</v>
      </c>
      <c r="H26" s="5">
        <f>IF(A26&gt;=(Title_RESULTS!$H$7+Title_RESULTS!$C$17),0,(+'Sheet4(F_22)'!$D26+'Sheet4(F_22)'!$G26))</f>
        <v>152.46946463635416</v>
      </c>
      <c r="I26" s="5">
        <f>IF(A26&gt;=(Title_RESULTS!$H$7+Title_RESULTS!$C$17),0,(+'Sheet4(F_22)'!$H26))</f>
        <v>1795.0515455513173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2411.2739587994092</v>
      </c>
      <c r="L26" s="23">
        <f>IF(A26&gt;=(Title_RESULTS!$H$7+Title_RESULTS!$C$17),0,(+$K26-$F26))</f>
        <v>2411.2739587994092</v>
      </c>
      <c r="M26" s="23">
        <f>IF(A26&gt;=(Title_RESULTS!$H$7+Title_RESULTS!$C$17),0,(+M25+$L26/(1+Title_RESULTS!$C$37)^('Sheet7(F_23)'!$A26-Title_RESULTS!$H$7)))</f>
        <v>3809.876311059313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479.7612621457025</v>
      </c>
      <c r="H27" s="5">
        <f>IF(A27&gt;=(Title_RESULTS!$H$7+Title_RESULTS!$C$17),0,(+'Sheet4(F_22)'!$D27+'Sheet4(F_22)'!$G27))</f>
        <v>156.12873178762666</v>
      </c>
      <c r="I27" s="5">
        <f>IF(A27&gt;=(Title_RESULTS!$H$7+Title_RESULTS!$C$17),0,(+'Sheet4(F_22)'!$H27))</f>
        <v>1788.3760260726742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2424.2660200060036</v>
      </c>
      <c r="L27" s="23">
        <f>IF(A27&gt;=(Title_RESULTS!$H$7+Title_RESULTS!$C$17),0,(+$K27-$F27))</f>
        <v>2424.2660200060036</v>
      </c>
      <c r="M27" s="23">
        <f>IF(A27&gt;=(Title_RESULTS!$H$7+Title_RESULTS!$C$17),0,(+M26+$L27/(1+Title_RESULTS!$C$37)^('Sheet7(F_23)'!$A27-Title_RESULTS!$H$7)))</f>
        <v>4952.197641826269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489.87563135007747</v>
      </c>
      <c r="H28" s="5">
        <f>IF(A28&gt;=(Title_RESULTS!$H$7+Title_RESULTS!$C$17),0,(+'Sheet4(F_22)'!$D28+'Sheet4(F_22)'!$G28))</f>
        <v>159.8758213505297</v>
      </c>
      <c r="I28" s="5">
        <f>IF(A28&gt;=(Title_RESULTS!$H$7+Title_RESULTS!$C$17),0,(+'Sheet4(F_22)'!$H28))</f>
        <v>1954.529707830884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2604.281160531491</v>
      </c>
      <c r="L28" s="23">
        <f>IF(A28&gt;=(Title_RESULTS!$H$7+Title_RESULTS!$C$17),0,(+$K28-$F28))</f>
        <v>2604.281160531491</v>
      </c>
      <c r="M28" s="23">
        <f>IF(A28&gt;=(Title_RESULTS!$H$7+Title_RESULTS!$C$17),0,(+M27+$L28/(1+Title_RESULTS!$C$37)^('Sheet7(F_23)'!$A28-Title_RESULTS!$H$7)))</f>
        <v>6098.205298060987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507.36888287495907</v>
      </c>
      <c r="H29" s="5">
        <f>IF(A29&gt;=(Title_RESULTS!$H$7+Title_RESULTS!$C$17),0,(+'Sheet4(F_22)'!$D29+'Sheet4(F_22)'!$G29))</f>
        <v>163.7128410629424</v>
      </c>
      <c r="I29" s="5">
        <f>IF(A29&gt;=(Title_RESULTS!$H$7+Title_RESULTS!$C$17),0,(+'Sheet4(F_22)'!$H29))</f>
        <v>2084.328141677745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2755.4098656156466</v>
      </c>
      <c r="L29" s="23">
        <f>IF(A29&gt;=(Title_RESULTS!$H$7+Title_RESULTS!$C$17),0,(+$K29-$F29))</f>
        <v>2755.4098656156466</v>
      </c>
      <c r="M29" s="23">
        <f>IF(A29&gt;=(Title_RESULTS!$H$7+Title_RESULTS!$C$17),0,(+M28+$L29/(1+Title_RESULTS!$C$37)^('Sheet7(F_23)'!$A29-Title_RESULTS!$H$7)))</f>
        <v>7230.54698571785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517.1674156884262</v>
      </c>
      <c r="H30" s="5">
        <f>IF(A30&gt;=(Title_RESULTS!$H$7+Title_RESULTS!$C$17),0,(+'Sheet4(F_22)'!$D30+'Sheet4(F_22)'!$G30))</f>
        <v>167.64194924845305</v>
      </c>
      <c r="I30" s="5">
        <f>IF(A30&gt;=(Title_RESULTS!$H$7+Title_RESULTS!$C$17),0,(+'Sheet4(F_22)'!$H30))</f>
        <v>2181.379191592971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2866.1885565298503</v>
      </c>
      <c r="L30" s="23">
        <f>IF(A30&gt;=(Title_RESULTS!$H$7+Title_RESULTS!$C$17),0,(+$K30-$F30))</f>
        <v>2866.1885565298503</v>
      </c>
      <c r="M30" s="23">
        <f>IF(A30&gt;=(Title_RESULTS!$H$7+Title_RESULTS!$C$17),0,(+M29+$L30/(1+Title_RESULTS!$C$37)^('Sheet7(F_23)'!$A30-Title_RESULTS!$H$7)))</f>
        <v>8330.534314862834</v>
      </c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L32">SUM(B16:B31)</f>
        <v>0</v>
      </c>
      <c r="C32" s="5">
        <f t="shared" si="1"/>
        <v>384.072</v>
      </c>
      <c r="D32" s="5">
        <f t="shared" si="1"/>
        <v>7911.772388079999</v>
      </c>
      <c r="E32" s="5">
        <f t="shared" si="1"/>
        <v>0</v>
      </c>
      <c r="F32" s="5">
        <f t="shared" si="1"/>
        <v>8295.844388079999</v>
      </c>
      <c r="G32" s="5">
        <f t="shared" si="1"/>
        <v>5427.742736493411</v>
      </c>
      <c r="H32" s="5">
        <f t="shared" si="1"/>
        <v>2020.8959725591742</v>
      </c>
      <c r="I32" s="5">
        <f t="shared" si="1"/>
        <v>20602.52992082283</v>
      </c>
      <c r="J32" s="5">
        <f t="shared" si="1"/>
        <v>0</v>
      </c>
      <c r="K32" s="5">
        <f t="shared" si="1"/>
        <v>28051.168629875418</v>
      </c>
      <c r="L32" s="5">
        <f t="shared" si="1"/>
        <v>19755.324241795413</v>
      </c>
      <c r="M32" s="5"/>
    </row>
    <row r="33" spans="2:13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t="s">
        <v>118</v>
      </c>
      <c r="B34" s="5">
        <f>NPV(Title_RESULTS!$C$37,'Sheet7(F_23)'!B17:B31)+'Sheet7(F_23)'!B16</f>
        <v>0</v>
      </c>
      <c r="C34" s="5">
        <f>NPV(Title_RESULTS!$C$37,'Sheet7(F_23)'!C17:C31)+'Sheet7(F_23)'!C16</f>
        <v>358.8491576370552</v>
      </c>
      <c r="D34" s="5">
        <f>NPV(Title_RESULTS!$C$37,'Sheet7(F_23)'!D17:D31)+'Sheet7(F_23)'!D16</f>
        <v>7392.518409269236</v>
      </c>
      <c r="E34" s="5">
        <f>NPV(Title_RESULTS!$C$37,'Sheet7(F_23)'!E17:E31)+'Sheet7(F_23)'!E16</f>
        <v>0</v>
      </c>
      <c r="F34" s="5">
        <f>NPV(Title_RESULTS!$C$37,'Sheet7(F_23)'!F17:F31)+'Sheet7(F_23)'!F16</f>
        <v>7751.367566906292</v>
      </c>
      <c r="G34" s="5">
        <f>NPV(Title_RESULTS!$C$37,'Sheet7(F_23)'!G17:G31)+'Sheet7(F_23)'!G16</f>
        <v>3057.1964861413944</v>
      </c>
      <c r="H34" s="5">
        <f>NPV(Title_RESULTS!$C$37,'Sheet7(F_23)'!H17:H31)+'Sheet7(F_23)'!H16</f>
        <v>1223.9750729691493</v>
      </c>
      <c r="I34" s="5">
        <f>NPV(Title_RESULTS!$C$37,'Sheet7(F_23)'!I17:I31)+'Sheet7(F_23)'!I16</f>
        <v>11800.73032265858</v>
      </c>
      <c r="J34" s="5">
        <f>NPV(Title_RESULTS!$C$37,'Sheet7(F_23)'!J17:J31)+'Sheet7(F_23)'!J16</f>
        <v>0</v>
      </c>
      <c r="K34" s="5">
        <f>NPV(Title_RESULTS!$C$37,'Sheet7(F_23)'!K17:K31)+'Sheet7(F_23)'!K16</f>
        <v>16081.901881769121</v>
      </c>
      <c r="L34" s="5">
        <f>NPV(Title_RESULTS!$C$37,'Sheet7(F_23)'!L17:L31)+'Sheet7(F_23)'!L16</f>
        <v>8330.534314862833</v>
      </c>
      <c r="M34" s="5"/>
    </row>
    <row r="36" spans="1:8" ht="12.75">
      <c r="A36" t="s">
        <v>162</v>
      </c>
      <c r="C36">
        <f>+Title_RESULTS!C37</f>
        <v>0.0708</v>
      </c>
      <c r="D36" t="s">
        <v>163</v>
      </c>
      <c r="H36" s="10">
        <f>+K34/F34</f>
        <v>2.0747180085265513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Pump Equipment Upgrade</v>
      </c>
      <c r="L2" t="s">
        <v>55</v>
      </c>
    </row>
    <row r="3" ht="12.75">
      <c r="L3" s="35">
        <f>+Title_RESULTS!I4</f>
        <v>43599.32391550926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348.71837616260524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1123.07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1471.7883761626051</v>
      </c>
      <c r="G16" s="5">
        <f>IF(A16&gt;=(Title_RESULTS!$H$7+Title_RESULTS!$C$17),0,(+'Sheet6(p_6)'!$H16))</f>
        <v>2577.52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2577.52</v>
      </c>
      <c r="K16" s="23">
        <f>IF(A16&gt;=(Title_RESULTS!$H$7+Title_RESULTS!$C$17),0,(+F16-J16))</f>
        <v>-1105.7316238373949</v>
      </c>
      <c r="L16" s="23">
        <f>IF(A16&gt;=(Title_RESULTS!$H$7+Title_RESULTS!$C$17),0,(+$K16/((1+Title_RESULTS!$C$37)^('Sheet8(F_24)'!$A16-Title_RESULTS!$H$7))))</f>
        <v>-1105.7316238373949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1072.1426193544369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1123.07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2195.212619354437</v>
      </c>
      <c r="G17" s="5">
        <f>IF(A17&gt;=(Title_RESULTS!$H$7+Title_RESULTS!$C$17),0,(+'Sheet6(p_6)'!$H17))</f>
        <v>2636.8029599999995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2636.8029599999995</v>
      </c>
      <c r="K17" s="23">
        <f>IF(A17&gt;=(Title_RESULTS!$H$7+Title_RESULTS!$C$17),0,(+F17-J17))</f>
        <v>-441.5903406455627</v>
      </c>
      <c r="L17" s="23">
        <f>IF(A16&gt;=(Title_RESULTS!$H$7+Title_RESULTS!$C$17),0,(+$K17/((1+Title_RESULTS!$C$37)^('Sheet8(F_24)'!$A17-Title_RESULTS!$H$7))+L16))</f>
        <v>-1518.1245456206996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1824.1240226397713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1123.07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2947.194022639771</v>
      </c>
      <c r="G18" s="5">
        <f>IF(A18&gt;=(Title_RESULTS!$H$7+Title_RESULTS!$C$17),0,(+'Sheet6(p_6)'!$H18))</f>
        <v>2697.4494280799995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2697.4494280799995</v>
      </c>
      <c r="K18" s="23">
        <f>IF(A18&gt;=(Title_RESULTS!$H$7+Title_RESULTS!$C$17),0,(+F18-J18))</f>
        <v>249.74459455977149</v>
      </c>
      <c r="L18" s="23">
        <f>IF(A17&gt;=(Title_RESULTS!$H$7+Title_RESULTS!$C$17),0,(+$K18/((1+Title_RESULTS!$C$37)^('Sheet8(F_24)'!$A18-Title_RESULTS!$H$7))+L17))</f>
        <v>-1300.3137646757316</v>
      </c>
      <c r="M18" s="5"/>
    </row>
    <row r="19" spans="1:13" ht="12.75">
      <c r="A19">
        <f aca="true" t="shared" si="0" ref="A19:A30">+A18+1</f>
        <v>2023</v>
      </c>
      <c r="B19" s="5">
        <f>IF(A19&gt;=(Title_RESULTS!$H$7+Title_RESULTS!$C$17),0,(+'Sheet6(p_6)'!N19-'Sheet6(p_6)'!R19))</f>
        <v>2194.5120452249844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2194.5120452249844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2194.5120452249844</v>
      </c>
      <c r="L19" s="23">
        <f>IF(A18&gt;=(Title_RESULTS!$H$7+Title_RESULTS!$C$17),0,(+$K19/((1+Title_RESULTS!$C$37)^('Sheet8(F_24)'!$A19-Title_RESULTS!$H$7))+L18))</f>
        <v>487.0497208992126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2258.0294145376192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2258.0294145376192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2258.0294145376192</v>
      </c>
      <c r="L20" s="23">
        <f>IF(A19&gt;=(Title_RESULTS!$H$7+Title_RESULTS!$C$17),0,(+$K20/((1+Title_RESULTS!$C$37)^('Sheet8(F_24)'!$A20-Title_RESULTS!$H$7))+L19))</f>
        <v>2204.5473450527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2325.178329808742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2325.178329808742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2325.178329808742</v>
      </c>
      <c r="L21" s="23">
        <f>IF(A20&gt;=(Title_RESULTS!$H$7+Title_RESULTS!$C$17),0,(+$K21/((1+Title_RESULTS!$C$37)^('Sheet8(F_24)'!$A21-Title_RESULTS!$H$7))+L20))</f>
        <v>3856.1837776709262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2383.442293254764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2383.442293254764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2383.442293254764</v>
      </c>
      <c r="L22" s="23">
        <f>IF(A21&gt;=(Title_RESULTS!$H$7+Title_RESULTS!$C$17),0,(+$K22/((1+Title_RESULTS!$C$37)^('Sheet8(F_24)'!$A22-Title_RESULTS!$H$7))+L21))</f>
        <v>5437.266039605619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2458.0747410107992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2458.0747410107992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2458.0747410107992</v>
      </c>
      <c r="L23" s="23">
        <f>IF(A22&gt;=(Title_RESULTS!$H$7+Title_RESULTS!$C$17),0,(+$K23/((1+Title_RESULTS!$C$37)^('Sheet8(F_24)'!$A23-Title_RESULTS!$H$7))+L22))</f>
        <v>6960.043873513981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2575.8547593810276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2575.8547593810276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2575.8547593810276</v>
      </c>
      <c r="L24" s="23">
        <f>IF(A23&gt;=(Title_RESULTS!$H$7+Title_RESULTS!$C$17),0,(+$K24/((1+Title_RESULTS!$C$37)^('Sheet8(F_24)'!$A24-Title_RESULTS!$H$7))+L23))</f>
        <v>8450.277886189282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2650.9394746269877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2650.9394746269877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2650.9394746269877</v>
      </c>
      <c r="L25" s="23">
        <f>IF(A24&gt;=(Title_RESULTS!$H$7+Title_RESULTS!$C$17),0,(+$K25/((1+Title_RESULTS!$C$37)^('Sheet8(F_24)'!$A25-Title_RESULTS!$H$7))+L24))</f>
        <v>9882.546745630443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2778.1604719824936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2778.1604719824936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2778.1604719824936</v>
      </c>
      <c r="L26" s="23">
        <f>IF(A25&gt;=(Title_RESULTS!$H$7+Title_RESULTS!$C$17),0,(+$K26/((1+Title_RESULTS!$C$37)^('Sheet8(F_24)'!$A26-Title_RESULTS!$H$7))+L25))</f>
        <v>11284.306873722935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2839.6977948612903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2839.6977948612903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2839.6977948612903</v>
      </c>
      <c r="L27" s="23">
        <f>IF(A26&gt;=(Title_RESULTS!$H$7+Title_RESULTS!$C$17),0,(+$K27/((1+Title_RESULTS!$C$37)^('Sheet8(F_24)'!$A27-Title_RESULTS!$H$7))+L26))</f>
        <v>12622.380887561527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2955.636919162329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2955.636919162329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2955.636919162329</v>
      </c>
      <c r="L28" s="23">
        <f>IF(A27&gt;=(Title_RESULTS!$H$7+Title_RESULTS!$C$17),0,(+$K28/((1+Title_RESULTS!$C$37)^('Sheet8(F_24)'!$A28-Title_RESULTS!$H$7))+L27))</f>
        <v>13923.001799674854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3001.971540660445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3001.971540660445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3001.971540660445</v>
      </c>
      <c r="L29" s="23">
        <f>IF(A28&gt;=(Title_RESULTS!$H$7+Title_RESULTS!$C$17),0,(+$K29/((1+Title_RESULTS!$C$37)^('Sheet8(F_24)'!$A29-Title_RESULTS!$H$7))+L28))</f>
        <v>15156.668544890566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3119.4649224176146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3119.4649224176146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3119.4649224176146</v>
      </c>
      <c r="L30" s="23">
        <f>IF(A29&gt;=(Title_RESULTS!$H$7+Title_RESULTS!$C$17),0,(+$K30/((1+Title_RESULTS!$C$37)^('Sheet8(F_24)'!$A30-Title_RESULTS!$H$7))+L29))</f>
        <v>16353.858408953818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K32">SUM(B16:B31)</f>
        <v>34785.94772508591</v>
      </c>
      <c r="C32" s="5">
        <f t="shared" si="1"/>
        <v>0</v>
      </c>
      <c r="D32" s="5">
        <f t="shared" si="1"/>
        <v>3369.21</v>
      </c>
      <c r="E32" s="5">
        <f t="shared" si="1"/>
        <v>0</v>
      </c>
      <c r="F32" s="5">
        <f t="shared" si="1"/>
        <v>38155.15772508591</v>
      </c>
      <c r="G32" s="5">
        <f t="shared" si="1"/>
        <v>7911.772388079999</v>
      </c>
      <c r="H32" s="5">
        <f t="shared" si="1"/>
        <v>0</v>
      </c>
      <c r="I32" s="5">
        <f t="shared" si="1"/>
        <v>0</v>
      </c>
      <c r="J32" s="5">
        <f t="shared" si="1"/>
        <v>7911.772388079999</v>
      </c>
      <c r="K32" s="5">
        <f t="shared" si="1"/>
        <v>30243.38533700591</v>
      </c>
      <c r="L32" s="5"/>
      <c r="M32" s="5"/>
    </row>
    <row r="33" ht="12.75">
      <c r="M33" s="5"/>
    </row>
    <row r="34" spans="1:13" ht="12.75">
      <c r="A34" t="s">
        <v>118</v>
      </c>
      <c r="B34" s="5">
        <f>NPV(Title_RESULTS!$C$37,'Sheet8(F_24)'!B17:B31)+'Sheet8(F_24)'!B16</f>
        <v>20595.025186860606</v>
      </c>
      <c r="C34" s="5">
        <f>NPV(Title_RESULTS!$C$37,'Sheet8(F_24)'!C17:C31)+'Sheet8(F_24)'!C16</f>
        <v>0</v>
      </c>
      <c r="D34" s="5">
        <f>NPV(Title_RESULTS!$C$37,'Sheet8(F_24)'!D17:D31)+'Sheet8(F_24)'!D16</f>
        <v>3151.351631362445</v>
      </c>
      <c r="E34" s="5">
        <f>NPV(Title_RESULTS!$C$37,'Sheet8(F_24)'!E17:E31)+'Sheet8(F_24)'!E16</f>
        <v>0</v>
      </c>
      <c r="F34" s="5">
        <f>NPV(Title_RESULTS!$C$37,'Sheet8(F_24)'!F17:F31)+'Sheet8(F_24)'!F16</f>
        <v>23746.376818223052</v>
      </c>
      <c r="G34" s="5">
        <f>NPV(Title_RESULTS!$C$37,'Sheet8(F_24)'!G17:G31)+'Sheet8(F_24)'!G16</f>
        <v>7392.518409269236</v>
      </c>
      <c r="H34" s="5">
        <f>NPV(Title_RESULTS!$C$37,'Sheet8(F_24)'!H17:H31)+'Sheet8(F_24)'!H16</f>
        <v>0</v>
      </c>
      <c r="I34" s="5">
        <f>NPV(Title_RESULTS!$C$37,'Sheet8(F_24)'!I17:I31)+'Sheet8(F_24)'!I16</f>
        <v>0</v>
      </c>
      <c r="J34" s="5">
        <f>NPV(Title_RESULTS!$C$37,'Sheet8(F_24)'!J17:J31)+'Sheet8(F_24)'!J16</f>
        <v>7392.518409269236</v>
      </c>
      <c r="K34" s="5">
        <f>NPV(Title_RESULTS!$C$37,'Sheet8(F_24)'!K17:K31)+'Sheet8(F_24)'!K16</f>
        <v>16353.858408953818</v>
      </c>
      <c r="L34" s="5"/>
      <c r="M34" s="5"/>
    </row>
    <row r="35" spans="2:1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1" ht="12.75">
      <c r="A36" t="s">
        <v>174</v>
      </c>
      <c r="D36">
        <f>+Title_RESULTS!H8</f>
        <v>2023</v>
      </c>
      <c r="F36">
        <f>+F34/J34</f>
        <v>3.2122174749606645</v>
      </c>
      <c r="K36" s="10"/>
    </row>
    <row r="37" spans="1:10" ht="12.75">
      <c r="A37" t="s">
        <v>175</v>
      </c>
      <c r="D37">
        <f>+Title_RESULTS!C37</f>
        <v>0.0708</v>
      </c>
      <c r="J3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Pump Equipment Upgrade</v>
      </c>
      <c r="N2" t="s">
        <v>55</v>
      </c>
    </row>
    <row r="3" ht="12.75">
      <c r="N3" s="35">
        <f>+Title_RESULTS!I4</f>
        <v>43599.32391550926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1123.07</v>
      </c>
      <c r="E16" s="5">
        <f>+'Sheet6(p_6)'!M16</f>
        <v>211.05321</v>
      </c>
      <c r="F16">
        <f>IF(A16&gt;=(Title_RESULTS!$H$7+Title_RESULTS!$C$17),0,(+'f-11B'!$R15))</f>
        <v>0</v>
      </c>
      <c r="G16" s="5">
        <f>IF(A16&gt;=(Title_RESULTS!$H$7+Title_RESULTS!$C$17),0,(SUM(B16:F16)))</f>
        <v>1459.12321</v>
      </c>
      <c r="H16" s="5">
        <f>IF(A16&gt;=(Title_RESULTS!$H$7+Title_RESULTS!$C$17),0,(+'Sheet3(F_21)'!$J16+'Sheet4(F_22)'!$H16))</f>
        <v>173.01753762034411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173.01753762034411</v>
      </c>
      <c r="M16" s="23">
        <f>IF(A16&gt;=(Title_RESULTS!$H$7+Title_RESULTS!$C$17),0,(+L16-G16))</f>
        <v>-1286.105672379656</v>
      </c>
      <c r="N16" s="24">
        <f>IF(A16&gt;=(Title_RESULTS!$H$7+Title_RESULTS!$C$17),0,(+$M16/((1+Title_RESULTS!$C$37)^('Sheet9(F_25)'!$A16-Title_RESULTS!$H$7))))</f>
        <v>-1286.105672379656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1123.07</v>
      </c>
      <c r="E17" s="5">
        <f>+'Sheet6(p_6)'!M17</f>
        <v>639.4912263</v>
      </c>
      <c r="F17">
        <f>IF(A17&gt;=(Title_RESULTS!$H$7+Title_RESULTS!$C$17),0,(+'f-11B'!$R16))</f>
        <v>0</v>
      </c>
      <c r="G17" s="5">
        <f>IF(A17&gt;=(Title_RESULTS!$H$7+Title_RESULTS!$C$17),0,(SUM(B17:F17)))</f>
        <v>1890.5612262999998</v>
      </c>
      <c r="H17" s="5">
        <f>IF(A17&gt;=(Title_RESULTS!$H$7+Title_RESULTS!$C$17),0,(+'Sheet3(F_21)'!$J17+'Sheet4(F_22)'!$H17))</f>
        <v>514.8307151079899</v>
      </c>
      <c r="I17" s="5">
        <f>IF(A17&gt;=(Title_RESULTS!$H$7+Title_RESULTS!$C$17),0,(+'Sheet4(F_22)'!$D17+'Sheet4(F_22)'!$G17))</f>
        <v>123.16385268899572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637.9945677969856</v>
      </c>
      <c r="M17" s="23">
        <f>IF(A17&gt;=(Title_RESULTS!$H$7+Title_RESULTS!$C$17),0,(+L17-G17))</f>
        <v>-1252.5666585030142</v>
      </c>
      <c r="N17" s="24">
        <f>(IF(A16&gt;=(Title_RESULTS!$H$7+Title_RESULTS!$C$17),0,(+$M17/((1+Title_RESULTS!$C$37)^('Sheet9(F_25)'!$A17-Title_RESULTS!$H$7))+N16)))</f>
        <v>-2455.854139416464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1123.07</v>
      </c>
      <c r="E18" s="5">
        <f>+'Sheet6(p_6)'!M18</f>
        <v>1076.476897605</v>
      </c>
      <c r="F18">
        <f>IF(A18&gt;=(Title_RESULTS!$H$7+Title_RESULTS!$C$17),0,(+'f-11B'!$R17))</f>
        <v>0</v>
      </c>
      <c r="G18" s="5">
        <f>IF(A18&gt;=(Title_RESULTS!$H$7+Title_RESULTS!$C$17),0,(SUM(B18:F18)))</f>
        <v>2330.618897605</v>
      </c>
      <c r="H18" s="5">
        <f>IF(A18&gt;=(Title_RESULTS!$H$7+Title_RESULTS!$C$17),0,(+'Sheet3(F_21)'!$J18+'Sheet4(F_22)'!$H18))</f>
        <v>885.566261423553</v>
      </c>
      <c r="I18" s="5">
        <f>IF(A18&gt;=(Title_RESULTS!$H$7+Title_RESULTS!$C$17),0,(+'Sheet4(F_22)'!$D18+'Sheet4(F_22)'!$G18))</f>
        <v>126.11978515353162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1011.6860465770847</v>
      </c>
      <c r="M18" s="23">
        <f>IF(A18&gt;=(Title_RESULTS!$H$7+Title_RESULTS!$C$17),0,(+L18-G18))</f>
        <v>-1318.9328510279151</v>
      </c>
      <c r="N18" s="24">
        <f>(IF(A17&gt;=(Title_RESULTS!$H$7+Title_RESULTS!$C$17),0,(+$M18/((1+Title_RESULTS!$C$37)^('Sheet9(F_25)'!$A18-Title_RESULTS!$H$7))+N17)))</f>
        <v>-3606.1404741527663</v>
      </c>
    </row>
    <row r="19" spans="1:14" ht="12.75">
      <c r="A19">
        <f aca="true" t="shared" si="0" ref="A19:A3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1304.68999989726</v>
      </c>
      <c r="F19">
        <f>IF(A19&gt;=(Title_RESULTS!$H$7+Title_RESULTS!$C$17),0,(+'f-11B'!$R18))</f>
        <v>0</v>
      </c>
      <c r="G19" s="5">
        <f>IF(A19&gt;=(Title_RESULTS!$H$7+Title_RESULTS!$C$17),0,(SUM(B19:F19)))</f>
        <v>1304.68999989726</v>
      </c>
      <c r="H19" s="5">
        <f>IF(A19&gt;=(Title_RESULTS!$H$7+Title_RESULTS!$C$17),0,(+'Sheet3(F_21)'!$J19+'Sheet4(F_22)'!$H19))</f>
        <v>1497.4774518885274</v>
      </c>
      <c r="I19" s="5">
        <f>IF(A19&gt;=(Title_RESULTS!$H$7+Title_RESULTS!$C$17),0,(+'Sheet4(F_22)'!$D19+'Sheet4(F_22)'!$G19))</f>
        <v>129.14665999721637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1626.6241118857438</v>
      </c>
      <c r="M19" s="23">
        <f>IF(A19&gt;=(Title_RESULTS!$H$7+Title_RESULTS!$C$17),0,(+L19-G19))</f>
        <v>321.9341119884839</v>
      </c>
      <c r="N19" s="24">
        <f>(IF(A18&gt;=(Title_RESULTS!$H$7+Title_RESULTS!$C$17),0,(+$M19/((1+Title_RESULTS!$C$37)^('Sheet9(F_25)'!$A19-Title_RESULTS!$H$7))+N18)))</f>
        <v>-3343.9349065044835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1317.7368998962327</v>
      </c>
      <c r="F20">
        <f>IF(A20&gt;=(Title_RESULTS!$H$7+Title_RESULTS!$C$17),0,(+'f-11B'!$R19))</f>
        <v>0</v>
      </c>
      <c r="G20" s="5">
        <f>IF(A20&gt;=(Title_RESULTS!$H$7+Title_RESULTS!$C$17),0,(SUM(B20:F20)))</f>
        <v>1317.7368998962327</v>
      </c>
      <c r="H20" s="5">
        <f>IF(A20&gt;=(Title_RESULTS!$H$7+Title_RESULTS!$C$17),0,(+'Sheet3(F_21)'!$J20+'Sheet4(F_22)'!$H20))</f>
        <v>1551.3811374983134</v>
      </c>
      <c r="I20" s="5">
        <f>IF(A20&gt;=(Title_RESULTS!$H$7+Title_RESULTS!$C$17),0,(+'Sheet4(F_22)'!$D20+'Sheet4(F_22)'!$G20))</f>
        <v>132.24617983714955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1683.627317335463</v>
      </c>
      <c r="M20" s="23">
        <f>IF(A20&gt;=(Title_RESULTS!$H$7+Title_RESULTS!$C$17),0,(+L20-G20))</f>
        <v>365.8904174392303</v>
      </c>
      <c r="N20" s="24">
        <f>(IF(A19&gt;=(Title_RESULTS!$H$7+Title_RESULTS!$C$17),0,(+$M20/((1+Title_RESULTS!$C$37)^('Sheet9(F_25)'!$A20-Title_RESULTS!$H$7))+N19)))</f>
        <v>-3065.6321002582295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1330.9142688951947</v>
      </c>
      <c r="F21">
        <f>IF(A21&gt;=(Title_RESULTS!$H$7+Title_RESULTS!$C$17),0,(+'f-11B'!$R20))</f>
        <v>0</v>
      </c>
      <c r="G21" s="5">
        <f>IF(A21&gt;=(Title_RESULTS!$H$7+Title_RESULTS!$C$17),0,(SUM(B21:F21)))</f>
        <v>1330.9142688951947</v>
      </c>
      <c r="H21" s="5">
        <f>IF(A21&gt;=(Title_RESULTS!$H$7+Title_RESULTS!$C$17),0,(+'Sheet3(F_21)'!$J21+'Sheet4(F_22)'!$H21))</f>
        <v>1647.5280928565257</v>
      </c>
      <c r="I21" s="5">
        <f>IF(A21&gt;=(Title_RESULTS!$H$7+Title_RESULTS!$C$17),0,(+'Sheet4(F_22)'!$D21+'Sheet4(F_22)'!$G21))</f>
        <v>135.42008815324118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1782.9481810097668</v>
      </c>
      <c r="M21" s="23">
        <f>IF(A21&gt;=(Title_RESULTS!$H$7+Title_RESULTS!$C$17),0,(+L21-G21))</f>
        <v>452.0339121145721</v>
      </c>
      <c r="N21" s="24">
        <f>(IF(A20&gt;=(Title_RESULTS!$H$7+Title_RESULTS!$C$17),0,(+$M21/((1+Title_RESULTS!$C$37)^('Sheet9(F_25)'!$A21-Title_RESULTS!$H$7))+N20)))</f>
        <v>-2744.540307660634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1344.223411584147</v>
      </c>
      <c r="F22">
        <f>IF(A22&gt;=(Title_RESULTS!$H$7+Title_RESULTS!$C$17),0,(+'f-11B'!$R21))</f>
        <v>0</v>
      </c>
      <c r="G22" s="5">
        <f>IF(A22&gt;=(Title_RESULTS!$H$7+Title_RESULTS!$C$17),0,(SUM(B22:F22)))</f>
        <v>1344.223411584147</v>
      </c>
      <c r="H22" s="5">
        <f>IF(A22&gt;=(Title_RESULTS!$H$7+Title_RESULTS!$C$17),0,(+'Sheet3(F_21)'!$J22+'Sheet4(F_22)'!$H22))</f>
        <v>1699.9042333011832</v>
      </c>
      <c r="I22" s="5">
        <f>IF(A22&gt;=(Title_RESULTS!$H$7+Title_RESULTS!$C$17),0,(+'Sheet4(F_22)'!$D22+'Sheet4(F_22)'!$G22))</f>
        <v>138.67017026891895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1838.5744035701023</v>
      </c>
      <c r="M22" s="23">
        <f>IF(A22&gt;=(Title_RESULTS!$H$7+Title_RESULTS!$C$17),0,(+L22-G22))</f>
        <v>494.35099198595526</v>
      </c>
      <c r="N22" s="24">
        <f>(IF(A21&gt;=(Title_RESULTS!$H$7+Title_RESULTS!$C$17),0,(+$M22/((1+Title_RESULTS!$C$37)^('Sheet9(F_25)'!$A22-Title_RESULTS!$H$7))+N21)))</f>
        <v>-2416.6072224708646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1357.665645699988</v>
      </c>
      <c r="F23">
        <f>IF(A23&gt;=(Title_RESULTS!$H$7+Title_RESULTS!$C$17),0,(+'f-11B'!$R22))</f>
        <v>0</v>
      </c>
      <c r="G23" s="5">
        <f>IF(A23&gt;=(Title_RESULTS!$H$7+Title_RESULTS!$C$17),0,(SUM(B23:F23)))</f>
        <v>1357.665645699988</v>
      </c>
      <c r="H23" s="5">
        <f>IF(A23&gt;=(Title_RESULTS!$H$7+Title_RESULTS!$C$17),0,(+'Sheet3(F_21)'!$J23+'Sheet4(F_22)'!$H23))</f>
        <v>1790.9915146486446</v>
      </c>
      <c r="I23" s="5">
        <f>IF(A23&gt;=(Title_RESULTS!$H$7+Title_RESULTS!$C$17),0,(+'Sheet4(F_22)'!$D23+'Sheet4(F_22)'!$G23))</f>
        <v>141.99825435537304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1932.9897690040177</v>
      </c>
      <c r="M23" s="23">
        <f>IF(A23&gt;=(Title_RESULTS!$H$7+Title_RESULTS!$C$17),0,(+L23-G23))</f>
        <v>575.3241233040296</v>
      </c>
      <c r="N23" s="24">
        <f>(IF(A22&gt;=(Title_RESULTS!$H$7+Title_RESULTS!$C$17),0,(+$M23/((1+Title_RESULTS!$C$37)^('Sheet9(F_25)'!$A23-Title_RESULTS!$H$7))+N22)))</f>
        <v>-2060.193803601479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1371.2423021569884</v>
      </c>
      <c r="F24">
        <f>IF(A24&gt;=(Title_RESULTS!$H$7+Title_RESULTS!$C$17),0,(+'f-11B'!$R23))</f>
        <v>0</v>
      </c>
      <c r="G24" s="5">
        <f>IF(A24&gt;=(Title_RESULTS!$H$7+Title_RESULTS!$C$17),0,(SUM(B24:F24)))</f>
        <v>1371.2423021569884</v>
      </c>
      <c r="H24" s="5">
        <f>IF(A24&gt;=(Title_RESULTS!$H$7+Title_RESULTS!$C$17),0,(+'Sheet3(F_21)'!$J24+'Sheet4(F_22)'!$H24))</f>
        <v>1944.4319170212614</v>
      </c>
      <c r="I24" s="5">
        <f>IF(A24&gt;=(Title_RESULTS!$H$7+Title_RESULTS!$C$17),0,(+'Sheet4(F_22)'!$D24+'Sheet4(F_22)'!$G24))</f>
        <v>145.40621245990195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2089.8381294811634</v>
      </c>
      <c r="M24" s="23">
        <f>IF(A24&gt;=(Title_RESULTS!$H$7+Title_RESULTS!$C$17),0,(+L24-G24))</f>
        <v>718.5958273241749</v>
      </c>
      <c r="N24" s="24">
        <f>(IF(A23&gt;=(Title_RESULTS!$H$7+Title_RESULTS!$C$17),0,(+$M24/((1+Title_RESULTS!$C$37)^('Sheet9(F_25)'!$A24-Title_RESULTS!$H$7))+N23)))</f>
        <v>-1644.457652584035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1384.9547251785584</v>
      </c>
      <c r="F25">
        <f>IF(A25&gt;=(Title_RESULTS!$H$7+Title_RESULTS!$C$17),0,(+'f-11B'!$R24))</f>
        <v>0</v>
      </c>
      <c r="G25" s="5">
        <f>IF(A25&gt;=(Title_RESULTS!$H$7+Title_RESULTS!$C$17),0,(SUM(B25:F25)))</f>
        <v>1384.9547251785584</v>
      </c>
      <c r="H25" s="5">
        <f>IF(A25&gt;=(Title_RESULTS!$H$7+Title_RESULTS!$C$17),0,(+'Sheet3(F_21)'!$J25+'Sheet4(F_22)'!$H25))</f>
        <v>2063.5530425534007</v>
      </c>
      <c r="I25" s="5">
        <f>IF(A25&gt;=(Title_RESULTS!$H$7+Title_RESULTS!$C$17),0,(+'Sheet4(F_22)'!$D25+'Sheet4(F_22)'!$G25))</f>
        <v>148.89596155893963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2212.4490041123404</v>
      </c>
      <c r="M25" s="23">
        <f>IF(A25&gt;=(Title_RESULTS!$H$7+Title_RESULTS!$C$17),0,(+L25-G25))</f>
        <v>827.494278933782</v>
      </c>
      <c r="N25" s="24">
        <f>(IF(A24&gt;=(Title_RESULTS!$H$7+Title_RESULTS!$C$17),0,(+$M25/((1+Title_RESULTS!$C$37)^('Sheet9(F_25)'!$A25-Title_RESULTS!$H$7))+N24)))</f>
        <v>-1197.373025256079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1398.804272430344</v>
      </c>
      <c r="F26">
        <f>IF(A26&gt;=(Title_RESULTS!$H$7+Title_RESULTS!$C$17),0,(+'f-11B'!$R25))</f>
        <v>0</v>
      </c>
      <c r="G26" s="5">
        <f>IF(A26&gt;=(Title_RESULTS!$H$7+Title_RESULTS!$C$17),0,(SUM(B26:F26)))</f>
        <v>1398.804272430344</v>
      </c>
      <c r="H26" s="5">
        <f>IF(A26&gt;=(Title_RESULTS!$H$7+Title_RESULTS!$C$17),0,(+'Sheet3(F_21)'!$J26+'Sheet4(F_22)'!$H26))</f>
        <v>2258.804494163055</v>
      </c>
      <c r="I26" s="5">
        <f>IF(A26&gt;=(Title_RESULTS!$H$7+Title_RESULTS!$C$17),0,(+'Sheet4(F_22)'!$D26+'Sheet4(F_22)'!$G26))</f>
        <v>152.46946463635416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2411.2739587994092</v>
      </c>
      <c r="M26" s="23">
        <f>IF(A26&gt;=(Title_RESULTS!$H$7+Title_RESULTS!$C$17),0,(+L26-G26))</f>
        <v>1012.4696863690651</v>
      </c>
      <c r="N26" s="24">
        <f>(IF(A25&gt;=(Title_RESULTS!$H$7+Title_RESULTS!$C$17),0,(+$M26/((1+Title_RESULTS!$C$37)^('Sheet9(F_25)'!$A26-Title_RESULTS!$H$7))+N25)))</f>
        <v>-686.5171364161885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1412.7923151546472</v>
      </c>
      <c r="F27">
        <f>IF(A27&gt;=(Title_RESULTS!$H$7+Title_RESULTS!$C$17),0,(+'f-11B'!$R26))</f>
        <v>0</v>
      </c>
      <c r="G27" s="5">
        <f>IF(A27&gt;=(Title_RESULTS!$H$7+Title_RESULTS!$C$17),0,(SUM(B27:F27)))</f>
        <v>1412.7923151546472</v>
      </c>
      <c r="H27" s="5">
        <f>IF(A27&gt;=(Title_RESULTS!$H$7+Title_RESULTS!$C$17),0,(+'Sheet3(F_21)'!$J27+'Sheet4(F_22)'!$H27))</f>
        <v>2268.137288218377</v>
      </c>
      <c r="I27" s="5">
        <f>IF(A27&gt;=(Title_RESULTS!$H$7+Title_RESULTS!$C$17),0,(+'Sheet4(F_22)'!$D27+'Sheet4(F_22)'!$G27))</f>
        <v>156.12873178762666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2424.2660200060036</v>
      </c>
      <c r="M27" s="23">
        <f>IF(A27&gt;=(Title_RESULTS!$H$7+Title_RESULTS!$C$17),0,(+L27-G27))</f>
        <v>1011.4737048513564</v>
      </c>
      <c r="N27" s="24">
        <f>(IF(A26&gt;=(Title_RESULTS!$H$7+Title_RESULTS!$C$17),0,(+$M27/((1+Title_RESULTS!$C$37)^('Sheet9(F_25)'!$A27-Title_RESULTS!$H$7))+N26)))</f>
        <v>-209.90773009421895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1426.9202383061938</v>
      </c>
      <c r="F28">
        <f>IF(A28&gt;=(Title_RESULTS!$H$7+Title_RESULTS!$C$17),0,(+'f-11B'!$R27))</f>
        <v>0</v>
      </c>
      <c r="G28" s="5">
        <f>IF(A28&gt;=(Title_RESULTS!$H$7+Title_RESULTS!$C$17),0,(SUM(B28:F28)))</f>
        <v>1426.9202383061938</v>
      </c>
      <c r="H28" s="5">
        <f>IF(A28&gt;=(Title_RESULTS!$H$7+Title_RESULTS!$C$17),0,(+'Sheet3(F_21)'!$J28+'Sheet4(F_22)'!$H28))</f>
        <v>2444.4053391809616</v>
      </c>
      <c r="I28" s="5">
        <f>IF(A28&gt;=(Title_RESULTS!$H$7+Title_RESULTS!$C$17),0,(+'Sheet4(F_22)'!$D28+'Sheet4(F_22)'!$G28))</f>
        <v>159.8758213505297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2604.2811605314914</v>
      </c>
      <c r="M28" s="23">
        <f>IF(A28&gt;=(Title_RESULTS!$H$7+Title_RESULTS!$C$17),0,(+L28-G28))</f>
        <v>1177.3609222252976</v>
      </c>
      <c r="N28" s="24">
        <f>(IF(A27&gt;=(Title_RESULTS!$H$7+Title_RESULTS!$C$17),0,(+$M28/((1+Title_RESULTS!$C$37)^('Sheet9(F_25)'!$A28-Title_RESULTS!$H$7))+N27)))</f>
        <v>308.1871098447975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1441.1894406892557</v>
      </c>
      <c r="F29">
        <f>IF(A29&gt;=(Title_RESULTS!$H$7+Title_RESULTS!$C$17),0,(+'f-11B'!$R28))</f>
        <v>0</v>
      </c>
      <c r="G29" s="5">
        <f>IF(A29&gt;=(Title_RESULTS!$H$7+Title_RESULTS!$C$17),0,(SUM(B29:F29)))</f>
        <v>1441.1894406892557</v>
      </c>
      <c r="H29" s="5">
        <f>IF(A29&gt;=(Title_RESULTS!$H$7+Title_RESULTS!$C$17),0,(+'Sheet3(F_21)'!$J29+'Sheet4(F_22)'!$H29))</f>
        <v>2591.697024552704</v>
      </c>
      <c r="I29" s="5">
        <f>IF(A29&gt;=(Title_RESULTS!$H$7+Title_RESULTS!$C$17),0,(+'Sheet4(F_22)'!$D29+'Sheet4(F_22)'!$G29))</f>
        <v>163.7128410629424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2755.4098656156466</v>
      </c>
      <c r="M29" s="23">
        <f>IF(A29&gt;=(Title_RESULTS!$H$7+Title_RESULTS!$C$17),0,(+L29-G29))</f>
        <v>1314.220424926391</v>
      </c>
      <c r="N29" s="24">
        <f>(IF(A28&gt;=(Title_RESULTS!$H$7+Title_RESULTS!$C$17),0,(+$M29/((1+Title_RESULTS!$C$37)^('Sheet9(F_25)'!$A29-Title_RESULTS!$H$7))+N28)))</f>
        <v>848.2688568417254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1455.6013350961484</v>
      </c>
      <c r="F30">
        <f>IF(A30&gt;=(Title_RESULTS!$H$7+Title_RESULTS!$C$17),0,(+'f-11B'!$R29))</f>
        <v>0</v>
      </c>
      <c r="G30" s="5">
        <f>IF(A30&gt;=(Title_RESULTS!$H$7+Title_RESULTS!$C$17),0,(SUM(B30:F30)))</f>
        <v>1455.6013350961484</v>
      </c>
      <c r="H30" s="5">
        <f>IF(A30&gt;=(Title_RESULTS!$H$7+Title_RESULTS!$C$17),0,(+'Sheet3(F_21)'!$J30+'Sheet4(F_22)'!$H30))</f>
        <v>2698.546607281397</v>
      </c>
      <c r="I30" s="5">
        <f>IF(A30&gt;=(Title_RESULTS!$H$7+Title_RESULTS!$C$17),0,(+'Sheet4(F_22)'!$D30+'Sheet4(F_22)'!$G30))</f>
        <v>167.64194924845305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2866.18855652985</v>
      </c>
      <c r="M30" s="23">
        <f>IF(A30&gt;=(Title_RESULTS!$H$7+Title_RESULTS!$C$17),0,(+L30-G30))</f>
        <v>1410.5872214337014</v>
      </c>
      <c r="N30" s="24">
        <f>(IF(A29&gt;=(Title_RESULTS!$H$7+Title_RESULTS!$C$17),0,(+$M30/((1+Title_RESULTS!$C$37)^('Sheet9(F_25)'!$A30-Title_RESULTS!$H$7))+N29)))</f>
        <v>1389.6247514830354</v>
      </c>
    </row>
    <row r="31" ht="12.75">
      <c r="E31" s="5"/>
    </row>
    <row r="32" spans="1:13" ht="12.75">
      <c r="A32" t="s">
        <v>87</v>
      </c>
      <c r="B32" s="5">
        <f aca="true" t="shared" si="1" ref="B32:M32">SUM(B16:B31)</f>
        <v>0</v>
      </c>
      <c r="C32" s="5">
        <f t="shared" si="1"/>
        <v>384.072</v>
      </c>
      <c r="D32" s="5">
        <f t="shared" si="1"/>
        <v>3369.21</v>
      </c>
      <c r="E32" s="5">
        <f t="shared" si="1"/>
        <v>18473.75618888996</v>
      </c>
      <c r="F32" s="5">
        <f t="shared" si="1"/>
        <v>0</v>
      </c>
      <c r="G32" s="5">
        <f t="shared" si="1"/>
        <v>22227.038188889957</v>
      </c>
      <c r="H32" s="5">
        <f t="shared" si="1"/>
        <v>26030.272657316236</v>
      </c>
      <c r="I32" s="5">
        <f t="shared" si="1"/>
        <v>2020.8959725591742</v>
      </c>
      <c r="J32" s="5">
        <f t="shared" si="1"/>
        <v>0</v>
      </c>
      <c r="K32" s="9">
        <f t="shared" si="1"/>
        <v>0</v>
      </c>
      <c r="L32" s="5">
        <f t="shared" si="1"/>
        <v>28051.168629875418</v>
      </c>
      <c r="M32" s="5">
        <f t="shared" si="1"/>
        <v>5824.130440985455</v>
      </c>
    </row>
    <row r="34" spans="1:13" ht="12.75">
      <c r="A34" t="s">
        <v>118</v>
      </c>
      <c r="B34" s="5">
        <f>NPV(Title_RESULTS!$C$37,'Sheet9(F_25)'!B17:B31)+'Sheet9(F_25)'!B16</f>
        <v>0</v>
      </c>
      <c r="C34" s="5">
        <f>NPV(Title_RESULTS!$C$37,'Sheet9(F_25)'!C17:C31)+'Sheet9(F_25)'!C16</f>
        <v>358.8491576370552</v>
      </c>
      <c r="D34" s="5">
        <f>NPV(Title_RESULTS!$C$37,'Sheet9(F_25)'!D17:D31)+'Sheet9(F_25)'!D16</f>
        <v>3151.351631362445</v>
      </c>
      <c r="E34" s="5">
        <f>NPV(Title_RESULTS!$C$37,'Sheet9(F_25)'!E17:E31)+'Sheet9(F_25)'!E16</f>
        <v>11182.076341286589</v>
      </c>
      <c r="F34" s="5">
        <f>NPV(Title_RESULTS!$C$37,'Sheet9(F_25)'!F17:F31)+'Sheet9(F_25)'!F16</f>
        <v>0</v>
      </c>
      <c r="G34" s="5">
        <f>NPV(Title_RESULTS!$C$37,'Sheet9(F_25)'!G17:G31)+'Sheet9(F_25)'!G16</f>
        <v>14692.27713028609</v>
      </c>
      <c r="H34" s="5">
        <f>NPV(Title_RESULTS!$C$37,'Sheet9(F_25)'!H17:H31)+'Sheet9(F_25)'!H16</f>
        <v>14857.926808799975</v>
      </c>
      <c r="I34" s="5">
        <f>NPV(Title_RESULTS!$C$37,'Sheet9(F_25)'!I17:I31)+'Sheet9(F_25)'!I16</f>
        <v>1223.9750729691493</v>
      </c>
      <c r="J34" s="5">
        <f>NPV(Title_RESULTS!$C$37,'Sheet9(F_25)'!J17:J31)+'Sheet9(F_25)'!J16</f>
        <v>0</v>
      </c>
      <c r="K34" s="9">
        <f>NPV(Title_RESULTS!$C$37,'Sheet9(F_25)'!K17:K31)+'Sheet9(F_25)'!K16</f>
        <v>0</v>
      </c>
      <c r="L34" s="5">
        <f>NPV(Title_RESULTS!$C$37,'Sheet9(F_25)'!L17:L31)+'Sheet9(F_25)'!L16</f>
        <v>16081.901881769125</v>
      </c>
      <c r="M34" s="5">
        <f>NPV(Title_RESULTS!$C$37,'Sheet9(F_25)'!M17:M31)+'Sheet9(F_25)'!M16</f>
        <v>1389.6247514830352</v>
      </c>
    </row>
    <row r="36" spans="1:10" ht="12.75">
      <c r="A36" t="s">
        <v>175</v>
      </c>
      <c r="D36">
        <f>+Title_RESULTS!C37</f>
        <v>0.0708</v>
      </c>
      <c r="F36" t="s">
        <v>183</v>
      </c>
      <c r="J36" s="10">
        <f>+L34/G34</f>
        <v>1.0945819861115005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3093.265922206506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180.4391424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384.62177280000003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17.831411703369813</v>
      </c>
      <c r="P24" s="48">
        <f aca="true" t="shared" si="4" ref="P24:P61">N24*$L$5</f>
        <v>38.0092095853187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18.259365584250688</v>
      </c>
      <c r="P25" s="48">
        <f t="shared" si="4"/>
        <v>38.92143061536635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425.60450678983324</v>
      </c>
      <c r="E26" s="11">
        <f>IF(B26=Title_RESULTS!$H$8,$F$16,+E25*(1+$F$7))</f>
        <v>0.09882230355451863</v>
      </c>
      <c r="F26" s="9">
        <f t="shared" si="1"/>
        <v>305.6836639391393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24.826741100859554</v>
      </c>
      <c r="L26" s="5">
        <f t="shared" si="3"/>
        <v>52.92036444005636</v>
      </c>
      <c r="N26" s="11">
        <f>IF(+B26=Title_RESULTS!$H$9,'Value of Defferal'!$O$16,+'Value of Defferal'!N25*(1+'Value of Defferal'!$F$7))</f>
        <v>0.10362269577198292</v>
      </c>
      <c r="O26" s="5">
        <f t="shared" si="7"/>
        <v>18.697590358272706</v>
      </c>
      <c r="P26" s="48">
        <f t="shared" si="4"/>
        <v>39.85554495013514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413.03645502436063</v>
      </c>
      <c r="E27" s="11">
        <f>IF(B27=Title_RESULTS!$H$8,$F$16,+E26*(1+$F$7))</f>
        <v>0.10119403883982707</v>
      </c>
      <c r="F27" s="9">
        <f t="shared" si="1"/>
        <v>313.02007187367866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24.09361031313115</v>
      </c>
      <c r="L27" s="5">
        <f t="shared" si="3"/>
        <v>51.3576322106753</v>
      </c>
      <c r="N27" s="11">
        <f>IF(+B27=Title_RESULTS!$H$9,'Value of Defferal'!$O$16,+'Value of Defferal'!N26*(1+'Value of Defferal'!$F$7))</f>
        <v>0.10610964047051051</v>
      </c>
      <c r="O27" s="5">
        <f t="shared" si="7"/>
        <v>19.14633252687125</v>
      </c>
      <c r="P27" s="48">
        <f t="shared" si="4"/>
        <v>40.81207802893838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399.1614175352159</v>
      </c>
      <c r="E28" s="11">
        <f>IF(B28=Title_RESULTS!$H$8,$F$16,+E27*(1+$F$7))</f>
        <v>0.10362269577198292</v>
      </c>
      <c r="F28" s="9">
        <f t="shared" si="1"/>
        <v>320.5325535986469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23.284239270268063</v>
      </c>
      <c r="L28" s="5">
        <f t="shared" si="3"/>
        <v>49.63238722658594</v>
      </c>
      <c r="N28" s="11">
        <f>IF(+B28=Title_RESULTS!$H$9,'Value of Defferal'!$O$16,+'Value of Defferal'!N27*(1+'Value of Defferal'!$F$7))</f>
        <v>0.10865627184180277</v>
      </c>
      <c r="O28" s="5">
        <f t="shared" si="7"/>
        <v>19.60584450751616</v>
      </c>
      <c r="P28" s="48">
        <f t="shared" si="4"/>
        <v>41.7915679016329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385.9509178576848</v>
      </c>
      <c r="E29" s="11">
        <f>IF(B29=Title_RESULTS!$H$8,$F$16,+E28*(1+$F$7))</f>
        <v>0.10610964047051051</v>
      </c>
      <c r="F29" s="9">
        <f t="shared" si="1"/>
        <v>328.2253348850145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22.513632638818528</v>
      </c>
      <c r="L29" s="5">
        <f t="shared" si="3"/>
        <v>47.989771967073615</v>
      </c>
      <c r="N29" s="11">
        <f>IF(+B29=Title_RESULTS!$H$9,'Value of Defferal'!$O$16,+'Value of Defferal'!N28*(1+'Value of Defferal'!$F$7))</f>
        <v>0.11126402236600604</v>
      </c>
      <c r="O29" s="5">
        <f t="shared" si="7"/>
        <v>20.07638477569655</v>
      </c>
      <c r="P29" s="48">
        <f t="shared" si="4"/>
        <v>42.79456553127209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373.3383181281095</v>
      </c>
      <c r="E30" s="11">
        <f>IF(B30=Title_RESULTS!$H$8,$F$16,+E29*(1+$F$7))</f>
        <v>0.10865627184180277</v>
      </c>
      <c r="F30" s="9">
        <f t="shared" si="1"/>
        <v>336.10274292225483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21.777903239577082</v>
      </c>
      <c r="L30" s="5">
        <f t="shared" si="3"/>
        <v>46.42150057056025</v>
      </c>
      <c r="N30" s="11">
        <f>IF(+B30=Title_RESULTS!$H$9,'Value of Defferal'!$O$16,+'Value of Defferal'!N29*(1+'Value of Defferal'!$F$7))</f>
        <v>0.11393435890279018</v>
      </c>
      <c r="O30" s="5">
        <f t="shared" si="7"/>
        <v>20.558218010313265</v>
      </c>
      <c r="P30" s="48">
        <f t="shared" si="4"/>
        <v>43.821635104022626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361.2643437826842</v>
      </c>
      <c r="E31" s="11">
        <f>IF(B31=Title_RESULTS!$H$8,$F$16,+E30*(1+$F$7))</f>
        <v>0.11126402236600604</v>
      </c>
      <c r="F31" s="9">
        <f t="shared" si="1"/>
        <v>344.16920875238895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21.07359341590241</v>
      </c>
      <c r="L31" s="5">
        <f t="shared" si="3"/>
        <v>44.92020274028299</v>
      </c>
      <c r="N31" s="11">
        <f>IF(+B31=Title_RESULTS!$H$9,'Value of Defferal'!$O$16,+'Value of Defferal'!N30*(1+'Value of Defferal'!$F$7))</f>
        <v>0.11666878351645714</v>
      </c>
      <c r="O31" s="5">
        <f t="shared" si="7"/>
        <v>21.051615242560782</v>
      </c>
      <c r="P31" s="48">
        <f t="shared" si="4"/>
        <v>44.873354346519164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349.56626589468686</v>
      </c>
      <c r="E32" s="11">
        <f>IF(B32=Title_RESULTS!$H$8,$F$16,+E31*(1+$F$7))</f>
        <v>0.11393435890279018</v>
      </c>
      <c r="F32" s="9">
        <f t="shared" si="1"/>
        <v>352.42926976244627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20.391210719127034</v>
      </c>
      <c r="L32" s="5">
        <f t="shared" si="3"/>
        <v>43.465644493824655</v>
      </c>
      <c r="N32" s="11">
        <f>IF(+B32=Title_RESULTS!$H$9,'Value of Defferal'!$O$16,+'Value of Defferal'!N31*(1+'Value of Defferal'!$F$7))</f>
        <v>0.11946883432085212</v>
      </c>
      <c r="O32" s="5">
        <f t="shared" si="7"/>
        <v>21.556854008382246</v>
      </c>
      <c r="P32" s="48">
        <f t="shared" si="4"/>
        <v>45.95031485083563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337.9885779592645</v>
      </c>
      <c r="E33" s="11">
        <f>IF(B33=Title_RESULTS!$H$8,$F$16,+E32*(1+$F$7))</f>
        <v>0.11666878351645714</v>
      </c>
      <c r="F33" s="9">
        <f t="shared" si="1"/>
        <v>360.887572236745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19.715850716275337</v>
      </c>
      <c r="L33" s="5">
        <f t="shared" si="3"/>
        <v>42.0260557320958</v>
      </c>
      <c r="N33" s="11">
        <f>IF(+B33=Title_RESULTS!$H$9,'Value of Defferal'!$O$16,+'Value of Defferal'!N32*(1+'Value of Defferal'!$F$7))</f>
        <v>0.12233608634455258</v>
      </c>
      <c r="O33" s="5">
        <f t="shared" si="7"/>
        <v>22.07421850458342</v>
      </c>
      <c r="P33" s="48">
        <f t="shared" si="4"/>
        <v>47.053122407255685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326.41089002384206</v>
      </c>
      <c r="E34" s="11">
        <f>IF(B34=Title_RESULTS!$H$8,$F$16,+E33*(1+$F$7))</f>
        <v>0.11946883432085212</v>
      </c>
      <c r="F34" s="9">
        <f t="shared" si="1"/>
        <v>369.5488739704269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19.040490713423637</v>
      </c>
      <c r="L34" s="5">
        <f t="shared" si="3"/>
        <v>40.586466970366935</v>
      </c>
      <c r="N34" s="11">
        <f>IF(+B34=Title_RESULTS!$H$9,'Value of Defferal'!$O$16,+'Value of Defferal'!N33*(1+'Value of Defferal'!$F$7))</f>
        <v>0.12527215241682185</v>
      </c>
      <c r="O34" s="5">
        <f t="shared" si="7"/>
        <v>22.603999748693422</v>
      </c>
      <c r="P34" s="48">
        <f t="shared" si="4"/>
        <v>48.18239734502983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314.8332020884196</v>
      </c>
      <c r="E35" s="11">
        <f>IF(B35=Title_RESULTS!$H$8,$F$16,+E34*(1+$F$7))</f>
        <v>0.12233608634455258</v>
      </c>
      <c r="F35" s="9">
        <f t="shared" si="1"/>
        <v>378.41804694571715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18.36513071057194</v>
      </c>
      <c r="L35" s="5">
        <f t="shared" si="3"/>
        <v>39.14687820863808</v>
      </c>
      <c r="N35" s="11">
        <f>IF(+B35=Title_RESULTS!$H$9,'Value of Defferal'!$O$16,+'Value of Defferal'!N34*(1+'Value of Defferal'!$F$7))</f>
        <v>0.12827868407482557</v>
      </c>
      <c r="O35" s="5">
        <f t="shared" si="7"/>
        <v>23.146495742662065</v>
      </c>
      <c r="P35" s="48">
        <f t="shared" si="4"/>
        <v>49.33877488131054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303.25551415299725</v>
      </c>
      <c r="E36" s="11">
        <f>IF(B36=Title_RESULTS!$H$8,$F$16,+E35*(1+$F$7))</f>
        <v>0.12527215241682185</v>
      </c>
      <c r="F36" s="9">
        <f t="shared" si="1"/>
        <v>387.5000800724144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17.689770707720243</v>
      </c>
      <c r="L36" s="5">
        <f t="shared" si="3"/>
        <v>37.70728944690922</v>
      </c>
      <c r="N36" s="11">
        <f>IF(+B36=Title_RESULTS!$H$9,'Value of Defferal'!$O$16,+'Value of Defferal'!N35*(1+'Value of Defferal'!$F$7))</f>
        <v>0.1313573724926214</v>
      </c>
      <c r="O36" s="5">
        <f t="shared" si="7"/>
        <v>23.702011640485956</v>
      </c>
      <c r="P36" s="48">
        <f t="shared" si="4"/>
        <v>50.522905478462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291.67782621757476</v>
      </c>
      <c r="E37" s="11">
        <f>IF(B37&gt;Title_RESULTS!$H$8-1+Title_RESULTS!$C$18,0,+E36*(1+$F$7))</f>
        <v>0.12827868407482557</v>
      </c>
      <c r="F37" s="9">
        <f t="shared" si="1"/>
        <v>396.8000819941523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17.014410704868542</v>
      </c>
      <c r="L37" s="5">
        <f t="shared" si="3"/>
        <v>36.26770068518036</v>
      </c>
      <c r="N37" s="11">
        <f>IF(+B37=Title_RESULTS!$H$9,'Value of Defferal'!$O$16,+'Value of Defferal'!N36*(1+'Value of Defferal'!$F$7))</f>
        <v>0.1345099494324443</v>
      </c>
      <c r="O37" s="5">
        <f t="shared" si="7"/>
        <v>24.270859919857617</v>
      </c>
      <c r="P37" s="48">
        <f t="shared" si="4"/>
        <v>51.73545520994508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280.10013828215233</v>
      </c>
      <c r="E38" s="11">
        <f>IF(B38&gt;Title_RESULTS!$H$8-1+Title_RESULTS!$C$18,0,+E37*(1+$F$7))</f>
        <v>0.1313573724926214</v>
      </c>
      <c r="F38" s="9">
        <f t="shared" si="1"/>
        <v>406.323283962012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16.33905070201684</v>
      </c>
      <c r="L38" s="5">
        <f t="shared" si="3"/>
        <v>34.828111923451495</v>
      </c>
      <c r="N38" s="11">
        <f>IF(+B38=Title_RESULTS!$H$9,'Value of Defferal'!$O$16,+'Value of Defferal'!N37*(1+'Value of Defferal'!$F$7))</f>
        <v>0.13773818821882297</v>
      </c>
      <c r="O38" s="5">
        <f t="shared" si="7"/>
        <v>24.853360557934202</v>
      </c>
      <c r="P38" s="48">
        <f t="shared" si="4"/>
        <v>52.97710613498377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268.52245034672984</v>
      </c>
      <c r="E39" s="11">
        <f>IF(B39&gt;Title_RESULTS!$H$8-1+Title_RESULTS!$C$18,0,+E38*(1+$F$7))</f>
        <v>0.1345099494324443</v>
      </c>
      <c r="F39" s="9">
        <f t="shared" si="1"/>
        <v>416.07504277710024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15.663690699165139</v>
      </c>
      <c r="L39" s="5">
        <f t="shared" si="3"/>
        <v>33.388523161722624</v>
      </c>
      <c r="N39" s="11">
        <f>IF(+B39&gt;Title_RESULTS!$H$9+Title_RESULTS!$C$19-1,0,+'Value of Defferal'!N38*(1+'Value of Defferal'!$F$7))</f>
        <v>0.14104390473607473</v>
      </c>
      <c r="O39" s="5">
        <f t="shared" si="7"/>
        <v>25.449841211324625</v>
      </c>
      <c r="P39" s="48">
        <f t="shared" si="4"/>
        <v>54.24855668222338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256.9447624113075</v>
      </c>
      <c r="E40" s="11">
        <f>IF(B40&gt;Title_RESULTS!$H$8-1+Title_RESULTS!$C$18,0,+E39*(1+$F$7))</f>
        <v>0.13773818821882297</v>
      </c>
      <c r="F40" s="9">
        <f t="shared" si="1"/>
        <v>426.0608438037507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14.988330696313446</v>
      </c>
      <c r="L40" s="5">
        <f t="shared" si="3"/>
        <v>31.948934399993778</v>
      </c>
      <c r="N40" s="11">
        <f>IF(+B40&gt;Title_RESULTS!$H$9+Title_RESULTS!$C$19-1,0,+'Value of Defferal'!N39*(1+'Value of Defferal'!$F$7))</f>
        <v>0.14442895844974052</v>
      </c>
      <c r="O40" s="5">
        <f t="shared" si="7"/>
        <v>26.060637400396413</v>
      </c>
      <c r="P40" s="48">
        <f t="shared" si="4"/>
        <v>55.55052204259674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246.45426569898473</v>
      </c>
      <c r="E41" s="11">
        <f>IF(B41&gt;Title_RESULTS!$H$8-1+Title_RESULTS!$C$18,0,+E40*(1+$F$7))</f>
        <v>0.14104390473607473</v>
      </c>
      <c r="F41" s="9">
        <f t="shared" si="1"/>
        <v>436.2863040550407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14.376389700056876</v>
      </c>
      <c r="L41" s="5">
        <f t="shared" si="3"/>
        <v>30.644528783237757</v>
      </c>
      <c r="N41" s="11">
        <f>IF(+B41&gt;Title_RESULTS!$H$9+Title_RESULTS!$C$19-1,0,+'Value of Defferal'!N40*(1+'Value of Defferal'!$F$7))</f>
        <v>0.1478952534525343</v>
      </c>
      <c r="O41" s="5">
        <f t="shared" si="7"/>
        <v>26.68609269800593</v>
      </c>
      <c r="P41" s="48">
        <f t="shared" si="4"/>
        <v>56.883734571619065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238.13778326786877</v>
      </c>
      <c r="E42" s="11">
        <f>IF(B42&gt;Title_RESULTS!$H$8-1+Title_RESULTS!$C$18,0,+E41*(1+$F$7))</f>
        <v>0.14442895844974052</v>
      </c>
      <c r="F42" s="9">
        <f t="shared" si="1"/>
        <v>446.75717535236174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13.891265240862367</v>
      </c>
      <c r="L42" s="5">
        <f t="shared" si="3"/>
        <v>29.610443678186662</v>
      </c>
      <c r="N42" s="11">
        <f>IF(+B42&gt;Title_RESULTS!$H$9+Title_RESULTS!$C$19-1,0,+'Value of Defferal'!N41*(1+'Value of Defferal'!$F$7))</f>
        <v>0.1514447395353951</v>
      </c>
      <c r="O42" s="5">
        <f t="shared" si="7"/>
        <v>27.32655892275807</v>
      </c>
      <c r="P42" s="48">
        <f t="shared" si="4"/>
        <v>58.24894420133792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230.9081238948599</v>
      </c>
      <c r="E43" s="11">
        <f>IF(B43&gt;Title_RESULTS!$H$8-1+Title_RESULTS!$C$18,0,+E42*(1+$F$7))</f>
        <v>0.1478952534525343</v>
      </c>
      <c r="F43" s="9">
        <f t="shared" si="1"/>
        <v>457.4793475608184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13.469538312134786</v>
      </c>
      <c r="L43" s="5">
        <f t="shared" si="3"/>
        <v>28.711495939867653</v>
      </c>
      <c r="N43" s="11">
        <f>IF(+B43&gt;Title_RESULTS!$H$9+Title_RESULTS!$C$19-1,0,+'Value of Defferal'!N42*(1+'Value of Defferal'!$F$7))</f>
        <v>0.1550794132842446</v>
      </c>
      <c r="O43" s="5">
        <f t="shared" si="7"/>
        <v>27.982396336904266</v>
      </c>
      <c r="P43" s="48">
        <f t="shared" si="4"/>
        <v>59.64691886217003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223.67846452185108</v>
      </c>
      <c r="E44" s="11">
        <f>IF(B44&gt;Title_RESULTS!$H$8-1+Title_RESULTS!$C$18,0,+E43*(1+$F$7))</f>
        <v>0.1514447395353951</v>
      </c>
      <c r="F44" s="9">
        <f t="shared" si="1"/>
        <v>468.458851902278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13.047811383407206</v>
      </c>
      <c r="L44" s="5">
        <f t="shared" si="3"/>
        <v>27.812548201548648</v>
      </c>
      <c r="N44" s="11">
        <f>IF(+B44&gt;Title_RESULTS!$H$9+Title_RESULTS!$C$19-1,0,+'Value of Defferal'!N43*(1+'Value of Defferal'!$F$7))</f>
        <v>0.15880131920306648</v>
      </c>
      <c r="O44" s="5">
        <f t="shared" si="7"/>
        <v>28.653973848989967</v>
      </c>
      <c r="P44" s="48">
        <f t="shared" si="4"/>
        <v>61.07844491486212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216.44880514884213</v>
      </c>
      <c r="E45" s="11">
        <f>IF(B45&gt;Title_RESULTS!$H$8-1+Title_RESULTS!$C$18,0,+E44*(1+$F$7))</f>
        <v>0.1550794132842446</v>
      </c>
      <c r="F45" s="9">
        <f t="shared" si="1"/>
        <v>479.7018643479327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12.626084454679619</v>
      </c>
      <c r="L45" s="5">
        <f t="shared" si="3"/>
        <v>26.913600463229628</v>
      </c>
      <c r="N45" s="11">
        <f>IF(+B45&gt;Title_RESULTS!$H$9+Title_RESULTS!$C$19-1,0,+'Value of Defferal'!N44*(1+'Value of Defferal'!$F$7))</f>
        <v>0.16261255086394008</v>
      </c>
      <c r="O45" s="5">
        <f t="shared" si="7"/>
        <v>29.341669221365727</v>
      </c>
      <c r="P45" s="48">
        <f t="shared" si="4"/>
        <v>62.54432759281881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209.21914577583325</v>
      </c>
      <c r="E46" s="11">
        <f>IF(B46&gt;Title_RESULTS!$H$8-1+Title_RESULTS!$C$18,0,+E45*(1+$F$7))</f>
        <v>0.15880131920306648</v>
      </c>
      <c r="F46" s="9">
        <f t="shared" si="1"/>
        <v>491.2147090922831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12.204357525952037</v>
      </c>
      <c r="L46" s="5">
        <f t="shared" si="3"/>
        <v>26.014652724910615</v>
      </c>
      <c r="N46" s="11">
        <f>IF(+B46&gt;Title_RESULTS!$H$9+Title_RESULTS!$C$19-1,0,+'Value of Defferal'!N45*(1+'Value of Defferal'!$F$7))</f>
        <v>0.16651525208467466</v>
      </c>
      <c r="O46" s="5">
        <f t="shared" si="7"/>
        <v>30.04586928267851</v>
      </c>
      <c r="P46" s="48">
        <f t="shared" si="4"/>
        <v>64.04539145504647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201.98948640282444</v>
      </c>
      <c r="E47" s="11">
        <f>IF(B47&gt;Title_RESULTS!$H$8-1+Title_RESULTS!$C$18,0,+E46*(1+$F$7))</f>
        <v>0.16261255086394008</v>
      </c>
      <c r="F47" s="9">
        <f t="shared" si="1"/>
        <v>503.00386211049795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11.782630597224458</v>
      </c>
      <c r="L47" s="5">
        <f t="shared" si="3"/>
        <v>25.115704986591613</v>
      </c>
      <c r="N47" s="11">
        <f>IF(+B47&gt;Title_RESULTS!$H$9+Title_RESULTS!$C$19-1,0,+'Value of Defferal'!N46*(1+'Value of Defferal'!$F$7))</f>
        <v>0.17051161813470686</v>
      </c>
      <c r="O47" s="5">
        <f t="shared" si="7"/>
        <v>30.766970145462796</v>
      </c>
      <c r="P47" s="48">
        <f t="shared" si="4"/>
        <v>65.58248084996758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194.75982702981557</v>
      </c>
      <c r="E48" s="11">
        <f>IF(B48&gt;Title_RESULTS!$H$8-1+Title_RESULTS!$C$18,0,+E47*(1+$F$7))</f>
        <v>0.16651525208467466</v>
      </c>
      <c r="F48" s="9">
        <f t="shared" si="1"/>
        <v>515.0759548011499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11.360903668496876</v>
      </c>
      <c r="L48" s="5">
        <f t="shared" si="3"/>
        <v>24.2167572482726</v>
      </c>
      <c r="N48" s="11">
        <f>IF(+B48&gt;Title_RESULTS!$H$9+Title_RESULTS!$C$19-1,0,+'Value of Defferal'!N47*(1+'Value of Defferal'!$F$7))</f>
        <v>0.17460389696993983</v>
      </c>
      <c r="O48" s="5">
        <f t="shared" si="7"/>
        <v>31.505377428953903</v>
      </c>
      <c r="P48" s="48">
        <f t="shared" si="4"/>
        <v>67.15646039036682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187.53016765680664</v>
      </c>
      <c r="E49" s="11">
        <f>IF(B49&gt;Title_RESULTS!$H$8-1+Title_RESULTS!$C$18,0,+E48*(1+$F$7))</f>
        <v>0.17051161813470686</v>
      </c>
      <c r="F49" s="9">
        <f t="shared" si="1"/>
        <v>527.4377777163776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10.939176739769291</v>
      </c>
      <c r="L49" s="5">
        <f t="shared" si="3"/>
        <v>23.317809509953584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180.3005082837978</v>
      </c>
      <c r="E50" s="11">
        <f>IF(B50&gt;Title_RESULTS!$H$8-1+Title_RESULTS!$C$18,0,+E49*(1+$F$7))</f>
        <v>0.17460389696993983</v>
      </c>
      <c r="F50" s="9">
        <f t="shared" si="1"/>
        <v>540.0962843815706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10.517449811041708</v>
      </c>
      <c r="L50" s="5">
        <f t="shared" si="3"/>
        <v>22.418861771634575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173.07084891078895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10.095722882314128</v>
      </c>
      <c r="L51" s="5">
        <f t="shared" si="3"/>
        <v>21.519914033315565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7390.153013087139</v>
      </c>
      <c r="F63" s="9">
        <f>SUM(F23:F61)</f>
        <v>10307.288802816198</v>
      </c>
      <c r="J63" t="s">
        <v>87</v>
      </c>
      <c r="K63" s="9">
        <f>SUM(K23:K61)</f>
        <v>431.08898666397823</v>
      </c>
      <c r="O63" s="9">
        <f>SUM(O23:O61)</f>
        <v>601.2539493282904</v>
      </c>
    </row>
    <row r="64" spans="3:15" ht="12.75">
      <c r="C64" t="s">
        <v>89</v>
      </c>
      <c r="D64" s="9">
        <f>NPV(+Title_RESULTS!$C$37,'Value of Defferal'!D24:D61)+'Value of Defferal'!D23</f>
        <v>3299.748015225432</v>
      </c>
      <c r="F64" s="9">
        <f>NPV(+Title_RESULTS!$C$37,'Value of Defferal'!F24:F61)+'Value of Defferal'!F23</f>
        <v>3832.7194867890134</v>
      </c>
      <c r="J64" t="s">
        <v>89</v>
      </c>
      <c r="K64" s="9">
        <f>NPV(+Title_RESULTS!$C$37,'Value of Defferal'!K24:K61)+'Value of Defferal'!K23</f>
        <v>192.48383972712645</v>
      </c>
      <c r="O64" s="9">
        <f>NPV(+Title_RESULTS!$C$37,'Value of Defferal'!O24:O61)+'Value of Defferal'!O23</f>
        <v>256.3523228736647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1.6882930086813583</v>
      </c>
      <c r="C25" t="s">
        <v>372</v>
      </c>
    </row>
    <row r="26" spans="2:3" ht="18">
      <c r="B26" s="15">
        <f>+((Input!$C$6*'EUE_Line Losses'!C4)+(Input!$C$7*'EUE_Line Losses'!C3))/'EUE_Line Losses'!C22</f>
        <v>1.6828469022017412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1.48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1.52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11309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2577.52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1123.07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Pump Equipment Upgrade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43599.32391550926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1.52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1.6828469022017412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11929.324894514768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11309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2577.52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1123.07</v>
      </c>
      <c r="D39" s="13" t="s">
        <v>189</v>
      </c>
      <c r="G39" s="20" t="s">
        <v>346</v>
      </c>
      <c r="H39" s="79">
        <f>+'Sheet7(F_23)'!H36</f>
        <v>2.0747180085265513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+'Sheet8(F_24)'!K34</f>
        <v>16353.858408953818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+'Sheet9(F_25)'!J36</f>
        <v>1.0945819861115005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2019-05-14T11:46:27Z</dcterms:created>
  <dcterms:modified xsi:type="dcterms:W3CDTF">2019-05-14T11:46:29Z</dcterms:modified>
  <cp:category/>
  <cp:version/>
  <cp:contentType/>
  <cp:contentStatus/>
</cp:coreProperties>
</file>