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6" activeTab="7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<sst xmlns="http://schemas.openxmlformats.org/spreadsheetml/2006/main" count="1258" uniqueCount="468">
  <si>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</si>
  <si>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</si>
  <si>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</si>
  <si>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</si>
  <si>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</si>
  <si>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</si>
  <si>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</si>
  <si>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</si>
  <si>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</si>
  <si>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</si>
  <si>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</si>
  <si>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</si>
  <si>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</si>
  <si>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</si>
  <si>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</si>
  <si>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</si>
  <si>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</si>
  <si>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</si>
  <si>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</si>
  <si>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</si>
  <si>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</si>
  <si>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</si>
  <si>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</si>
  <si>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</si>
  <si>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</si>
  <si>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</si>
  <si>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</si>
  <si>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</si>
  <si>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</si>
  <si>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</si>
  <si>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</si>
  <si>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</si>
  <si>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</si>
  <si>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</si>
  <si>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</si>
  <si>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</si>
  <si>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</si>
  <si>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</si>
  <si>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</si>
  <si>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</si>
  <si>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</si>
  <si>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</si>
  <si>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</si>
  <si>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</si>
  <si>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</si>
  <si>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</si>
  <si>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</si>
  <si>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</si>
  <si>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</si>
  <si>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</si>
  <si>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</si>
  <si>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</si>
  <si>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</si>
  <si>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</si>
  <si>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</si>
  <si>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</si>
  <si>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</si>
  <si>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</si>
  <si>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</si>
  <si>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</si>
  <si>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</si>
  <si>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</si>
  <si>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</si>
  <si>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</si>
  <si>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</si>
  <si>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</si>
  <si>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</si>
  <si>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</si>
  <si>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</si>
  <si>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</si>
  <si>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</si>
  <si>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</si>
  <si>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</si>
  <si>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</si>
  <si>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</si>
  <si>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</si>
  <si>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</si>
  <si>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</si>
  <si>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</si>
  <si>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</si>
  <si>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</si>
  <si>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</si>
  <si>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</si>
  <si>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</si>
  <si>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</si>
  <si>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</si>
  <si>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</si>
  <si>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</si>
  <si>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</si>
  <si>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</si>
  <si>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</si>
  <si>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</si>
  <si>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</si>
  <si>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</si>
  <si>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</si>
  <si>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</si>
  <si>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</si>
  <si>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</si>
  <si>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</si>
  <si>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</si>
  <si>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</si>
  <si>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</si>
  <si>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</si>
  <si>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</si>
  <si>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</si>
  <si>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</si>
  <si>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</si>
  <si>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</si>
  <si>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</si>
  <si>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</si>
  <si>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</si>
  <si>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</si>
  <si>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</si>
  <si>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</si>
  <si>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</si>
  <si>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</si>
  <si>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</si>
  <si>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</si>
  <si>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</si>
  <si>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</si>
  <si>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</si>
  <si>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</si>
  <si>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</si>
  <si>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</si>
  <si>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</si>
  <si>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</si>
  <si>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</si>
  <si>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</si>
  <si>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</si>
  <si>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</si>
  <si>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</si>
  <si>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</si>
  <si>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</si>
  <si>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</si>
  <si>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</si>
  <si>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</si>
  <si>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</si>
  <si>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</si>
  <si>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</si>
  <si>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</si>
  <si>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</si>
  <si>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</si>
  <si>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</si>
  <si>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</si>
  <si>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</si>
  <si>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</si>
  <si>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</si>
  <si>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</si>
  <si>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</si>
  <si>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</si>
  <si>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</si>
  <si>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</si>
  <si>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</si>
  <si>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</si>
  <si>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</si>
  <si>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</si>
  <si>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</si>
  <si>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</si>
  <si>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</si>
  <si>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</si>
  <si>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</si>
  <si>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</si>
  <si>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</si>
  <si>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</si>
  <si>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</si>
  <si>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</si>
  <si>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</si>
  <si>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</si>
  <si>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</si>
  <si>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</si>
  <si>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</si>
  <si>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</si>
  <si>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</si>
  <si>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</si>
  <si>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</si>
  <si>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</si>
  <si>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</si>
  <si>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</si>
  <si>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</si>
  <si>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</si>
  <si>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</si>
  <si>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</si>
  <si>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</si>
  <si>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</si>
  <si>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</si>
  <si>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</si>
  <si>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</si>
  <si>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</si>
  <si>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</si>
  <si>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</si>
  <si>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</si>
  <si>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</si>
  <si>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</si>
  <si>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</si>
  <si>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</si>
  <si>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</si>
  <si>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</si>
  <si>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</si>
  <si>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</si>
  <si>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</si>
  <si>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</si>
  <si>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</si>
  <si>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</si>
  <si>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</si>
  <si>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</si>
  <si>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</si>
  <si>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</si>
  <si>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</si>
  <si>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</si>
  <si>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</si>
  <si>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</si>
  <si>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</si>
  <si>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</si>
  <si>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</si>
  <si>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</si>
  <si>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</si>
  <si>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</si>
  <si>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</si>
  <si>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</si>
  <si>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</si>
  <si>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</si>
  <si>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</si>
  <si>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</si>
  <si>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</si>
  <si>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</si>
  <si>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</si>
  <si>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</si>
  <si>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</si>
  <si>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</si>
  <si>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</si>
  <si>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</si>
  <si>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</si>
  <si>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</si>
  <si>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</si>
  <si>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</si>
  <si>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</si>
  <si>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</si>
  <si>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</si>
  <si>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</si>
  <si>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</si>
  <si>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</si>
  <si>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</si>
  <si>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</si>
  <si>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</si>
  <si>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</si>
  <si>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</si>
  <si>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</si>
  <si>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</si>
  <si>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</si>
  <si>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</si>
  <si>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</si>
  <si>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</si>
  <si>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</si>
  <si>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</si>
  <si>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</si>
  <si>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</si>
  <si>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</si>
  <si>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</si>
  <si>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</si>
  <si>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</si>
  <si>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</si>
  <si>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</si>
  <si>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</si>
  <si>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</si>
  <si>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</si>
  <si>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</si>
  <si>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</si>
  <si>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</si>
  <si>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</si>
  <si>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</si>
  <si>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</si>
  <si>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</si>
  <si>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</si>
  <si>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</si>
  <si>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</si>
  <si>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</si>
  <si>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</si>
  <si>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</si>
  <si>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</si>
  <si>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</si>
  <si>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</si>
  <si>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</si>
  <si>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</si>
  <si>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</si>
  <si>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</si>
  <si>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</si>
  <si>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</si>
  <si>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</si>
  <si>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</si>
  <si>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</si>
  <si>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</si>
  <si>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</si>
  <si>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</si>
  <si>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</si>
  <si>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</si>
  <si>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</si>
  <si>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</si>
  <si>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</si>
  <si>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</si>
  <si>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</si>
  <si>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</si>
  <si>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</si>
  <si>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</si>
  <si>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</si>
  <si>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</si>
  <si>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</si>
  <si>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</si>
  <si>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</si>
  <si>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</si>
  <si>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</si>
  <si>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</si>
  <si>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</si>
  <si>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</si>
  <si>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</si>
  <si>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</si>
  <si>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</si>
  <si>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</si>
  <si>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</si>
  <si>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</si>
  <si>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</si>
  <si>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</si>
  <si>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</si>
  <si>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</si>
  <si>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</si>
  <si>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</si>
  <si>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</si>
  <si>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</si>
  <si>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</si>
  <si>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</si>
  <si>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</si>
  <si>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</si>
  <si>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</si>
  <si>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</si>
  <si>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</si>
  <si>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</si>
  <si>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</si>
  <si>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</si>
  <si>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</si>
  <si>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</si>
  <si>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</si>
  <si>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</si>
  <si>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</si>
  <si>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</si>
  <si>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</si>
  <si>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</si>
  <si>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</si>
  <si>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</si>
  <si>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</si>
  <si>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</si>
  <si>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</si>
  <si>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</si>
  <si>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</si>
  <si>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</si>
  <si>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</si>
  <si>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</si>
  <si>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</si>
  <si>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</si>
  <si>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</si>
  <si>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</si>
  <si>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</si>
  <si>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</si>
  <si>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</si>
  <si>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</si>
  <si>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</si>
  <si>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</si>
  <si>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</si>
  <si>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</si>
  <si>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</si>
  <si>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</si>
  <si>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</si>
  <si>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</si>
  <si>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</si>
  <si>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</si>
  <si>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</si>
  <si>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</si>
  <si>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</si>
  <si>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</si>
  <si>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</si>
  <si>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</si>
  <si>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</si>
  <si>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</si>
  <si>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</si>
  <si>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</si>
  <si>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</si>
  <si>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</si>
  <si>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</si>
  <si>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</si>
  <si>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</si>
  <si>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</si>
  <si>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</si>
  <si>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</si>
  <si>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</si>
  <si>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</si>
  <si>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</si>
  <si>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</si>
  <si>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</si>
  <si>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</si>
  <si>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</si>
  <si>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</si>
  <si>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</si>
  <si>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</si>
  <si>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</si>
  <si>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</si>
  <si>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</si>
  <si>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</si>
  <si>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</si>
  <si>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</si>
  <si>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</si>
  <si>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</si>
  <si>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</si>
  <si>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</si>
  <si>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</si>
  <si>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</si>
  <si>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</si>
  <si>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</si>
  <si>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</si>
  <si>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</si>
  <si>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</si>
  <si>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</si>
  <si>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</si>
  <si>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</si>
  <si>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</si>
  <si>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</si>
  <si>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</si>
  <si>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</si>
  <si>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</si>
  <si>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</si>
  <si>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</si>
  <si>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</si>
  <si>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</si>
  <si>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</si>
  <si>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</si>
  <si>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</si>
  <si>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</si>
  <si>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</si>
  <si>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</si>
  <si>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</si>
  <si>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</si>
  <si>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</si>
  <si>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</si>
  <si>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</si>
  <si>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</si>
  <si>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</si>
  <si>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</si>
  <si>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</si>
  <si>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</si>
  <si>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</si>
  <si>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</si>
  <si>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</si>
  <si>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</si>
  <si>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</si>
  <si>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</si>
  <si>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</si>
  <si>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</si>
  <si>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</si>
  <si>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</si>
  <si>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</si>
  <si>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</si>
  <si>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</si>
  <si>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</si>
  <si>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</si>
  <si>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</si>
  <si>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</si>
  <si>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</si>
  <si>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</si>
  <si>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</si>
  <si>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</si>
  <si>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HVAC Equipment Upgrades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</si>
</sst>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43599.324668402776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13423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43599.324668402776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HVAC Equipment Upgrades</v>
      </c>
      <c r="J2" t="s">
        <v>55</v>
      </c>
    </row>
    <row r="3" ht="12.75">
      <c r="J3" s="35">
        <f>+Title_RESULTS!I4</f>
        <v>43599.324668402776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13423</v>
      </c>
      <c r="H5" t="s">
        <v>59</v>
      </c>
    </row>
    <row r="6" spans="3:7" ht="12.75">
      <c r="C6" t="s">
        <v>61</v>
      </c>
      <c r="G6" s="36">
        <f>+'Value of Defferal'!E3</f>
        <v>8223.590507779347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812.6741574678285</v>
      </c>
      <c r="D19" s="5">
        <f>IF((Title_RESULTS!$H$8-Title_RESULTS!$H$7)&lt;=('Sheet3(F_21)'!A19-Title_RESULTS!$H$7),((Title_RESULTS!$C$8*Partcipation!$C$26*8760*Title_RESULTS!$H$21/100000)),0)</f>
        <v>10700.114754558208</v>
      </c>
      <c r="E19" s="5">
        <f>IF($G19=0,0,((Title_RESULTS!$H$14*((1+Title_RESULTS!$H$15/100)^($A19-Title_RESULTS!$H$7))*'EUE_Line Losses'!$B$25*Partcipation!$C$26))/1000)</f>
        <v>84.29747689158408</v>
      </c>
      <c r="F19" s="5">
        <f>IF($G19=0,0,(Title_RESULTS!$H$19/100*((1+Title_RESULTS!$H$20/100)^($A19-Title_RESULTS!$H$7))*$D19*1000)/1000)</f>
        <v>24.12723754049415</v>
      </c>
      <c r="G19" s="5">
        <f>(+Title_RESULTS!$H$22/100*((1+Title_RESULTS!$H$23/100)^(+'Sheet4(F_22)'!A19-Title_RESULTS!$H$7)))*'Sheet3(F_21)'!D19</f>
        <v>458.4238354033014</v>
      </c>
      <c r="H19" s="5">
        <f>IF($G19=0,0,(($D19))*(Partcipation!$G19/100))</f>
        <v>339.4747915726149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1040.047915730593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832.1783372470564</v>
      </c>
      <c r="D20" s="5">
        <f>IF((Title_RESULTS!$H$8-Title_RESULTS!$H$7)&lt;=('Sheet3(F_21)'!A20-Title_RESULTS!$H$7),((Title_RESULTS!$C$8*Partcipation!$C$26*8760*Title_RESULTS!$H$21/100000)),0)</f>
        <v>10700.114754558208</v>
      </c>
      <c r="E20" s="5">
        <f>IF($G20=0,0,((Title_RESULTS!$H$14*((1+Title_RESULTS!$H$15/100)^($A20-Title_RESULTS!$H$7))*'EUE_Line Losses'!$B$25*Partcipation!$C$26))/1000)</f>
        <v>86.32061633698208</v>
      </c>
      <c r="F20" s="5">
        <f>IF($G20=0,0,(Title_RESULTS!$H$19/100*((1+Title_RESULTS!$H$20/100)^($A20-Title_RESULTS!$H$7))*$D20*1000)/1000)</f>
        <v>24.70629124146601</v>
      </c>
      <c r="G20" s="5">
        <f>(+Title_RESULTS!$H$22/100*((1+Title_RESULTS!$H$23/100)^(+'Sheet4(F_22)'!A20-Title_RESULTS!$H$7)))*'Sheet3(F_21)'!D20</f>
        <v>479.2362775306113</v>
      </c>
      <c r="H20" s="5">
        <f>IF($G20=0,0,(($D20))*(Partcipation!$G20/100))</f>
        <v>354.660993614334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1067.7805287417818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852.1506173409858</v>
      </c>
      <c r="D21" s="5">
        <f>IF((Title_RESULTS!$H$8-Title_RESULTS!$H$7)&lt;=('Sheet3(F_21)'!A21-Title_RESULTS!$H$7),((Title_RESULTS!$C$8*Partcipation!$C$26*8760*Title_RESULTS!$H$21/100000)),0)</f>
        <v>10700.114754558208</v>
      </c>
      <c r="E21" s="5">
        <f>IF($G21=0,0,((Title_RESULTS!$H$14*((1+Title_RESULTS!$H$15/100)^($A21-Title_RESULTS!$H$7))*'EUE_Line Losses'!$B$25*Partcipation!$C$26))/1000)</f>
        <v>88.39231112906967</v>
      </c>
      <c r="F21" s="5">
        <f>IF($G21=0,0,(Title_RESULTS!$H$19/100*((1+Title_RESULTS!$H$20/100)^($A21-Title_RESULTS!$H$7))*$D21*1000)/1000)</f>
        <v>25.299242231261193</v>
      </c>
      <c r="G21" s="5">
        <f>(+Title_RESULTS!$H$22/100*((1+Title_RESULTS!$H$23/100)^(+'Sheet4(F_22)'!A21-Title_RESULTS!$H$7)))*'Sheet3(F_21)'!D21</f>
        <v>500.9936045305011</v>
      </c>
      <c r="H21" s="5">
        <f>IF($G21=0,0,(($D21))*(Partcipation!$G21/100))</f>
        <v>368.7156105912274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1098.1201646405902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872.6022321571695</v>
      </c>
      <c r="D22" s="5">
        <f>IF((Title_RESULTS!$H$8-Title_RESULTS!$H$7)&lt;=('Sheet3(F_21)'!A22-Title_RESULTS!$H$7),((Title_RESULTS!$C$8*Partcipation!$C$26*8760*Title_RESULTS!$H$21/100000)),0)</f>
        <v>10700.114754558208</v>
      </c>
      <c r="E22" s="5">
        <f>IF($G22=0,0,((Title_RESULTS!$H$14*((1+Title_RESULTS!$H$15/100)^($A22-Title_RESULTS!$H$7))*'EUE_Line Losses'!$B$25*Partcipation!$C$26))/1000)</f>
        <v>90.51372659616733</v>
      </c>
      <c r="F22" s="5">
        <f>IF($G22=0,0,(Title_RESULTS!$H$19/100*((1+Title_RESULTS!$H$20/100)^($A22-Title_RESULTS!$H$7))*$D22*1000)/1000)</f>
        <v>25.90642404481146</v>
      </c>
      <c r="G22" s="5">
        <f>(+Title_RESULTS!$H$22/100*((1+Title_RESULTS!$H$23/100)^(+'Sheet4(F_22)'!A22-Title_RESULTS!$H$7)))*'Sheet3(F_21)'!D22</f>
        <v>523.7387141761859</v>
      </c>
      <c r="H22" s="5">
        <f>IF($G22=0,0,(($D22))*(Partcipation!$G22/100))</f>
        <v>380.6621281658575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1132.098968808477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893.5446857289415</v>
      </c>
      <c r="D23" s="5">
        <f>IF((Title_RESULTS!$H$8-Title_RESULTS!$H$7)&lt;=('Sheet3(F_21)'!A23-Title_RESULTS!$H$7),((Title_RESULTS!$C$8*Partcipation!$C$26*8760*Title_RESULTS!$H$21/100000)),0)</f>
        <v>10700.114754558208</v>
      </c>
      <c r="E23" s="5">
        <f>IF($G23=0,0,((Title_RESULTS!$H$14*((1+Title_RESULTS!$H$15/100)^($A23-Title_RESULTS!$H$7))*'EUE_Line Losses'!$B$25*Partcipation!$C$26))/1000)</f>
        <v>92.68605603447536</v>
      </c>
      <c r="F23" s="5">
        <f>IF($G23=0,0,(Title_RESULTS!$H$19/100*((1+Title_RESULTS!$H$20/100)^($A23-Title_RESULTS!$H$7))*$D23*1000)/1000)</f>
        <v>26.528178221886936</v>
      </c>
      <c r="G23" s="5">
        <f>(+Title_RESULTS!$H$22/100*((1+Title_RESULTS!$H$23/100)^(+'Sheet4(F_22)'!A23-Title_RESULTS!$H$7)))*'Sheet3(F_21)'!D23</f>
        <v>547.5164517997848</v>
      </c>
      <c r="H23" s="5">
        <f>IF($G23=0,0,(($D23))*(Partcipation!$G23/100))</f>
        <v>397.70043898729307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1162.5749327977956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914.9897581864361</v>
      </c>
      <c r="D24" s="5">
        <f>IF((Title_RESULTS!$H$8-Title_RESULTS!$H$7)&lt;=('Sheet3(F_21)'!A24-Title_RESULTS!$H$7),((Title_RESULTS!$C$8*Partcipation!$C$26*8760*Title_RESULTS!$H$21/100000)),0)</f>
        <v>10700.114754558208</v>
      </c>
      <c r="E24" s="5">
        <f>IF($G24=0,0,((Title_RESULTS!$H$14*((1+Title_RESULTS!$H$15/100)^($A24-Title_RESULTS!$H$7))*'EUE_Line Losses'!$B$25*Partcipation!$C$26))/1000)</f>
        <v>94.91052137930275</v>
      </c>
      <c r="F24" s="5">
        <f>IF($G24=0,0,(Title_RESULTS!$H$19/100*((1+Title_RESULTS!$H$20/100)^($A24-Title_RESULTS!$H$7))*$D24*1000)/1000)</f>
        <v>27.164854499212222</v>
      </c>
      <c r="G24" s="5">
        <f>(+Title_RESULTS!$H$22/100*((1+Title_RESULTS!$H$23/100)^(+'Sheet4(F_22)'!A24-Title_RESULTS!$H$7)))*'Sheet3(F_21)'!D24</f>
        <v>572.3736987114951</v>
      </c>
      <c r="H24" s="5">
        <f>IF($G24=0,0,(($D24))*(Partcipation!$G24/100))</f>
        <v>428.0308204092856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1181.4080123671606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936.9495123829106</v>
      </c>
      <c r="D25" s="5">
        <f>IF((Title_RESULTS!$H$8-Title_RESULTS!$H$7)&lt;=('Sheet3(F_21)'!A25-Title_RESULTS!$H$7),((Title_RESULTS!$C$8*Partcipation!$C$26*8760*Title_RESULTS!$H$21/100000)),0)</f>
        <v>10700.114754558208</v>
      </c>
      <c r="E25" s="5">
        <f>IF($G25=0,0,((Title_RESULTS!$H$14*((1+Title_RESULTS!$H$15/100)^($A25-Title_RESULTS!$H$7))*'EUE_Line Losses'!$B$25*Partcipation!$C$26))/1000)</f>
        <v>97.18837389240602</v>
      </c>
      <c r="F25" s="5">
        <f>IF($G25=0,0,(Title_RESULTS!$H$19/100*((1+Title_RESULTS!$H$20/100)^($A25-Title_RESULTS!$H$7))*$D25*1000)/1000)</f>
        <v>27.81681100719331</v>
      </c>
      <c r="G25" s="5">
        <f>(+Title_RESULTS!$H$22/100*((1+Title_RESULTS!$H$23/100)^(+'Sheet4(F_22)'!A25-Title_RESULTS!$H$7)))*'Sheet3(F_21)'!D25</f>
        <v>598.3594646329971</v>
      </c>
      <c r="H25" s="5">
        <f>IF($G25=0,0,(($D25))*(Partcipation!$G25/100))</f>
        <v>446.8152327016274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1213.4989292138796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959.4363006801004</v>
      </c>
      <c r="D26" s="5">
        <f>IF((Title_RESULTS!$H$8-Title_RESULTS!$H$7)&lt;=('Sheet3(F_21)'!A26-Title_RESULTS!$H$7),((Title_RESULTS!$C$8*Partcipation!$C$26*8760*Title_RESULTS!$H$21/100000)),0)</f>
        <v>10700.114754558208</v>
      </c>
      <c r="E26" s="5">
        <f>IF($G26=0,0,((Title_RESULTS!$H$14*((1+Title_RESULTS!$H$15/100)^($A26-Title_RESULTS!$H$7))*'EUE_Line Losses'!$B$25*Partcipation!$C$26))/1000)</f>
        <v>99.52089486582376</v>
      </c>
      <c r="F26" s="5">
        <f>IF($G26=0,0,(Title_RESULTS!$H$19/100*((1+Title_RESULTS!$H$20/100)^($A26-Title_RESULTS!$H$7))*$D26*1000)/1000)</f>
        <v>28.48441447136595</v>
      </c>
      <c r="G26" s="5">
        <f>(+Title_RESULTS!$H$22/100*((1+Title_RESULTS!$H$23/100)^(+'Sheet4(F_22)'!A26-Title_RESULTS!$H$7)))*'Sheet3(F_21)'!D26</f>
        <v>625.5249843273352</v>
      </c>
      <c r="H26" s="5">
        <f>IF($G26=0,0,(($D26))*(Partcipation!$G26/100))</f>
        <v>480.03724400625697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1232.9293503383683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982.462771896423</v>
      </c>
      <c r="D27" s="5">
        <f>IF((Title_RESULTS!$H$8-Title_RESULTS!$H$7)&lt;=('Sheet3(F_21)'!A27-Title_RESULTS!$H$7),((Title_RESULTS!$C$8*Partcipation!$C$26*8760*Title_RESULTS!$H$21/100000)),0)</f>
        <v>10700.114754558208</v>
      </c>
      <c r="E27" s="5">
        <f>IF($G27=0,0,((Title_RESULTS!$H$14*((1+Title_RESULTS!$H$15/100)^($A27-Title_RESULTS!$H$7))*'EUE_Line Losses'!$B$25*Partcipation!$C$26))/1000)</f>
        <v>101.90939634260356</v>
      </c>
      <c r="F27" s="5">
        <f>IF($G27=0,0,(Title_RESULTS!$H$19/100*((1+Title_RESULTS!$H$20/100)^($A27-Title_RESULTS!$H$7))*$D27*1000)/1000)</f>
        <v>29.16804041867874</v>
      </c>
      <c r="G27" s="5">
        <f>(+Title_RESULTS!$H$22/100*((1+Title_RESULTS!$H$23/100)^(+'Sheet4(F_22)'!A27-Title_RESULTS!$H$7)))*'Sheet3(F_21)'!D27</f>
        <v>653.9238186157962</v>
      </c>
      <c r="H27" s="5">
        <f>IF($G27=0,0,(($D27))*(Partcipation!$G27/100))</f>
        <v>491.97435736336826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1275.4896699101332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1006.0418784219371</v>
      </c>
      <c r="D28" s="5">
        <f>IF((Title_RESULTS!$H$8-Title_RESULTS!$H$7)&lt;=('Sheet3(F_21)'!A28-Title_RESULTS!$H$7),((Title_RESULTS!$C$8*Partcipation!$C$26*8760*Title_RESULTS!$H$21/100000)),0)</f>
        <v>10700.114754558208</v>
      </c>
      <c r="E28" s="5">
        <f>IF($G28=0,0,((Title_RESULTS!$H$14*((1+Title_RESULTS!$H$15/100)^($A28-Title_RESULTS!$H$7))*'EUE_Line Losses'!$B$25*Partcipation!$C$26))/1000)</f>
        <v>104.35522185482604</v>
      </c>
      <c r="F28" s="5">
        <f>IF($G28=0,0,(Title_RESULTS!$H$19/100*((1+Title_RESULTS!$H$20/100)^($A28-Title_RESULTS!$H$7))*$D28*1000)/1000)</f>
        <v>29.868073388727023</v>
      </c>
      <c r="G28" s="5">
        <f>(+Title_RESULTS!$H$22/100*((1+Title_RESULTS!$H$23/100)^(+'Sheet4(F_22)'!A28-Title_RESULTS!$H$7)))*'Sheet3(F_21)'!D28</f>
        <v>683.6119599809534</v>
      </c>
      <c r="H28" s="5">
        <f>IF($G28=0,0,(($D28))*(Partcipation!$G28/100))</f>
        <v>521.4976950024168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1302.3794386440268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1030.1868835040636</v>
      </c>
      <c r="D29" s="5">
        <f>IF((Title_RESULTS!$H$8-Title_RESULTS!$H$7)&lt;=('Sheet3(F_21)'!A29-Title_RESULTS!$H$7),((Title_RESULTS!$C$8*Partcipation!$C$26*8760*Title_RESULTS!$H$21/100000)),0)</f>
        <v>10700.114754558208</v>
      </c>
      <c r="E29" s="5">
        <f>IF($G29=0,0,((Title_RESULTS!$H$14*((1+Title_RESULTS!$H$15/100)^($A29-Title_RESULTS!$H$7))*'EUE_Line Losses'!$B$25*Partcipation!$C$26))/1000)</f>
        <v>106.85974717934185</v>
      </c>
      <c r="F29" s="5">
        <f>IF($G29=0,0,(Title_RESULTS!$H$19/100*((1+Title_RESULTS!$H$20/100)^($A29-Title_RESULTS!$H$7))*$D29*1000)/1000)</f>
        <v>30.584907150056473</v>
      </c>
      <c r="G29" s="5">
        <f>(+Title_RESULTS!$H$22/100*((1+Title_RESULTS!$H$23/100)^(+'Sheet4(F_22)'!A29-Title_RESULTS!$H$7)))*'Sheet3(F_21)'!D29</f>
        <v>714.6479429640888</v>
      </c>
      <c r="H29" s="5">
        <f>IF($G29=0,0,(($D29))*(Partcipation!$G29/100))</f>
        <v>533.3917322148142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1348.8877485827365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1054.9113687081613</v>
      </c>
      <c r="D30" s="5">
        <f>IF((Title_RESULTS!$H$8-Title_RESULTS!$H$7)&lt;=('Sheet3(F_21)'!A30-Title_RESULTS!$H$7),((Title_RESULTS!$C$8*Partcipation!$C$26*8760*Title_RESULTS!$H$21/100000)),0)</f>
        <v>10700.114754558208</v>
      </c>
      <c r="E30" s="5">
        <f>IF($G30=0,0,((Title_RESULTS!$H$14*((1+Title_RESULTS!$H$15/100)^($A30-Title_RESULTS!$H$7))*'EUE_Line Losses'!$B$25*Partcipation!$C$26))/1000)</f>
        <v>109.42438111164604</v>
      </c>
      <c r="F30" s="5">
        <f>IF($G30=0,0,(Title_RESULTS!$H$19/100*((1+Title_RESULTS!$H$20/100)^($A30-Title_RESULTS!$H$7))*$D30*1000)/1000)</f>
        <v>31.318944921657828</v>
      </c>
      <c r="G30" s="5">
        <f>(+Title_RESULTS!$H$22/100*((1+Title_RESULTS!$H$23/100)^(+'Sheet4(F_22)'!A30-Title_RESULTS!$H$7)))*'Sheet3(F_21)'!D30</f>
        <v>747.0929595746585</v>
      </c>
      <c r="H30" s="5">
        <f>IF($G30=0,0,(($D30))*(Partcipation!$G30/100))</f>
        <v>567.8099528283708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1374.9377014877527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1080.2292415571571</v>
      </c>
      <c r="D31" s="5">
        <f>IF((Title_RESULTS!$H$8-Title_RESULTS!$H$7)&lt;=('Sheet3(F_21)'!A31-Title_RESULTS!$H$7),((Title_RESULTS!$C$8*Partcipation!$C$26*8760*Title_RESULTS!$H$21/100000)),0)</f>
        <v>10700.114754558208</v>
      </c>
      <c r="E31" s="5">
        <f>IF($G31=0,0,((Title_RESULTS!$H$14*((1+Title_RESULTS!$H$15/100)^($A31-Title_RESULTS!$H$7))*'EUE_Line Losses'!$B$25*Partcipation!$C$26))/1000)</f>
        <v>112.05056625832556</v>
      </c>
      <c r="F31" s="5">
        <f>IF($G31=0,0,(Title_RESULTS!$H$19/100*((1+Title_RESULTS!$H$20/100)^($A31-Title_RESULTS!$H$7))*$D31*1000)/1000)</f>
        <v>32.07059959977762</v>
      </c>
      <c r="G31" s="5">
        <f>(+Title_RESULTS!$H$22/100*((1+Title_RESULTS!$H$23/100)^(+'Sheet4(F_22)'!A31-Title_RESULTS!$H$7)))*'Sheet3(F_21)'!D31</f>
        <v>781.0109799393481</v>
      </c>
      <c r="H31" s="5">
        <f>IF($G31=0,0,(($D31))*(Partcipation!$G31/100))</f>
        <v>589.5816151795445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1415.7797721750637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1106.1547433545288</v>
      </c>
      <c r="D32" s="5">
        <f>IF((Title_RESULTS!$H$8-Title_RESULTS!$H$7)&lt;=('Sheet3(F_21)'!A32-Title_RESULTS!$H$7),((Title_RESULTS!$C$8*Partcipation!$C$26*8760*Title_RESULTS!$H$21/100000)),0)</f>
        <v>10700.114754558208</v>
      </c>
      <c r="E32" s="5">
        <f>IF($G32=0,0,((Title_RESULTS!$H$14*((1+Title_RESULTS!$H$15/100)^($A32-Title_RESULTS!$H$7))*'EUE_Line Losses'!$B$25*Partcipation!$C$26))/1000)</f>
        <v>114.73977984852536</v>
      </c>
      <c r="F32" s="5">
        <f>IF($G32=0,0,(Title_RESULTS!$H$19/100*((1+Title_RESULTS!$H$20/100)^($A32-Title_RESULTS!$H$7))*$D32*1000)/1000)</f>
        <v>32.84029399017228</v>
      </c>
      <c r="G32" s="5">
        <f>(+Title_RESULTS!$H$22/100*((1+Title_RESULTS!$H$23/100)^(+'Sheet4(F_22)'!A32-Title_RESULTS!$H$7)))*'Sheet3(F_21)'!D32</f>
        <v>816.4688784285946</v>
      </c>
      <c r="H32" s="5">
        <f>IF($G32=0,0,(($D32))*(Partcipation!$G32/100))</f>
        <v>601.4685563796293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1468.7351392421915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1132.7024571950376</v>
      </c>
      <c r="D33" s="5">
        <f>IF((Title_RESULTS!$H$8-Title_RESULTS!$H$7)&lt;=('Sheet3(F_21)'!A33-Title_RESULTS!$H$7),((Title_RESULTS!$C$8*Partcipation!$C$26*8760*Title_RESULTS!$H$21/100000)),0)</f>
        <v>10700.114754558208</v>
      </c>
      <c r="E33" s="5">
        <f>IF($G33=0,0,((Title_RESULTS!$H$14*((1+Title_RESULTS!$H$15/100)^($A33-Title_RESULTS!$H$7))*'EUE_Line Losses'!$B$25*Partcipation!$C$26))/1000)</f>
        <v>117.49353456489</v>
      </c>
      <c r="F33" s="5">
        <f>IF($G33=0,0,(Title_RESULTS!$H$19/100*((1+Title_RESULTS!$H$20/100)^($A33-Title_RESULTS!$H$7))*$D33*1000)/1000)</f>
        <v>33.62846104593641</v>
      </c>
      <c r="G33" s="5">
        <f>(+Title_RESULTS!$H$22/100*((1+Title_RESULTS!$H$23/100)^(+'Sheet4(F_22)'!A33-Title_RESULTS!$H$7)))*'Sheet3(F_21)'!D33</f>
        <v>853.536565509253</v>
      </c>
      <c r="H33" s="5">
        <f>IF($G33=0,0,(($D33))*(Partcipation!$G33/100))</f>
        <v>634.06765748217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1503.2933608329472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14467.214945828737</v>
      </c>
      <c r="D35" s="9">
        <f t="shared" si="1"/>
        <v>160501.72131837314</v>
      </c>
      <c r="E35" s="9">
        <f t="shared" si="1"/>
        <v>1500.6626042859693</v>
      </c>
      <c r="F35" s="9">
        <f t="shared" si="1"/>
        <v>429.5127737726976</v>
      </c>
      <c r="G35" s="9">
        <f t="shared" si="1"/>
        <v>9556.460136124906</v>
      </c>
      <c r="H35" s="9">
        <f t="shared" si="1"/>
        <v>7135.888826498811</v>
      </c>
      <c r="I35" s="9">
        <f t="shared" si="1"/>
        <v>0</v>
      </c>
      <c r="J35" s="9">
        <f t="shared" si="1"/>
        <v>18817.9616335135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7397.565728402875</v>
      </c>
      <c r="D37" s="5"/>
      <c r="E37" s="5">
        <f>NPV(Title_RESULTS!$C$37,E17:E34)+'Sheet3(F_21)'!E16</f>
        <v>767.3384471668794</v>
      </c>
      <c r="F37" s="5">
        <f>NPV(Title_RESULTS!$C$37,F17:F34)+'Sheet3(F_21)'!F16</f>
        <v>219.6240939993965</v>
      </c>
      <c r="G37" s="5">
        <f>NPV(Title_RESULTS!$C$37,G17:G34)+'Sheet3(F_21)'!G16</f>
        <v>4759.768008310815</v>
      </c>
      <c r="H37" s="5">
        <f>NPV(Title_RESULTS!$C$37,H17:H34)+'Sheet3(F_21)'!H16</f>
        <v>3547.5422367081674</v>
      </c>
      <c r="I37" s="5">
        <f>NPV(Title_RESULTS!$C$37,I17:I34)+'Sheet3(F_21)'!I16</f>
        <v>0</v>
      </c>
      <c r="J37" s="5">
        <f>NPV(Title_RESULTS!$C$37,J17:J34)+'Sheet3(F_21)'!J16</f>
        <v>9596.754041171798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HVAC Equipment Upgrades</v>
      </c>
      <c r="F2" t="s">
        <v>55</v>
      </c>
    </row>
    <row r="3" spans="6:7" ht="12.75">
      <c r="F3" s="35">
        <f>+Title_RESULTS!I4</f>
        <v>43599.324668402776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14964.135021097047</v>
      </c>
      <c r="C16" s="5">
        <f>$B16*'Sheet2(F_12)'!$E16/100</f>
        <v>434.06610463917264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434.06610463917264</v>
      </c>
      <c r="G16" s="5">
        <f>+$F16*'Sheet2(F_12)'!$I16</f>
        <v>434.06610463917264</v>
      </c>
    </row>
    <row r="17" spans="1:7" ht="12.75">
      <c r="A17">
        <f>+A16+1</f>
        <v>2021</v>
      </c>
      <c r="B17" s="5">
        <f>(+Partcipation!$C16+(Partcipation!$C17-Partcipation!$C16)/2)*Title_RESULTS!$C$10/1000</f>
        <v>44892.40506329114</v>
      </c>
      <c r="C17" s="5">
        <f>$B17*'Sheet2(F_12)'!$E17/100</f>
        <v>1291.6064240024662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1291.6064240024662</v>
      </c>
      <c r="G17" s="5">
        <f>+$F17*'Sheet2(F_12)'!$I17</f>
        <v>1291.6064240024662</v>
      </c>
    </row>
    <row r="18" spans="1:7" ht="12.75">
      <c r="A18">
        <f>+A17+1</f>
        <v>2022</v>
      </c>
      <c r="B18" s="5">
        <f>(+Partcipation!$C17+(Partcipation!$C18-Partcipation!$C17)/2)*Title_RESULTS!$C$10/1000</f>
        <v>74820.67510548524</v>
      </c>
      <c r="C18" s="5">
        <f>$B18*'Sheet2(F_12)'!$E18/100</f>
        <v>2221.7071331779157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2221.7071331779157</v>
      </c>
      <c r="G18" s="5">
        <f>+$F18*'Sheet2(F_12)'!$I18</f>
        <v>2221.7071331779157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89784.81012658228</v>
      </c>
      <c r="C19" s="5">
        <f>$B19*'Sheet2(F_12)'!$E19/100</f>
        <v>2775.41998776564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2775.41998776564</v>
      </c>
      <c r="G19" s="5">
        <f>+$F19*'Sheet2(F_12)'!$I19</f>
        <v>2775.41998776564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89784.81012658228</v>
      </c>
      <c r="C20" s="5">
        <f>$B20*'Sheet2(F_12)'!$E20/100</f>
        <v>2884.4835321028645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2884.4835321028645</v>
      </c>
      <c r="G20" s="5">
        <f>+$F20*'Sheet2(F_12)'!$I20</f>
        <v>2884.4835321028645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89784.81012658228</v>
      </c>
      <c r="C21" s="5">
        <f>$B21*'Sheet2(F_12)'!$E21/100</f>
        <v>3097.0668954588364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3097.0668954588364</v>
      </c>
      <c r="G21" s="5">
        <f>+$F21*'Sheet2(F_12)'!$I21</f>
        <v>3097.0668954588364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89784.81012658228</v>
      </c>
      <c r="C22" s="5">
        <f>$B22*'Sheet2(F_12)'!$E22/100</f>
        <v>3196.404153420804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3196.404153420804</v>
      </c>
      <c r="G22" s="5">
        <f>+$F22*'Sheet2(F_12)'!$I22</f>
        <v>3196.404153420804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89784.81012658228</v>
      </c>
      <c r="C23" s="5">
        <f>$B23*'Sheet2(F_12)'!$E23/100</f>
        <v>3396.165106544901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3396.165106544901</v>
      </c>
      <c r="G23" s="5">
        <f>+$F23*'Sheet2(F_12)'!$I23</f>
        <v>3396.165106544901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89784.81012658228</v>
      </c>
      <c r="C24" s="5">
        <f>$B24*'Sheet2(F_12)'!$E24/100</f>
        <v>3763.343672423201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3763.343672423201</v>
      </c>
      <c r="G24" s="5">
        <f>+$F24*'Sheet2(F_12)'!$I24</f>
        <v>3763.343672423201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89784.81012658228</v>
      </c>
      <c r="C25" s="5">
        <f>$B25*'Sheet2(F_12)'!$E25/100</f>
        <v>4031.9119415062705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4031.9119415062705</v>
      </c>
      <c r="G25" s="5">
        <f>+$F25*'Sheet2(F_12)'!$I25</f>
        <v>4031.9119415062705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89784.81012658228</v>
      </c>
      <c r="C26" s="5">
        <f>$B26*'Sheet2(F_12)'!$E26/100</f>
        <v>4503.422269907329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4503.422269907329</v>
      </c>
      <c r="G26" s="5">
        <f>+$F26*'Sheet2(F_12)'!$I26</f>
        <v>4503.422269907329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89784.81012658228</v>
      </c>
      <c r="C27" s="5">
        <f>$B27*'Sheet2(F_12)'!$E27/100</f>
        <v>4486.674737972758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4486.674737972758</v>
      </c>
      <c r="G27" s="5">
        <f>+$F27*'Sheet2(F_12)'!$I27</f>
        <v>4486.674737972758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89784.81012658228</v>
      </c>
      <c r="C28" s="5">
        <f>$B28*'Sheet2(F_12)'!$E28/100</f>
        <v>4903.520812678208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4903.520812678208</v>
      </c>
      <c r="G28" s="5">
        <f>+$F28*'Sheet2(F_12)'!$I28</f>
        <v>4903.520812678208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89784.81012658228</v>
      </c>
      <c r="C29" s="5">
        <f>$B29*'Sheet2(F_12)'!$E29/100</f>
        <v>5229.158903146254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5229.158903146254</v>
      </c>
      <c r="G29" s="5">
        <f>+$F29*'Sheet2(F_12)'!$I29</f>
        <v>5229.158903146254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89784.81012658228</v>
      </c>
      <c r="C30" s="5">
        <f>$B30*'Sheet2(F_12)'!$E30/100</f>
        <v>5472.640412403906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5472.640412403906</v>
      </c>
      <c r="G30" s="5">
        <f>+$F30*'Sheet2(F_12)'!$I30</f>
        <v>5472.640412403906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89784.81012658228</v>
      </c>
      <c r="C31" s="5">
        <f>$B31*'Sheet2(F_12)'!$E31/100</f>
        <v>6027.276852494069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6027.276852494069</v>
      </c>
      <c r="G31" s="5">
        <f>+$F31*'Sheet2(F_12)'!$I31</f>
        <v>6027.276852494069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89784.81012658228</v>
      </c>
      <c r="C32" s="5">
        <f>$B32*'Sheet2(F_12)'!$E32/100</f>
        <v>5953.1567589326305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5953.1567589326305</v>
      </c>
      <c r="G32" s="5">
        <f>+$F32*'Sheet2(F_12)'!$I32</f>
        <v>5953.1567589326305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89784.81012658228</v>
      </c>
      <c r="C33" s="5">
        <f>$B33*'Sheet2(F_12)'!$E33/100</f>
        <v>6353.891306379207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6353.891306379207</v>
      </c>
      <c r="G33" s="5">
        <f>+$F33*'Sheet2(F_12)'!$I33</f>
        <v>6353.891306379207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1481449.367088607</v>
      </c>
      <c r="C35" s="5">
        <f t="shared" si="2"/>
        <v>70021.91700495644</v>
      </c>
      <c r="D35" s="5">
        <f t="shared" si="2"/>
        <v>0</v>
      </c>
      <c r="E35" s="5">
        <f t="shared" si="2"/>
        <v>0</v>
      </c>
      <c r="F35" s="5">
        <f t="shared" si="2"/>
        <v>70021.91700495644</v>
      </c>
      <c r="G35" s="5">
        <f t="shared" si="2"/>
        <v>70021.91700495644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35744.51456845467</v>
      </c>
      <c r="D37" s="5"/>
      <c r="E37" s="5">
        <f>NPV(+Title_RESULTS!$C$37,E17:E34)+E16</f>
        <v>0</v>
      </c>
      <c r="F37" s="5">
        <f>NPV(+Title_RESULTS!$C$37,F17:F34)+F16</f>
        <v>35744.51456845467</v>
      </c>
      <c r="G37" s="5">
        <f>NPV(+Title_RESULTS!$C$37,G17:G34)+G16</f>
        <v>35744.51456845467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HVAC Equipment Upgrades</v>
      </c>
      <c r="J2" t="s">
        <v>42</v>
      </c>
    </row>
    <row r="3" spans="9:10" ht="12.75">
      <c r="I3" s="4"/>
      <c r="J3" s="35">
        <f>+Title_RESULTS!I4</f>
        <v>43599.324668402776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HVAC Equipment Upgrades</v>
      </c>
      <c r="H2" t="s">
        <v>108</v>
      </c>
    </row>
    <row r="3" ht="12.75">
      <c r="H3" s="35">
        <f>+Title_RESULTS!I4</f>
        <v>43599.324668402776</v>
      </c>
    </row>
    <row r="5" spans="3:6" ht="12.75">
      <c r="C5" t="s">
        <v>60</v>
      </c>
      <c r="F5" s="38">
        <f>+'Value of Defferal'!L4</f>
        <v>479.70580479999995</v>
      </c>
    </row>
    <row r="6" spans="3:6" ht="12.75">
      <c r="C6" t="s">
        <v>62</v>
      </c>
      <c r="F6" s="38">
        <f>+'Value of Defferal'!L5</f>
        <v>1022.2841856000002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434.06610463917264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47.405632658810255</v>
      </c>
      <c r="C17" s="5">
        <f>IF(+Title_RESULTS!$H$9&lt;='Sheet4(F_22)'!$A17,(+Title_RESULTS!$H$16*((1+Title_RESULTS!$H$18/100)^('Sheet4(F_22)'!$A17-Title_RESULTS!$H$7))*Title_RESULTS!$C$8*Partcipation!$C$26/1000),0)</f>
        <v>38.210937169571906</v>
      </c>
      <c r="D17" s="5">
        <f>(+B17+C17)*+Partcipation!$H17</f>
        <v>85.61656982838215</v>
      </c>
      <c r="E17" s="5">
        <f>VLOOKUP(A17,'Value of Defferal'!$I24:$P$58,'Value of Defferal'!$K$13)</f>
        <v>101.02447810834708</v>
      </c>
      <c r="F17" s="5">
        <f>IF(+'Value of Defferal'!P24=0,0,Title_RESULTS!$H$17*Title_RESULTS!$C$7*Partcipation!$C$26*(1+Title_RESULTS!$H$18/100)^('Sheet4(F_22)'!A17-Title_RESULTS!$H$7))/1000</f>
        <v>140.73937920000003</v>
      </c>
      <c r="G17" s="5">
        <f>(+E17+F17)*Partcipation!$H17</f>
        <v>241.7638573083471</v>
      </c>
      <c r="H17" s="5">
        <f>+'Sheet5(p_5)'!$F17*'Sheet2(F_12)'!$I17</f>
        <v>1291.6064240024662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48.5433678426217</v>
      </c>
      <c r="C18" s="5">
        <f>IF(+Title_RESULTS!$H$9&lt;='Sheet4(F_22)'!$A18,(+Title_RESULTS!$H$16*((1+Title_RESULTS!$H$18/100)^('Sheet4(F_22)'!$A18-Title_RESULTS!$H$7))*Title_RESULTS!$C$8*Partcipation!$C$26/1000),0)</f>
        <v>39.12799966164163</v>
      </c>
      <c r="D18" s="5">
        <f>(+B18+C18)*+Partcipation!$H18</f>
        <v>87.67136750426333</v>
      </c>
      <c r="E18" s="5">
        <f>VLOOKUP(A18,'Value of Defferal'!$I25:$P$58,'Value of Defferal'!$K$13)</f>
        <v>103.44906558294741</v>
      </c>
      <c r="F18" s="5">
        <f>IF(+'Value of Defferal'!P25=0,0,Title_RESULTS!$H$17*Title_RESULTS!$C$7*Partcipation!$C$26*(1+Title_RESULTS!$H$18/100)^('Sheet4(F_22)'!A18-Title_RESULTS!$H$7))/1000</f>
        <v>144.11712430080001</v>
      </c>
      <c r="G18" s="5">
        <f>(+E18+F18)*Partcipation!$H18</f>
        <v>247.56618988374743</v>
      </c>
      <c r="H18" s="5">
        <f>+'Sheet5(p_5)'!$F18*'Sheet2(F_12)'!$I18</f>
        <v>2221.7071331779157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49.70840867084462</v>
      </c>
      <c r="C19" s="5">
        <f>IF(+Title_RESULTS!$H$9&lt;='Sheet4(F_22)'!$A19,(+Title_RESULTS!$H$16*((1+Title_RESULTS!$H$18/100)^('Sheet4(F_22)'!$A19-Title_RESULTS!$H$7))*Title_RESULTS!$C$8*Partcipation!$C$26/1000),0)</f>
        <v>40.06707165352104</v>
      </c>
      <c r="D19" s="5">
        <f>(+B19+C19)*+Partcipation!$H19</f>
        <v>89.77548032436566</v>
      </c>
      <c r="E19" s="5">
        <f>VLOOKUP(A19,'Value of Defferal'!$I26:$P$58,'Value of Defferal'!$K$13)</f>
        <v>105.93184315693814</v>
      </c>
      <c r="F19" s="5">
        <f>IF(+'Value of Defferal'!P26=0,0,Title_RESULTS!$H$17*Title_RESULTS!$C$7*Partcipation!$C$26*(1+Title_RESULTS!$H$18/100)^('Sheet4(F_22)'!A19-Title_RESULTS!$H$7))/1000</f>
        <v>147.5759352840192</v>
      </c>
      <c r="G19" s="5">
        <f>(+E19+F19)*Partcipation!$H19</f>
        <v>253.50777844095734</v>
      </c>
      <c r="H19" s="5">
        <f>+'Sheet5(p_5)'!$F19*'Sheet2(F_12)'!$I19</f>
        <v>2775.41998776564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50.90141047894489</v>
      </c>
      <c r="C20" s="5">
        <f>IF(+Title_RESULTS!$H$9&lt;='Sheet4(F_22)'!$A20,(+Title_RESULTS!$H$16*((1+Title_RESULTS!$H$18/100)^('Sheet4(F_22)'!$A20-Title_RESULTS!$H$7))*Title_RESULTS!$C$8*Partcipation!$C$26/1000),0)</f>
        <v>41.028681373205536</v>
      </c>
      <c r="D20" s="5">
        <f>(+B20+C20)*+Partcipation!$H20</f>
        <v>91.93009185215043</v>
      </c>
      <c r="E20" s="5">
        <f>VLOOKUP(A20,'Value of Defferal'!$I27:$P$58,'Value of Defferal'!$K$13)</f>
        <v>108.47420739270466</v>
      </c>
      <c r="F20" s="5">
        <f>IF(+'Value of Defferal'!P27=0,0,Title_RESULTS!$H$17*Title_RESULTS!$C$7*Partcipation!$C$26*(1+Title_RESULTS!$H$18/100)^('Sheet4(F_22)'!A20-Title_RESULTS!$H$7))/1000</f>
        <v>151.11775773083568</v>
      </c>
      <c r="G20" s="5">
        <f>(+E20+F20)*Partcipation!$H20</f>
        <v>259.5919651235403</v>
      </c>
      <c r="H20" s="5">
        <f>+'Sheet5(p_5)'!$F20*'Sheet2(F_12)'!$I20</f>
        <v>2884.4835321028645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52.12304433043957</v>
      </c>
      <c r="C21" s="5">
        <f>IF(+Title_RESULTS!$H$9&lt;='Sheet4(F_22)'!$A21,(+Title_RESULTS!$H$16*((1+Title_RESULTS!$H$18/100)^('Sheet4(F_22)'!$A21-Title_RESULTS!$H$7))*Title_RESULTS!$C$8*Partcipation!$C$26/1000),0)</f>
        <v>42.01336972616247</v>
      </c>
      <c r="D21" s="5">
        <f>(+B21+C21)*+Partcipation!$H21</f>
        <v>94.13641405660204</v>
      </c>
      <c r="E21" s="5">
        <f>VLOOKUP(A21,'Value of Defferal'!$I28:$P$58,'Value of Defferal'!$K$13)</f>
        <v>111.07758837012958</v>
      </c>
      <c r="F21" s="5">
        <f>IF(+'Value of Defferal'!P28=0,0,Title_RESULTS!$H$17*Title_RESULTS!$C$7*Partcipation!$C$26*(1+Title_RESULTS!$H$18/100)^('Sheet4(F_22)'!A21-Title_RESULTS!$H$7))/1000</f>
        <v>154.74458391637577</v>
      </c>
      <c r="G21" s="5">
        <f>(+E21+F21)*Partcipation!$H21</f>
        <v>265.82217228650535</v>
      </c>
      <c r="H21" s="5">
        <f>+'Sheet5(p_5)'!$F21*'Sheet2(F_12)'!$I21</f>
        <v>3097.0668954588364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53.37399739437012</v>
      </c>
      <c r="C22" s="5">
        <f>IF(+Title_RESULTS!$H$9&lt;='Sheet4(F_22)'!$A22,(+Title_RESULTS!$H$16*((1+Title_RESULTS!$H$18/100)^('Sheet4(F_22)'!$A22-Title_RESULTS!$H$7))*Title_RESULTS!$C$8*Partcipation!$C$26/1000),0)</f>
        <v>43.021690599590364</v>
      </c>
      <c r="D22" s="5">
        <f>(+B22+C22)*+Partcipation!$H22</f>
        <v>96.39568799396048</v>
      </c>
      <c r="E22" s="5">
        <f>VLOOKUP(A22,'Value of Defferal'!$I29:$P$58,'Value of Defferal'!$K$13)</f>
        <v>113.7434504910127</v>
      </c>
      <c r="F22" s="5">
        <f>IF(+'Value of Defferal'!P29=0,0,Title_RESULTS!$H$17*Title_RESULTS!$C$7*Partcipation!$C$26*(1+Title_RESULTS!$H$18/100)^('Sheet4(F_22)'!A22-Title_RESULTS!$H$7))/1000</f>
        <v>158.45845393036873</v>
      </c>
      <c r="G22" s="5">
        <f>(+E22+F22)*Partcipation!$H22</f>
        <v>272.2019044213814</v>
      </c>
      <c r="H22" s="5">
        <f>+'Sheet5(p_5)'!$F22*'Sheet2(F_12)'!$I22</f>
        <v>3196.404153420804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54.654973331835</v>
      </c>
      <c r="C23" s="5">
        <f>IF(+Title_RESULTS!$H$9&lt;='Sheet4(F_22)'!$A23,(+Title_RESULTS!$H$16*((1+Title_RESULTS!$H$18/100)^('Sheet4(F_22)'!$A23-Title_RESULTS!$H$7))*Title_RESULTS!$C$8*Partcipation!$C$26/1000),0)</f>
        <v>44.05421117398054</v>
      </c>
      <c r="D23" s="5">
        <f>(+B23+C23)*+Partcipation!$H23</f>
        <v>98.70918450581554</v>
      </c>
      <c r="E23" s="5">
        <f>VLOOKUP(A23,'Value of Defferal'!$I30:$P$58,'Value of Defferal'!$K$13)</f>
        <v>116.47329330279699</v>
      </c>
      <c r="F23" s="5">
        <f>IF(+'Value of Defferal'!P30=0,0,Title_RESULTS!$H$17*Title_RESULTS!$C$7*Partcipation!$C$26*(1+Title_RESULTS!$H$18/100)^('Sheet4(F_22)'!A23-Title_RESULTS!$H$7))/1000</f>
        <v>162.2614568246976</v>
      </c>
      <c r="G23" s="5">
        <f>(+E23+F23)*Partcipation!$H23</f>
        <v>278.7347501274946</v>
      </c>
      <c r="H23" s="5">
        <f>+'Sheet5(p_5)'!$F23*'Sheet2(F_12)'!$I23</f>
        <v>3396.165106544901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55.96669269179904</v>
      </c>
      <c r="C24" s="5">
        <f>IF(+Title_RESULTS!$H$9&lt;='Sheet4(F_22)'!$A24,(+Title_RESULTS!$H$16*((1+Title_RESULTS!$H$18/100)^('Sheet4(F_22)'!$A24-Title_RESULTS!$H$7))*Title_RESULTS!$C$8*Partcipation!$C$26/1000),0)</f>
        <v>45.11151224215607</v>
      </c>
      <c r="D24" s="5">
        <f>(+B24+C24)*+Partcipation!$H24</f>
        <v>101.0782049339551</v>
      </c>
      <c r="E24" s="5">
        <f>VLOOKUP(A24,'Value of Defferal'!$I31:$P$58,'Value of Defferal'!$K$13)</f>
        <v>119.26865234206412</v>
      </c>
      <c r="F24" s="5">
        <f>IF(+'Value of Defferal'!P31=0,0,Title_RESULTS!$H$17*Title_RESULTS!$C$7*Partcipation!$C$26*(1+Title_RESULTS!$H$18/100)^('Sheet4(F_22)'!A24-Title_RESULTS!$H$7))/1000</f>
        <v>166.15573178849036</v>
      </c>
      <c r="G24" s="5">
        <f>(+E24+F24)*Partcipation!$H24</f>
        <v>285.4243841305545</v>
      </c>
      <c r="H24" s="5">
        <f>+'Sheet5(p_5)'!$F24*'Sheet2(F_12)'!$I24</f>
        <v>3763.343672423201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57.309893316402224</v>
      </c>
      <c r="C25" s="5">
        <f>IF(+Title_RESULTS!$H$9&lt;='Sheet4(F_22)'!$A25,(+Title_RESULTS!$H$16*((1+Title_RESULTS!$H$18/100)^('Sheet4(F_22)'!$A25-Title_RESULTS!$H$7))*Title_RESULTS!$C$8*Partcipation!$C$26/1000),0)</f>
        <v>46.194188535967804</v>
      </c>
      <c r="D25" s="5">
        <f>(+B25+C25)*+Partcipation!$H25</f>
        <v>103.50408185237004</v>
      </c>
      <c r="E25" s="5">
        <f>VLOOKUP(A25,'Value of Defferal'!$I32:$P$58,'Value of Defferal'!$K$13)</f>
        <v>122.13109999827367</v>
      </c>
      <c r="F25" s="5">
        <f>IF(+'Value of Defferal'!P32=0,0,Title_RESULTS!$H$17*Title_RESULTS!$C$7*Partcipation!$C$26*(1+Title_RESULTS!$H$18/100)^('Sheet4(F_22)'!A25-Title_RESULTS!$H$7))/1000</f>
        <v>170.1434693514141</v>
      </c>
      <c r="G25" s="5">
        <f>(+E25+F25)*Partcipation!$H25</f>
        <v>292.2745693496878</v>
      </c>
      <c r="H25" s="5">
        <f>+'Sheet5(p_5)'!$F25*'Sheet2(F_12)'!$I25</f>
        <v>4031.9119415062705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58.68533075599588</v>
      </c>
      <c r="C26" s="5">
        <f>IF(+Title_RESULTS!$H$9&lt;='Sheet4(F_22)'!$A26,(+Title_RESULTS!$H$16*((1+Title_RESULTS!$H$18/100)^('Sheet4(F_22)'!$A26-Title_RESULTS!$H$7))*Title_RESULTS!$C$8*Partcipation!$C$26/1000),0)</f>
        <v>47.302849060831036</v>
      </c>
      <c r="D26" s="5">
        <f>(+B26+C26)*+Partcipation!$H26</f>
        <v>105.98817981682691</v>
      </c>
      <c r="E26" s="5">
        <f>VLOOKUP(A26,'Value of Defferal'!$I33:$P$58,'Value of Defferal'!$K$13)</f>
        <v>125.06224639823225</v>
      </c>
      <c r="F26" s="5">
        <f>IF(+'Value of Defferal'!P33=0,0,Title_RESULTS!$H$17*Title_RESULTS!$C$7*Partcipation!$C$26*(1+Title_RESULTS!$H$18/100)^('Sheet4(F_22)'!A26-Title_RESULTS!$H$7))/1000</f>
        <v>174.22691261584802</v>
      </c>
      <c r="G26" s="5">
        <f>(+E26+F26)*Partcipation!$H26</f>
        <v>299.28915901408027</v>
      </c>
      <c r="H26" s="5">
        <f>+'Sheet5(p_5)'!$F26*'Sheet2(F_12)'!$I26</f>
        <v>4503.422269907329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60.093778694139786</v>
      </c>
      <c r="C27" s="5">
        <f>IF(+Title_RESULTS!$H$9&lt;='Sheet4(F_22)'!$A27,(+Title_RESULTS!$H$16*((1+Title_RESULTS!$H$18/100)^('Sheet4(F_22)'!$A27-Title_RESULTS!$H$7))*Title_RESULTS!$C$8*Partcipation!$C$26/1000),0)</f>
        <v>48.43811743829099</v>
      </c>
      <c r="D27" s="5">
        <f>(+B27+C27)*+Partcipation!$H27</f>
        <v>108.53189613243077</v>
      </c>
      <c r="E27" s="5">
        <f>VLOOKUP(A27,'Value of Defferal'!$I34:$P$58,'Value of Defferal'!$K$13)</f>
        <v>128.06374031178981</v>
      </c>
      <c r="F27" s="5">
        <f>IF(+'Value of Defferal'!P34=0,0,Title_RESULTS!$H$17*Title_RESULTS!$C$7*Partcipation!$C$26*(1+Title_RESULTS!$H$18/100)^('Sheet4(F_22)'!A27-Title_RESULTS!$H$7))/1000</f>
        <v>178.4083585186284</v>
      </c>
      <c r="G27" s="5">
        <f>(+E27+F27)*Partcipation!$H27</f>
        <v>306.4720988304182</v>
      </c>
      <c r="H27" s="5">
        <f>+'Sheet5(p_5)'!$F27*'Sheet2(F_12)'!$I27</f>
        <v>4486.674737972758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61.536029382799136</v>
      </c>
      <c r="C28" s="5">
        <f>IF(+Title_RESULTS!$H$9&lt;='Sheet4(F_22)'!$A28,(+Title_RESULTS!$H$16*((1+Title_RESULTS!$H$18/100)^('Sheet4(F_22)'!$A28-Title_RESULTS!$H$7))*Title_RESULTS!$C$8*Partcipation!$C$26/1000),0)</f>
        <v>49.60063225680997</v>
      </c>
      <c r="D28" s="5">
        <f>(+B28+C28)*+Partcipation!$H28</f>
        <v>111.13666163960912</v>
      </c>
      <c r="E28" s="5">
        <f>VLOOKUP(A28,'Value of Defferal'!$I35:$P$58,'Value of Defferal'!$K$13)</f>
        <v>131.13727007927278</v>
      </c>
      <c r="F28" s="5">
        <f>IF(+'Value of Defferal'!P35=0,0,Title_RESULTS!$H$17*Title_RESULTS!$C$7*Partcipation!$C$26*(1+Title_RESULTS!$H$18/100)^('Sheet4(F_22)'!A28-Title_RESULTS!$H$7))/1000</f>
        <v>182.6901591230755</v>
      </c>
      <c r="G28" s="5">
        <f>(+E28+F28)*Partcipation!$H28</f>
        <v>313.8274292023483</v>
      </c>
      <c r="H28" s="5">
        <f>+'Sheet5(p_5)'!$F28*'Sheet2(F_12)'!$I28</f>
        <v>4903.520812678208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63.01289408798632</v>
      </c>
      <c r="C29" s="5">
        <f>IF(+Title_RESULTS!$H$9&lt;='Sheet4(F_22)'!$A29,(+Title_RESULTS!$H$16*((1+Title_RESULTS!$H$18/100)^('Sheet4(F_22)'!$A29-Title_RESULTS!$H$7))*Title_RESULTS!$C$8*Partcipation!$C$26/1000),0)</f>
        <v>50.791047430973414</v>
      </c>
      <c r="D29" s="5">
        <f>(+B29+C29)*+Partcipation!$H29</f>
        <v>113.80394151895973</v>
      </c>
      <c r="E29" s="5">
        <f>VLOOKUP(A29,'Value of Defferal'!$I36:$P$58,'Value of Defferal'!$K$13)</f>
        <v>134.28456456117533</v>
      </c>
      <c r="F29" s="5">
        <f>IF(+'Value of Defferal'!P36=0,0,Title_RESULTS!$H$17*Title_RESULTS!$C$7*Partcipation!$C$26*(1+Title_RESULTS!$H$18/100)^('Sheet4(F_22)'!A29-Title_RESULTS!$H$7))/1000</f>
        <v>187.0747229420293</v>
      </c>
      <c r="G29" s="5">
        <f>(+E29+F29)*Partcipation!$H29</f>
        <v>321.35928750320465</v>
      </c>
      <c r="H29" s="5">
        <f>+'Sheet5(p_5)'!$F29*'Sheet2(F_12)'!$I29</f>
        <v>5229.158903146254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64.52520354609798</v>
      </c>
      <c r="C30" s="5">
        <f>IF(+Title_RESULTS!$H$9&lt;='Sheet4(F_22)'!$A30,(+Title_RESULTS!$H$16*((1+Title_RESULTS!$H$18/100)^('Sheet4(F_22)'!$A30-Title_RESULTS!$H$7))*Title_RESULTS!$C$8*Partcipation!$C$26/1000),0)</f>
        <v>52.01003256931677</v>
      </c>
      <c r="D30" s="5">
        <f>(+B30+C30)*+Partcipation!$H30</f>
        <v>116.53523611541476</v>
      </c>
      <c r="E30" s="5">
        <f>VLOOKUP(A30,'Value of Defferal'!$I37:$P$58,'Value of Defferal'!$K$13)</f>
        <v>137.50739411064353</v>
      </c>
      <c r="F30" s="5">
        <f>IF(+'Value of Defferal'!P37=0,0,Title_RESULTS!$H$17*Title_RESULTS!$C$7*Partcipation!$C$26*(1+Title_RESULTS!$H$18/100)^('Sheet4(F_22)'!A30-Title_RESULTS!$H$7))/1000</f>
        <v>191.56451629263796</v>
      </c>
      <c r="G30" s="5">
        <f>(+E30+F30)*Partcipation!$H30</f>
        <v>329.0719104032815</v>
      </c>
      <c r="H30" s="5">
        <f>+'Sheet5(p_5)'!$F30*'Sheet2(F_12)'!$I30</f>
        <v>5472.640412403906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66.07380843120434</v>
      </c>
      <c r="C31" s="5">
        <f>IF(+Title_RESULTS!$H$9&lt;='Sheet4(F_22)'!$A31,(+Title_RESULTS!$H$16*((1+Title_RESULTS!$H$18/100)^('Sheet4(F_22)'!$A31-Title_RESULTS!$H$7))*Title_RESULTS!$C$8*Partcipation!$C$26/1000),0)</f>
        <v>53.25827335098038</v>
      </c>
      <c r="D31" s="5">
        <f>(+B31+C31)*+Partcipation!$H31</f>
        <v>119.33208178218473</v>
      </c>
      <c r="E31" s="5">
        <f>VLOOKUP(A31,'Value of Defferal'!$I38:$P$58,'Value of Defferal'!$K$13)</f>
        <v>140.807571569299</v>
      </c>
      <c r="F31" s="5">
        <f>IF(+'Value of Defferal'!P38=0,0,Title_RESULTS!$H$17*Title_RESULTS!$C$7*Partcipation!$C$26*(1+Title_RESULTS!$H$18/100)^('Sheet4(F_22)'!A31-Title_RESULTS!$H$7))/1000</f>
        <v>196.1620646836613</v>
      </c>
      <c r="G31" s="5">
        <f>(+E31+F31)*Partcipation!$H31</f>
        <v>336.9696362529603</v>
      </c>
      <c r="H31" s="5">
        <f>+'Sheet5(p_5)'!$F31*'Sheet2(F_12)'!$I31</f>
        <v>6027.276852494069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67.65957983355325</v>
      </c>
      <c r="C32" s="5">
        <f>IF(+Title_RESULTS!$H$9&lt;='Sheet4(F_22)'!$A32,(+Title_RESULTS!$H$16*((1+Title_RESULTS!$H$18/100)^('Sheet4(F_22)'!$A32-Title_RESULTS!$H$7))*Title_RESULTS!$C$8*Partcipation!$C$26/1000),0)</f>
        <v>54.5364719114039</v>
      </c>
      <c r="D32" s="5">
        <f>(+B32+C32)*+Partcipation!$H32</f>
        <v>122.19605174495715</v>
      </c>
      <c r="E32" s="5">
        <f>VLOOKUP(A32,'Value of Defferal'!$I39:$P$58,'Value of Defferal'!$K$13)</f>
        <v>144.18695328696217</v>
      </c>
      <c r="F32" s="5">
        <f>IF(+'Value of Defferal'!P39=0,0,Title_RESULTS!$H$17*Title_RESULTS!$C$7*Partcipation!$C$26*(1+Title_RESULTS!$H$18/100)^('Sheet4(F_22)'!A32-Title_RESULTS!$H$7))/1000</f>
        <v>200.86995423606913</v>
      </c>
      <c r="G32" s="5">
        <f>(+E32+F32)*Partcipation!$H32</f>
        <v>345.0569075230313</v>
      </c>
      <c r="H32" s="5">
        <f>+'Sheet5(p_5)'!$F32*'Sheet2(F_12)'!$I32</f>
        <v>5953.1567589326305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69.28340974955853</v>
      </c>
      <c r="C33" s="5">
        <f>IF(+Title_RESULTS!$H$9&lt;='Sheet4(F_22)'!$A33,(+Title_RESULTS!$H$16*((1+Title_RESULTS!$H$18/100)^('Sheet4(F_22)'!$A33-Title_RESULTS!$H$7))*Title_RESULTS!$C$8*Partcipation!$C$26/1000),0)</f>
        <v>55.84534723727759</v>
      </c>
      <c r="D33" s="5">
        <f>(+B33+C33)*+Partcipation!$H33</f>
        <v>125.12875698683612</v>
      </c>
      <c r="E33" s="5">
        <f>VLOOKUP(A33,'Value of Defferal'!$I40:$P$58,'Value of Defferal'!$K$13)</f>
        <v>147.64744016584925</v>
      </c>
      <c r="F33" s="5">
        <f>IF(+'Value of Defferal'!P40=0,0,Title_RESULTS!$H$17*Title_RESULTS!$C$7*Partcipation!$C$26*(1+Title_RESULTS!$H$18/100)^('Sheet4(F_22)'!A33-Title_RESULTS!$H$7))/1000</f>
        <v>205.6908331377348</v>
      </c>
      <c r="G33" s="5">
        <f>(+E33+F33)*Partcipation!$H33</f>
        <v>353.33827330358406</v>
      </c>
      <c r="H33" s="5">
        <f>+'Sheet5(p_5)'!$F33*'Sheet2(F_12)'!$I33</f>
        <v>6353.891306379207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980.8574551974027</v>
      </c>
      <c r="C35" s="5">
        <f t="shared" si="1"/>
        <v>790.6124333916813</v>
      </c>
      <c r="D35" s="5">
        <f t="shared" si="1"/>
        <v>1771.4698885890843</v>
      </c>
      <c r="E35" s="5">
        <f t="shared" si="1"/>
        <v>2090.270859228438</v>
      </c>
      <c r="F35" s="5">
        <f t="shared" si="1"/>
        <v>2912.001413876686</v>
      </c>
      <c r="G35" s="5">
        <f t="shared" si="1"/>
        <v>5002.2722731051235</v>
      </c>
      <c r="H35" s="5">
        <f t="shared" si="1"/>
        <v>70021.91700495644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539.0905316558529</v>
      </c>
      <c r="C37" s="5">
        <f>NPV(Title_RESULTS!$C$37,'Sheet4(F_22)'!C17:C34)+'Sheet4(F_22)'!C16</f>
        <v>434.5296809362294</v>
      </c>
      <c r="D37" s="5">
        <f>NPV(Title_RESULTS!$C$37,'Sheet4(F_22)'!D17:D34)+'Sheet4(F_22)'!D16</f>
        <v>973.6202125920826</v>
      </c>
      <c r="E37" s="5">
        <f>NPV(Title_RESULTS!$C$37,'Sheet4(F_22)'!E17:E34)+'Sheet4(F_22)'!E16</f>
        <v>1148.8368904525605</v>
      </c>
      <c r="F37" s="5">
        <f>NPV(Title_RESULTS!$C$37,'Sheet4(F_22)'!F17:F34)+'Sheet4(F_22)'!F16</f>
        <v>1600.4694485127213</v>
      </c>
      <c r="G37" s="5">
        <f>NPV(Title_RESULTS!$C$37,'Sheet4(F_22)'!G17:G34)+'Sheet4(F_22)'!G16</f>
        <v>2749.3063389652816</v>
      </c>
      <c r="H37" s="5">
        <f>NPV(Title_RESULTS!$C$37,'Sheet4(F_22)'!H17:H34)+'Sheet4(F_22)'!H16</f>
        <v>35744.51456845467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HVAC Equipment Upgrades</v>
      </c>
      <c r="P2" t="s">
        <v>121</v>
      </c>
    </row>
    <row r="3" ht="12.75">
      <c r="P3" s="35">
        <f>+Title_RESULTS!I4</f>
        <v>43599.324668402776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2915.96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2915.96</v>
      </c>
      <c r="H16" s="5">
        <f>IF(Partcipation!$B17&lt;Partcipation!$B16,0,IF(Partcipation!$B16=0,0,(Partcipation!$B16-Partcipation!$B15)*(+Title_RESULTS!$C$29*(1+Title_RESULTS!$C$30/100)^(+'Sheet8(F_24)'!$A16-Title_RESULTS!$H$7))/1000))</f>
        <v>6629.48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6629.48</v>
      </c>
      <c r="K16" s="5">
        <f>(+Partcipation!$B15+(Partcipation!$B16-Partcipation!$B15)/2)*(+Title_RESULTS!$C$14)/1000</f>
        <v>14186</v>
      </c>
      <c r="L16" s="5">
        <f>($K16)*Partcipation!$E73*Title_RESULTS!$C$12/100</f>
        <v>345.37413514593993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545.6302800000001</v>
      </c>
      <c r="N16" s="5">
        <f>'Sheet2(F_12)'!$I16*('Sheet6(p_6)'!$L16+'Sheet6(p_6)'!$M16)</f>
        <v>891.00441514594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2915.96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2915.96</v>
      </c>
      <c r="H17" s="5">
        <f>IF(Partcipation!$B18&lt;Partcipation!$B17,0,IF(Partcipation!$B17=0,0,(Partcipation!$B17-Partcipation!$B16)*(+Title_RESULTS!$C$29*(1+Title_RESULTS!$C$30/100)^(+'Sheet8(F_24)'!$A17-Title_RESULTS!$H$7))/1000))</f>
        <v>6781.958039999999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6781.958039999999</v>
      </c>
      <c r="K17" s="5">
        <f>(+Partcipation!$B16+(Partcipation!$B17-Partcipation!$B16)/2)*(+Title_RESULTS!$C$14)/1000</f>
        <v>42558</v>
      </c>
      <c r="L17" s="5">
        <f>($K17)*Partcipation!$E74*Title_RESULTS!$C$12/100</f>
        <v>1085.4350803555117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1653.2597483999998</v>
      </c>
      <c r="N17" s="5">
        <f>'Sheet2(F_12)'!$I17*('Sheet6(p_6)'!$L17+'Sheet6(p_6)'!$M17)</f>
        <v>2738.6948287555115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2915.96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2915.96</v>
      </c>
      <c r="H18" s="5">
        <f>IF(Partcipation!$B19&lt;Partcipation!$B18,0,IF(Partcipation!$B18=0,0,(Partcipation!$B18-Partcipation!$B17)*(+Title_RESULTS!$C$29*(1+Title_RESULTS!$C$30/100)^(+'Sheet8(F_24)'!$A18-Title_RESULTS!$H$7))/1000))</f>
        <v>6937.943074919998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6937.943074919998</v>
      </c>
      <c r="K18" s="5">
        <f>(+Partcipation!$B17+(Partcipation!$B18-Partcipation!$B17)/2)*(+Title_RESULTS!$C$14)/1000</f>
        <v>70930</v>
      </c>
      <c r="L18" s="5">
        <f>($K18)*Partcipation!$E75*Title_RESULTS!$C$12/100</f>
        <v>1875.6958379597245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2782.98724314</v>
      </c>
      <c r="N18" s="5">
        <f>'Sheet2(F_12)'!$I18*('Sheet6(p_6)'!$L18+'Sheet6(p_6)'!$M18)</f>
        <v>4658.683081099724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85116</v>
      </c>
      <c r="L19" s="5">
        <f>($K19)*Partcipation!$E76*Title_RESULTS!$C$12/100</f>
        <v>2232.384036611389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3372.9805386856797</v>
      </c>
      <c r="N19" s="5">
        <f>'Sheet2(F_12)'!$I19*('Sheet6(p_6)'!$L19+'Sheet6(p_6)'!$M19)</f>
        <v>5605.364575297069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85116</v>
      </c>
      <c r="L20" s="5">
        <f>($K20)*Partcipation!$E77*Title_RESULTS!$C$12/100</f>
        <v>2359.0042643386173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3406.710344072537</v>
      </c>
      <c r="N20" s="5">
        <f>'Sheet2(F_12)'!$I20*('Sheet6(p_6)'!$L20+'Sheet6(p_6)'!$M20)</f>
        <v>5765.714608411154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85116</v>
      </c>
      <c r="L21" s="5">
        <f>($K21)*Partcipation!$E78*Title_RESULTS!$C$12/100</f>
        <v>2494.4079879953283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3440.777447513262</v>
      </c>
      <c r="N21" s="5">
        <f>'Sheet2(F_12)'!$I21*('Sheet6(p_6)'!$L21+'Sheet6(p_6)'!$M21)</f>
        <v>5935.185435508591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85116</v>
      </c>
      <c r="L22" s="5">
        <f>($K22)*Partcipation!$E79*Title_RESULTS!$C$12/100</f>
        <v>2607.1905659880404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3475.185221988395</v>
      </c>
      <c r="N22" s="5">
        <f>'Sheet2(F_12)'!$I22*('Sheet6(p_6)'!$L22+'Sheet6(p_6)'!$M22)</f>
        <v>6082.375787976435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85116</v>
      </c>
      <c r="L23" s="5">
        <f>($K23)*Partcipation!$E80*Title_RESULTS!$C$12/100</f>
        <v>2760.7044700820884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3509.937074208278</v>
      </c>
      <c r="N23" s="5">
        <f>'Sheet2(F_12)'!$I23*('Sheet6(p_6)'!$L23+'Sheet6(p_6)'!$M23)</f>
        <v>6270.641544290366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85116</v>
      </c>
      <c r="L24" s="5">
        <f>($K24)*Partcipation!$E81*Title_RESULTS!$C$12/100</f>
        <v>3022.129687537399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3545.0364449503613</v>
      </c>
      <c r="N24" s="5">
        <f>'Sheet2(F_12)'!$I24*('Sheet6(p_6)'!$L24+'Sheet6(p_6)'!$M24)</f>
        <v>6567.1661324877605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85116</v>
      </c>
      <c r="L25" s="5">
        <f>($K25)*Partcipation!$E82*Title_RESULTS!$C$12/100</f>
        <v>3176.100390074351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3580.4868093998657</v>
      </c>
      <c r="N25" s="5">
        <f>'Sheet2(F_12)'!$I25*('Sheet6(p_6)'!$L25+'Sheet6(p_6)'!$M25)</f>
        <v>6756.5871994742165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85116</v>
      </c>
      <c r="L26" s="5">
        <f>($K26)*Partcipation!$E83*Title_RESULTS!$C$12/100</f>
        <v>3460.5264916167293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3616.2916774938644</v>
      </c>
      <c r="N26" s="5">
        <f>'Sheet2(F_12)'!$I26*('Sheet6(p_6)'!$L26+'Sheet6(p_6)'!$M26)</f>
        <v>7076.818169110594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85116</v>
      </c>
      <c r="L27" s="5">
        <f>($K27)*Partcipation!$E84*Title_RESULTS!$C$12/100</f>
        <v>3579.8180449409206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3652.4545942688023</v>
      </c>
      <c r="N27" s="5">
        <f>'Sheet2(F_12)'!$I27*('Sheet6(p_6)'!$L27+'Sheet6(p_6)'!$M27)</f>
        <v>7232.272639209723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85116</v>
      </c>
      <c r="L28" s="5">
        <f>($K28)*Partcipation!$E85*Title_RESULTS!$C$12/100</f>
        <v>3835.2418135334924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3688.9791402114906</v>
      </c>
      <c r="N28" s="5">
        <f>'Sheet2(F_12)'!$I28*('Sheet6(p_6)'!$L28+'Sheet6(p_6)'!$M28)</f>
        <v>7524.2209537449835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85116</v>
      </c>
      <c r="L29" s="5">
        <f>($K29)*Partcipation!$E86*Title_RESULTS!$C$12/100</f>
        <v>3915.6874825698637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3725.868931613605</v>
      </c>
      <c r="N29" s="5">
        <f>'Sheet2(F_12)'!$I29*('Sheet6(p_6)'!$L29+'Sheet6(p_6)'!$M29)</f>
        <v>7641.556414183469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85116</v>
      </c>
      <c r="L30" s="5">
        <f>($K30)*Partcipation!$E87*Title_RESULTS!$C$12/100</f>
        <v>4174.29814302632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3763.127620929742</v>
      </c>
      <c r="N30" s="5">
        <f>'Sheet2(F_12)'!$I30*('Sheet6(p_6)'!$L30+'Sheet6(p_6)'!$M30)</f>
        <v>7937.425763956062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85116</v>
      </c>
      <c r="L31" s="5">
        <f>($K31)*Partcipation!$E88*Title_RESULTS!$C$12/100</f>
        <v>4351.9019263562695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3800.7588971390387</v>
      </c>
      <c r="N31" s="5">
        <f>'Sheet2(F_12)'!$I31*('Sheet6(p_6)'!$L31+'Sheet6(p_6)'!$M31)</f>
        <v>8152.660823495308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85116</v>
      </c>
      <c r="L32" s="5">
        <f>($K32)*Partcipation!$E89*Title_RESULTS!$C$12/100</f>
        <v>4498.188663241407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3838.76648611043</v>
      </c>
      <c r="N32" s="5">
        <f>'Sheet2(F_12)'!$I32*('Sheet6(p_6)'!$L32+'Sheet6(p_6)'!$M32)</f>
        <v>8336.955149351837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85116</v>
      </c>
      <c r="L33" s="5">
        <f>($K33)*Partcipation!$E90*Title_RESULTS!$C$12/100</f>
        <v>4750.134199366637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3877.1541509715344</v>
      </c>
      <c r="N33" s="5">
        <f>'Sheet2(F_12)'!$I33*('Sheet6(p_6)'!$L33+'Sheet6(p_6)'!$M33)</f>
        <v>8627.28835033817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384.072</v>
      </c>
      <c r="C35" s="5">
        <f t="shared" si="4"/>
        <v>0</v>
      </c>
      <c r="D35" s="5">
        <f t="shared" si="4"/>
        <v>384.072</v>
      </c>
      <c r="E35" s="5">
        <f t="shared" si="4"/>
        <v>8747.880000000001</v>
      </c>
      <c r="F35" s="5">
        <f t="shared" si="4"/>
        <v>0</v>
      </c>
      <c r="G35" s="5">
        <f t="shared" si="4"/>
        <v>8747.880000000001</v>
      </c>
      <c r="H35" s="5">
        <f t="shared" si="4"/>
        <v>20349.381114919997</v>
      </c>
      <c r="I35" s="5">
        <f t="shared" si="4"/>
        <v>0</v>
      </c>
      <c r="J35" s="5">
        <f t="shared" si="4"/>
        <v>20349.381114919997</v>
      </c>
      <c r="K35" s="5">
        <f t="shared" si="4"/>
        <v>1404414</v>
      </c>
      <c r="L35" s="5">
        <f t="shared" si="4"/>
        <v>54524.22322074003</v>
      </c>
      <c r="M35" s="5">
        <f t="shared" si="4"/>
        <v>59276.39265109689</v>
      </c>
      <c r="N35" s="5">
        <f t="shared" si="4"/>
        <v>113800.61587183691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358.8491576370552</v>
      </c>
      <c r="C37" s="5">
        <f>NPV(Title_RESULTS!$C$37,'Sheet6(p_6)'!C17:C34)+'Sheet6(p_6)'!C16</f>
        <v>0</v>
      </c>
      <c r="D37" s="5">
        <f>NPV(Title_RESULTS!$C$37,'Sheet6(p_6)'!D17:D34)+'Sheet6(p_6)'!D16</f>
        <v>358.8491576370552</v>
      </c>
      <c r="E37" s="5">
        <f>NPV(Title_RESULTS!$C$37,'Sheet6(p_6)'!E17:E34)+'Sheet6(p_6)'!E16</f>
        <v>8182.228447904081</v>
      </c>
      <c r="F37" s="5">
        <f>NPV(Title_RESULTS!$C$37,'Sheet6(p_6)'!F17:F34)+'Sheet6(p_6)'!F16</f>
        <v>0</v>
      </c>
      <c r="G37" s="5">
        <f>NPV(Title_RESULTS!$C$37,'Sheet6(p_6)'!G17:G34)+'Sheet6(p_6)'!G16</f>
        <v>8182.228447904081</v>
      </c>
      <c r="H37" s="5">
        <f>NPV(Title_RESULTS!$C$37,'Sheet6(p_6)'!H17:H34)+'Sheet6(p_6)'!H16</f>
        <v>19013.840026025875</v>
      </c>
      <c r="I37" s="5">
        <f>NPV(Title_RESULTS!$C$37,'Sheet6(p_6)'!I17:I34)+'Sheet6(p_6)'!I16</f>
        <v>0</v>
      </c>
      <c r="J37" s="5">
        <f>NPV(Title_RESULTS!$C$37,'Sheet6(p_6)'!J17:J34)+'Sheet6(p_6)'!J16</f>
        <v>19013.840026025875</v>
      </c>
      <c r="K37" s="5"/>
      <c r="L37" s="5">
        <f>NPV(Title_RESULTS!$C$37,'Sheet6(p_6)'!L17:L34)+'Sheet6(p_6)'!L16</f>
        <v>28165.30089592055</v>
      </c>
      <c r="M37" s="5">
        <f>NPV(Title_RESULTS!$C$37,'Sheet6(p_6)'!M17:M34)+'Sheet6(p_6)'!M16</f>
        <v>32767.716357860554</v>
      </c>
      <c r="N37" s="5">
        <f>NPV(Title_RESULTS!$C$37,'Sheet6(p_6)'!N17:N34)+'Sheet6(p_6)'!N16</f>
        <v>60933.017253781094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HVAC Equipment Upgrades</v>
      </c>
      <c r="M2" t="s">
        <v>55</v>
      </c>
    </row>
    <row r="3" ht="12.75">
      <c r="M3" s="35">
        <f>+Title_RESULTS!I4</f>
        <v>43599.324668402776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6629.48</v>
      </c>
      <c r="E16" s="5">
        <f>IF(A16&gt;=(Title_RESULTS!$H$7+Title_RESULTS!$C$17),0,(+'f-11B'!$N15))</f>
        <v>0</v>
      </c>
      <c r="F16" s="5">
        <f>IF(A16&gt;=(Title_RESULTS!$H$7+Title_RESULTS!$C$17),0,(SUM(B16:E16)))</f>
        <v>6754.48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434.06610463917264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434.06610463917264</v>
      </c>
      <c r="L16" s="23">
        <f>IF(A16&gt;=(Title_RESULTS!$H$7+Title_RESULTS!$C$17),0,(+$K16-$F16))</f>
        <v>-6320.413895360827</v>
      </c>
      <c r="M16" s="23">
        <f>IF(A16&gt;=(Title_RESULTS!$H$7+Title_RESULTS!$C$17),0,(+$L16/(1+Title_RESULTS!$C$37)^('Sheet7(F_23)'!$A16-Title_RESULTS!$H$7)))</f>
        <v>-6320.413895360827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6781.958039999999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6909.958039999999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327.3804271367293</v>
      </c>
      <c r="I17" s="5">
        <f>IF(A17&gt;=(Title_RESULTS!$H$7+Title_RESULTS!$C$17),0,(+'Sheet4(F_22)'!$H17))</f>
        <v>1291.6064240024662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1618.9868511391956</v>
      </c>
      <c r="L17" s="23">
        <f>IF(A17&gt;=(Title_RESULTS!$H$7+Title_RESULTS!$C$17),0,(+$K17-$F17))</f>
        <v>-5290.9711888608035</v>
      </c>
      <c r="M17" s="23">
        <f>IF(A17&gt;=(Title_RESULTS!$H$7+Title_RESULTS!$C$17),0,(+M16+$L17/(1+Title_RESULTS!$C$37)^('Sheet7(F_23)'!$A17-Title_RESULTS!$H$7)))</f>
        <v>-11261.55247292975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6937.943074919998</v>
      </c>
      <c r="E18" s="5">
        <f>IF(A18&gt;=(Title_RESULTS!$H$7+Title_RESULTS!$C$17),0,(+'f-11B'!$N17))</f>
        <v>0</v>
      </c>
      <c r="F18" s="5">
        <f>IF(A18&gt;=(Title_RESULTS!$H$7+Title_RESULTS!$C$17),0,(SUM(B18:E18)))</f>
        <v>7069.015074919998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335.23755738801077</v>
      </c>
      <c r="I18" s="5">
        <f>IF(A18&gt;=(Title_RESULTS!$H$7+Title_RESULTS!$C$17),0,(+'Sheet4(F_22)'!$H18))</f>
        <v>2221.7071331779157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2556.9446905659265</v>
      </c>
      <c r="L18" s="23">
        <f>IF(A18&gt;=(Title_RESULTS!$H$7+Title_RESULTS!$C$17),0,(+$K18-$F18))</f>
        <v>-4512.070384354072</v>
      </c>
      <c r="M18" s="23">
        <f>IF(A18&gt;=(Title_RESULTS!$H$7+Title_RESULTS!$C$17),0,(+M17+$L18/(1+Title_RESULTS!$C$37)^('Sheet7(F_23)'!$A18-Title_RESULTS!$H$7)))</f>
        <v>-15196.682984271465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1040.047915730593</v>
      </c>
      <c r="H19" s="5">
        <f>IF(A19&gt;=(Title_RESULTS!$H$7+Title_RESULTS!$C$17),0,(+'Sheet4(F_22)'!$D19+'Sheet4(F_22)'!$G19))</f>
        <v>343.283258765323</v>
      </c>
      <c r="I19" s="5">
        <f>IF(A19&gt;=(Title_RESULTS!$H$7+Title_RESULTS!$C$17),0,(+'Sheet4(F_22)'!$H19))</f>
        <v>2775.41998776564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4158.751162261557</v>
      </c>
      <c r="L19" s="23">
        <f>IF(A19&gt;=(Title_RESULTS!$H$7+Title_RESULTS!$C$17),0,(+$K19-$F19))</f>
        <v>4158.751162261557</v>
      </c>
      <c r="M19" s="23">
        <f>IF(A19&gt;=(Title_RESULTS!$H$7+Title_RESULTS!$C$17),0,(+M18+$L19/(1+Title_RESULTS!$C$37)^('Sheet7(F_23)'!$A19-Title_RESULTS!$H$7)))</f>
        <v>-11809.506327304607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1067.7805287417818</v>
      </c>
      <c r="H20" s="5">
        <f>IF(A20&gt;=(Title_RESULTS!$H$7+Title_RESULTS!$C$17),0,(+'Sheet4(F_22)'!$D20+'Sheet4(F_22)'!$G20))</f>
        <v>351.52205697569076</v>
      </c>
      <c r="I20" s="5">
        <f>IF(A20&gt;=(Title_RESULTS!$H$7+Title_RESULTS!$C$17),0,(+'Sheet4(F_22)'!$H20))</f>
        <v>2884.4835321028645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4303.786117820337</v>
      </c>
      <c r="L20" s="23">
        <f>IF(A20&gt;=(Title_RESULTS!$H$7+Title_RESULTS!$C$17),0,(+$K20-$F20))</f>
        <v>4303.786117820337</v>
      </c>
      <c r="M20" s="23">
        <f>IF(A20&gt;=(Title_RESULTS!$H$7+Title_RESULTS!$C$17),0,(+M19+$L20/(1+Title_RESULTS!$C$37)^('Sheet7(F_23)'!$A20-Title_RESULTS!$H$7)))</f>
        <v>-8535.96950593649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1098.1201646405902</v>
      </c>
      <c r="H21" s="5">
        <f>IF(A21&gt;=(Title_RESULTS!$H$7+Title_RESULTS!$C$17),0,(+'Sheet4(F_22)'!$D21+'Sheet4(F_22)'!$G21))</f>
        <v>359.9585863431074</v>
      </c>
      <c r="I21" s="5">
        <f>IF(A21&gt;=(Title_RESULTS!$H$7+Title_RESULTS!$C$17),0,(+'Sheet4(F_22)'!$H21))</f>
        <v>3097.0668954588364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4555.145646442534</v>
      </c>
      <c r="L21" s="23">
        <f>IF(A21&gt;=(Title_RESULTS!$H$7+Title_RESULTS!$C$17),0,(+$K21-$F21))</f>
        <v>4555.145646442534</v>
      </c>
      <c r="M21" s="23">
        <f>IF(A21&gt;=(Title_RESULTS!$H$7+Title_RESULTS!$C$17),0,(+M20+$L21/(1+Title_RESULTS!$C$37)^('Sheet7(F_23)'!$A21-Title_RESULTS!$H$7)))</f>
        <v>-5300.327572973167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1132.098968808477</v>
      </c>
      <c r="H22" s="5">
        <f>IF(A22&gt;=(Title_RESULTS!$H$7+Title_RESULTS!$C$17),0,(+'Sheet4(F_22)'!$D22+'Sheet4(F_22)'!$G22))</f>
        <v>368.59759241534186</v>
      </c>
      <c r="I22" s="5">
        <f>IF(A22&gt;=(Title_RESULTS!$H$7+Title_RESULTS!$C$17),0,(+'Sheet4(F_22)'!$H22))</f>
        <v>3196.404153420804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4697.100714644623</v>
      </c>
      <c r="L22" s="23">
        <f>IF(A22&gt;=(Title_RESULTS!$H$7+Title_RESULTS!$C$17),0,(+$K22-$F22))</f>
        <v>4697.100714644623</v>
      </c>
      <c r="M22" s="23">
        <f>IF(A22&gt;=(Title_RESULTS!$H$7+Title_RESULTS!$C$17),0,(+M21+$L22/(1+Title_RESULTS!$C$37)^('Sheet7(F_23)'!$A22-Title_RESULTS!$H$7)))</f>
        <v>-2184.454936382518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1162.5749327977956</v>
      </c>
      <c r="H23" s="5">
        <f>IF(A23&gt;=(Title_RESULTS!$H$7+Title_RESULTS!$C$17),0,(+'Sheet4(F_22)'!$D23+'Sheet4(F_22)'!$G23))</f>
        <v>377.4439346333101</v>
      </c>
      <c r="I23" s="5">
        <f>IF(A23&gt;=(Title_RESULTS!$H$7+Title_RESULTS!$C$17),0,(+'Sheet4(F_22)'!$H23))</f>
        <v>3396.165106544901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4936.183973976007</v>
      </c>
      <c r="L23" s="23">
        <f>IF(A23&gt;=(Title_RESULTS!$H$7+Title_RESULTS!$C$17),0,(+$K23-$F23))</f>
        <v>4936.183973976007</v>
      </c>
      <c r="M23" s="23">
        <f>IF(A23&gt;=(Title_RESULTS!$H$7+Title_RESULTS!$C$17),0,(+M22+$L23/(1+Title_RESULTS!$C$37)^('Sheet7(F_23)'!$A23-Title_RESULTS!$H$7)))</f>
        <v>873.5121035348143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1181.4080123671606</v>
      </c>
      <c r="H24" s="5">
        <f>IF(A24&gt;=(Title_RESULTS!$H$7+Title_RESULTS!$C$17),0,(+'Sheet4(F_22)'!$D24+'Sheet4(F_22)'!$G24))</f>
        <v>386.5025890645096</v>
      </c>
      <c r="I24" s="5">
        <f>IF(A24&gt;=(Title_RESULTS!$H$7+Title_RESULTS!$C$17),0,(+'Sheet4(F_22)'!$H24))</f>
        <v>3763.343672423201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5331.254273854871</v>
      </c>
      <c r="L24" s="23">
        <f>IF(A24&gt;=(Title_RESULTS!$H$7+Title_RESULTS!$C$17),0,(+$K24-$F24))</f>
        <v>5331.254273854871</v>
      </c>
      <c r="M24" s="23">
        <f>IF(A24&gt;=(Title_RESULTS!$H$7+Title_RESULTS!$C$17),0,(+M23+$L24/(1+Title_RESULTS!$C$37)^('Sheet7(F_23)'!$A24-Title_RESULTS!$H$7)))</f>
        <v>3957.853881806588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1213.4989292138796</v>
      </c>
      <c r="H25" s="5">
        <f>IF(A25&gt;=(Title_RESULTS!$H$7+Title_RESULTS!$C$17),0,(+'Sheet4(F_22)'!$D25+'Sheet4(F_22)'!$G25))</f>
        <v>395.77865120205786</v>
      </c>
      <c r="I25" s="5">
        <f>IF(A25&gt;=(Title_RESULTS!$H$7+Title_RESULTS!$C$17),0,(+'Sheet4(F_22)'!$H25))</f>
        <v>4031.9119415062705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5641.189521922208</v>
      </c>
      <c r="L25" s="23">
        <f>IF(A25&gt;=(Title_RESULTS!$H$7+Title_RESULTS!$C$17),0,(+$K25-$F25))</f>
        <v>5641.189521922208</v>
      </c>
      <c r="M25" s="23">
        <f>IF(A25&gt;=(Title_RESULTS!$H$7+Title_RESULTS!$C$17),0,(+M24+$L25/(1+Title_RESULTS!$C$37)^('Sheet7(F_23)'!$A25-Title_RESULTS!$H$7)))</f>
        <v>7005.716784671183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1232.9293503383683</v>
      </c>
      <c r="H26" s="5">
        <f>IF(A26&gt;=(Title_RESULTS!$H$7+Title_RESULTS!$C$17),0,(+'Sheet4(F_22)'!$D26+'Sheet4(F_22)'!$G26))</f>
        <v>405.2773388309072</v>
      </c>
      <c r="I26" s="5">
        <f>IF(A26&gt;=(Title_RESULTS!$H$7+Title_RESULTS!$C$17),0,(+'Sheet4(F_22)'!$H26))</f>
        <v>4503.422269907329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6141.628959076605</v>
      </c>
      <c r="L26" s="23">
        <f>IF(A26&gt;=(Title_RESULTS!$H$7+Title_RESULTS!$C$17),0,(+$K26-$F26))</f>
        <v>6141.628959076605</v>
      </c>
      <c r="M26" s="23">
        <f>IF(A26&gt;=(Title_RESULTS!$H$7+Title_RESULTS!$C$17),0,(+M25+$L26/(1+Title_RESULTS!$C$37)^('Sheet7(F_23)'!$A26-Title_RESULTS!$H$7)))</f>
        <v>10104.562471662166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1275.4896699101332</v>
      </c>
      <c r="H27" s="5">
        <f>IF(A27&gt;=(Title_RESULTS!$H$7+Title_RESULTS!$C$17),0,(+'Sheet4(F_22)'!$D27+'Sheet4(F_22)'!$G27))</f>
        <v>415.003994962849</v>
      </c>
      <c r="I27" s="5">
        <f>IF(A27&gt;=(Title_RESULTS!$H$7+Title_RESULTS!$C$17),0,(+'Sheet4(F_22)'!$H27))</f>
        <v>4486.674737972758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6177.16840284574</v>
      </c>
      <c r="L27" s="23">
        <f>IF(A27&gt;=(Title_RESULTS!$H$7+Title_RESULTS!$C$17),0,(+$K27-$F27))</f>
        <v>6177.16840284574</v>
      </c>
      <c r="M27" s="23">
        <f>IF(A27&gt;=(Title_RESULTS!$H$7+Title_RESULTS!$C$17),0,(+M26+$L27/(1+Title_RESULTS!$C$37)^('Sheet7(F_23)'!$A27-Title_RESULTS!$H$7)))</f>
        <v>13015.262523586693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1302.3794386440268</v>
      </c>
      <c r="H28" s="5">
        <f>IF(A28&gt;=(Title_RESULTS!$H$7+Title_RESULTS!$C$17),0,(+'Sheet4(F_22)'!$D28+'Sheet4(F_22)'!$G28))</f>
        <v>424.9640908419574</v>
      </c>
      <c r="I28" s="5">
        <f>IF(A28&gt;=(Title_RESULTS!$H$7+Title_RESULTS!$C$17),0,(+'Sheet4(F_22)'!$H28))</f>
        <v>4903.520812678208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6630.864342164192</v>
      </c>
      <c r="L28" s="23">
        <f>IF(A28&gt;=(Title_RESULTS!$H$7+Title_RESULTS!$C$17),0,(+$K28-$F28))</f>
        <v>6630.864342164192</v>
      </c>
      <c r="M28" s="23">
        <f>IF(A28&gt;=(Title_RESULTS!$H$7+Title_RESULTS!$C$17),0,(+M27+$L28/(1+Title_RESULTS!$C$37)^('Sheet7(F_23)'!$A28-Title_RESULTS!$H$7)))</f>
        <v>15933.15841698674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1348.8877485827365</v>
      </c>
      <c r="H29" s="5">
        <f>IF(A29&gt;=(Title_RESULTS!$H$7+Title_RESULTS!$C$17),0,(+'Sheet4(F_22)'!$D29+'Sheet4(F_22)'!$G29))</f>
        <v>435.1632290221644</v>
      </c>
      <c r="I29" s="5">
        <f>IF(A29&gt;=(Title_RESULTS!$H$7+Title_RESULTS!$C$17),0,(+'Sheet4(F_22)'!$H29))</f>
        <v>5229.158903146254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7013.209880751155</v>
      </c>
      <c r="L29" s="23">
        <f>IF(A29&gt;=(Title_RESULTS!$H$7+Title_RESULTS!$C$17),0,(+$K29-$F29))</f>
        <v>7013.209880751155</v>
      </c>
      <c r="M29" s="23">
        <f>IF(A29&gt;=(Title_RESULTS!$H$7+Title_RESULTS!$C$17),0,(+M28+$L29/(1+Title_RESULTS!$C$37)^('Sheet7(F_23)'!$A29-Title_RESULTS!$H$7)))</f>
        <v>18815.25229759611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1374.9377014877527</v>
      </c>
      <c r="H30" s="5">
        <f>IF(A30&gt;=(Title_RESULTS!$H$7+Title_RESULTS!$C$17),0,(+'Sheet4(F_22)'!$D30+'Sheet4(F_22)'!$G30))</f>
        <v>445.60714651869625</v>
      </c>
      <c r="I30" s="5">
        <f>IF(A30&gt;=(Title_RESULTS!$H$7+Title_RESULTS!$C$17),0,(+'Sheet4(F_22)'!$H30))</f>
        <v>5472.640412403906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7293.185260410355</v>
      </c>
      <c r="L30" s="23">
        <f>IF(A30&gt;=(Title_RESULTS!$H$7+Title_RESULTS!$C$17),0,(+$K30-$F30))</f>
        <v>7293.185260410355</v>
      </c>
      <c r="M30" s="23">
        <f>IF(A30&gt;=(Title_RESULTS!$H$7+Title_RESULTS!$C$17),0,(+M29+$L30/(1+Title_RESULTS!$C$37)^('Sheet7(F_23)'!$A30-Title_RESULTS!$H$7)))</f>
        <v>21614.23471530252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1415.7797721750637</v>
      </c>
      <c r="H31" s="5">
        <f>IF(A31&gt;=(Title_RESULTS!$H$7+Title_RESULTS!$C$17),0,(+'Sheet4(F_22)'!$D31+'Sheet4(F_22)'!$G31))</f>
        <v>456.30171803514503</v>
      </c>
      <c r="I31" s="5">
        <f>IF(A31&gt;=(Title_RESULTS!$H$7+Title_RESULTS!$C$17),0,(+'Sheet4(F_22)'!$H31))</f>
        <v>6027.276852494069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7899.358342704278</v>
      </c>
      <c r="L31" s="23">
        <f>IF(A31&gt;=(Title_RESULTS!$H$7+Title_RESULTS!$C$17),0,(+$K31-$F31))</f>
        <v>7899.358342704278</v>
      </c>
      <c r="M31" s="23">
        <f>IF(A31&gt;=(Title_RESULTS!$H$7+Title_RESULTS!$C$17),0,(+M30+$L31/(1+Title_RESULTS!$C$37)^('Sheet7(F_23)'!$A31-Title_RESULTS!$H$7)))</f>
        <v>24445.40751813813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1468.7351392421915</v>
      </c>
      <c r="H32" s="5">
        <f>IF(A32&gt;=(Title_RESULTS!$H$7+Title_RESULTS!$C$17),0,(+'Sheet4(F_22)'!$D32+'Sheet4(F_22)'!$G32))</f>
        <v>467.25295926798844</v>
      </c>
      <c r="I32" s="5">
        <f>IF(A32&gt;=(Title_RESULTS!$H$7+Title_RESULTS!$C$17),0,(+'Sheet4(F_22)'!$H32))</f>
        <v>5953.1567589326305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7889.1448574428105</v>
      </c>
      <c r="L32" s="23">
        <f>IF(A32&gt;=(Title_RESULTS!$H$7+Title_RESULTS!$C$17),0,(+$K32-$F32))</f>
        <v>7889.1448574428105</v>
      </c>
      <c r="M32" s="23">
        <f>IF(A32&gt;=(Title_RESULTS!$H$7+Title_RESULTS!$C$17),0,(+M31+$L32/(1+Title_RESULTS!$C$37)^('Sheet7(F_23)'!$A32-Title_RESULTS!$H$7)))</f>
        <v>27085.96806577984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1503.2933608329472</v>
      </c>
      <c r="H33" s="5">
        <f>IF(A33&gt;=(Title_RESULTS!$H$7+Title_RESULTS!$C$17),0,(+'Sheet4(F_22)'!$D33+'Sheet4(F_22)'!$G33))</f>
        <v>478.4670302904202</v>
      </c>
      <c r="I33" s="5">
        <f>IF(A33&gt;=(Title_RESULTS!$H$7+Title_RESULTS!$C$17),0,(+'Sheet4(F_22)'!$H33))</f>
        <v>6353.891306379207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8335.651697502573</v>
      </c>
      <c r="L33" s="23">
        <f>IF(A33&gt;=(Title_RESULTS!$H$7+Title_RESULTS!$C$17),0,(+$K33-$F33))</f>
        <v>8335.651697502573</v>
      </c>
      <c r="M33" s="23">
        <f>IF(A33&gt;=(Title_RESULTS!$H$7+Title_RESULTS!$C$17),0,(+M32+$L33/(1+Title_RESULTS!$C$37)^('Sheet7(F_23)'!$A33-Title_RESULTS!$H$7)))</f>
        <v>29691.505977520897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384.072</v>
      </c>
      <c r="D35" s="5">
        <f t="shared" si="1"/>
        <v>20349.381114919997</v>
      </c>
      <c r="E35" s="5">
        <f t="shared" si="1"/>
        <v>0</v>
      </c>
      <c r="F35" s="5">
        <f t="shared" si="1"/>
        <v>20733.453114919997</v>
      </c>
      <c r="G35" s="5">
        <f t="shared" si="1"/>
        <v>18817.9616335135</v>
      </c>
      <c r="H35" s="5">
        <f t="shared" si="1"/>
        <v>6773.742161694208</v>
      </c>
      <c r="I35" s="5">
        <f t="shared" si="1"/>
        <v>70021.91700495644</v>
      </c>
      <c r="J35" s="5">
        <f t="shared" si="1"/>
        <v>0</v>
      </c>
      <c r="K35" s="5">
        <f t="shared" si="1"/>
        <v>95613.62080016412</v>
      </c>
      <c r="L35" s="5">
        <f t="shared" si="1"/>
        <v>74880.16768524413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358.8491576370552</v>
      </c>
      <c r="D37" s="5">
        <f>NPV(Title_RESULTS!$C$37,'Sheet7(F_23)'!D17:D34)+'Sheet7(F_23)'!D16</f>
        <v>19013.840026025875</v>
      </c>
      <c r="E37" s="5">
        <f>NPV(Title_RESULTS!$C$37,'Sheet7(F_23)'!E17:E34)+'Sheet7(F_23)'!E16</f>
        <v>0</v>
      </c>
      <c r="F37" s="5">
        <f>NPV(Title_RESULTS!$C$37,'Sheet7(F_23)'!F17:F34)+'Sheet7(F_23)'!F16</f>
        <v>19372.68918366293</v>
      </c>
      <c r="G37" s="5">
        <f>NPV(Title_RESULTS!$C$37,'Sheet7(F_23)'!G17:G34)+'Sheet7(F_23)'!G16</f>
        <v>9596.754041171798</v>
      </c>
      <c r="H37" s="5">
        <f>NPV(Title_RESULTS!$C$37,'Sheet7(F_23)'!H17:H34)+'Sheet7(F_23)'!H16</f>
        <v>3722.9265515573643</v>
      </c>
      <c r="I37" s="5">
        <f>NPV(Title_RESULTS!$C$37,'Sheet7(F_23)'!I17:I34)+'Sheet7(F_23)'!I16</f>
        <v>35744.51456845467</v>
      </c>
      <c r="J37" s="5">
        <f>NPV(Title_RESULTS!$C$37,'Sheet7(F_23)'!J17:J34)+'Sheet7(F_23)'!J16</f>
        <v>0</v>
      </c>
      <c r="K37" s="5">
        <f>NPV(Title_RESULTS!$C$37,'Sheet7(F_23)'!K17:K34)+'Sheet7(F_23)'!K16</f>
        <v>49064.195161183845</v>
      </c>
      <c r="L37" s="5">
        <f>NPV(Title_RESULTS!$C$37,'Sheet7(F_23)'!L17:L34)+'Sheet7(F_23)'!L16</f>
        <v>29691.505977520894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2.5326476203706343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HVAC Equipment Upgrades</v>
      </c>
      <c r="L2" t="s">
        <v>55</v>
      </c>
    </row>
    <row r="3" ht="12.75">
      <c r="L3" s="35">
        <f>+Title_RESULTS!I4</f>
        <v>43599.324668402776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891.00441514594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2915.96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3806.96441514594</v>
      </c>
      <c r="G16" s="5">
        <f>IF(A16&gt;=(Title_RESULTS!$H$7+Title_RESULTS!$C$17),0,(+'Sheet6(p_6)'!$H16))</f>
        <v>6629.48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6629.48</v>
      </c>
      <c r="K16" s="23">
        <f>IF(A16&gt;=(Title_RESULTS!$H$7+Title_RESULTS!$C$17),0,(+F16-J16))</f>
        <v>-2822.5155848540594</v>
      </c>
      <c r="L16" s="23">
        <f>IF(A16&gt;=(Title_RESULTS!$H$7+Title_RESULTS!$C$17),0,(+$K16/((1+Title_RESULTS!$C$37)^('Sheet8(F_24)'!$A16-Title_RESULTS!$H$7))))</f>
        <v>-2822.5155848540594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2738.6948287555115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2915.96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5654.6548287555115</v>
      </c>
      <c r="G17" s="5">
        <f>IF(A17&gt;=(Title_RESULTS!$H$7+Title_RESULTS!$C$17),0,(+'Sheet6(p_6)'!$H17))</f>
        <v>6781.958039999999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6781.958039999999</v>
      </c>
      <c r="K17" s="23">
        <f>IF(A17&gt;=(Title_RESULTS!$H$7+Title_RESULTS!$C$17),0,(+F17-J17))</f>
        <v>-1127.303211244487</v>
      </c>
      <c r="L17" s="23">
        <f>IF(A16&gt;=(Title_RESULTS!$H$7+Title_RESULTS!$C$17),0,(+$K17/((1+Title_RESULTS!$C$37)^('Sheet8(F_24)'!$A17-Title_RESULTS!$H$7))+L16))</f>
        <v>-3875.282872157465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4658.683081099724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2915.96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7574.643081099724</v>
      </c>
      <c r="G18" s="5">
        <f>IF(A18&gt;=(Title_RESULTS!$H$7+Title_RESULTS!$C$17),0,(+'Sheet6(p_6)'!$H18))</f>
        <v>6937.943074919998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6937.943074919998</v>
      </c>
      <c r="K18" s="23">
        <f>IF(A18&gt;=(Title_RESULTS!$H$7+Title_RESULTS!$C$17),0,(+F18-J18))</f>
        <v>636.7000061797262</v>
      </c>
      <c r="L18" s="23">
        <f>IF(A17&gt;=(Title_RESULTS!$H$7+Title_RESULTS!$C$17),0,(+$K18/((1+Title_RESULTS!$C$37)^('Sheet8(F_24)'!$A18-Title_RESULTS!$H$7))+L17))</f>
        <v>-3319.9950757664133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5605.364575297069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5605.364575297069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5605.364575297069</v>
      </c>
      <c r="L19" s="23">
        <f>IF(A18&gt;=(Title_RESULTS!$H$7+Title_RESULTS!$C$17),0,(+$K19/((1+Title_RESULTS!$C$37)^('Sheet8(F_24)'!$A19-Title_RESULTS!$H$7))+L18))</f>
        <v>1245.4043199767716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5765.714608411154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5765.714608411154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5765.714608411154</v>
      </c>
      <c r="L20" s="23">
        <f>IF(A19&gt;=(Title_RESULTS!$H$7+Title_RESULTS!$C$17),0,(+$K20/((1+Title_RESULTS!$C$37)^('Sheet8(F_24)'!$A20-Title_RESULTS!$H$7))+L19))</f>
        <v>5630.910140998587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5935.185435508591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5935.185435508591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5935.185435508591</v>
      </c>
      <c r="L21" s="23">
        <f>IF(A20&gt;=(Title_RESULTS!$H$7+Title_RESULTS!$C$17),0,(+$K21/((1+Title_RESULTS!$C$37)^('Sheet8(F_24)'!$A21-Title_RESULTS!$H$7))+L20))</f>
        <v>9846.831291630242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6082.375787976435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6082.375787976435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6082.375787976435</v>
      </c>
      <c r="L22" s="23">
        <f>IF(A21&gt;=(Title_RESULTS!$H$7+Title_RESULTS!$C$17),0,(+$K22/((1+Title_RESULTS!$C$37)^('Sheet8(F_24)'!$A22-Title_RESULTS!$H$7))+L21))</f>
        <v>13881.641152983437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6270.641544290366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6270.641544290366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6270.641544290366</v>
      </c>
      <c r="L23" s="23">
        <f>IF(A22&gt;=(Title_RESULTS!$H$7+Title_RESULTS!$C$17),0,(+$K23/((1+Title_RESULTS!$C$37)^('Sheet8(F_24)'!$A23-Title_RESULTS!$H$7))+L22))</f>
        <v>17766.304946446307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6567.1661324877605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6567.1661324877605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6567.1661324877605</v>
      </c>
      <c r="L24" s="23">
        <f>IF(A23&gt;=(Title_RESULTS!$H$7+Title_RESULTS!$C$17),0,(+$K24/((1+Title_RESULTS!$C$37)^('Sheet8(F_24)'!$A24-Title_RESULTS!$H$7))+L23))</f>
        <v>21565.670691692856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6756.5871994742165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6756.5871994742165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6756.5871994742165</v>
      </c>
      <c r="L25" s="23">
        <f>IF(A24&gt;=(Title_RESULTS!$H$7+Title_RESULTS!$C$17),0,(+$K25/((1+Title_RESULTS!$C$37)^('Sheet8(F_24)'!$A25-Title_RESULTS!$H$7))+L24))</f>
        <v>25216.168763991307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7076.818169110594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7076.818169110594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7076.818169110594</v>
      </c>
      <c r="L26" s="23">
        <f>IF(A25&gt;=(Title_RESULTS!$H$7+Title_RESULTS!$C$17),0,(+$K26/((1+Title_RESULTS!$C$37)^('Sheet8(F_24)'!$A26-Title_RESULTS!$H$7))+L25))</f>
        <v>28786.87738333209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7232.272639209723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7232.272639209723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7232.272639209723</v>
      </c>
      <c r="L27" s="23">
        <f>IF(A26&gt;=(Title_RESULTS!$H$7+Title_RESULTS!$C$17),0,(+$K27/((1+Title_RESULTS!$C$37)^('Sheet8(F_24)'!$A27-Title_RESULTS!$H$7))+L26))</f>
        <v>32194.74567728732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7524.2209537449835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7524.2209537449835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7524.2209537449835</v>
      </c>
      <c r="L28" s="23">
        <f>IF(A27&gt;=(Title_RESULTS!$H$7+Title_RESULTS!$C$17),0,(+$K28/((1+Title_RESULTS!$C$37)^('Sheet8(F_24)'!$A28-Title_RESULTS!$H$7))+L27))</f>
        <v>35505.76099732045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7641.556414183469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7641.556414183469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7641.556414183469</v>
      </c>
      <c r="L29" s="23">
        <f>IF(A28&gt;=(Title_RESULTS!$H$7+Title_RESULTS!$C$17),0,(+$K29/((1+Title_RESULTS!$C$37)^('Sheet8(F_24)'!$A29-Title_RESULTS!$H$7))+L28))</f>
        <v>38646.07525486134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7937.425763956062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7937.425763956062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7937.425763956062</v>
      </c>
      <c r="L30" s="23">
        <f>IF(A29&gt;=(Title_RESULTS!$H$7+Title_RESULTS!$C$17),0,(+$K30/((1+Title_RESULTS!$C$37)^('Sheet8(F_24)'!$A30-Title_RESULTS!$H$7))+L29))</f>
        <v>41692.30462678776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8152.660823495308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8152.660823495308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8152.660823495308</v>
      </c>
      <c r="L31" s="23">
        <f>IF(A30&gt;=(Title_RESULTS!$H$7+Title_RESULTS!$C$17),0,(+$K31/((1+Title_RESULTS!$C$37)^('Sheet8(F_24)'!$A31-Title_RESULTS!$H$7))+L30))</f>
        <v>44614.262410300784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8336.955149351837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8336.955149351837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8336.955149351837</v>
      </c>
      <c r="L32" s="23">
        <f>IF(A31&gt;=(Title_RESULTS!$H$7+Title_RESULTS!$C$17),0,(+$K32/((1+Title_RESULTS!$C$37)^('Sheet8(F_24)'!$A32-Title_RESULTS!$H$7))+L31))</f>
        <v>47404.70868206218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8627.28835033817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8627.28835033817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8627.28835033817</v>
      </c>
      <c r="L33" s="23">
        <f>IF(A32&gt;=(Title_RESULTS!$H$7+Title_RESULTS!$C$17),0,(+$K33/((1+Title_RESULTS!$C$37)^('Sheet8(F_24)'!$A33-Title_RESULTS!$H$7))+L32))</f>
        <v>50101.40567565931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113800.61587183691</v>
      </c>
      <c r="C35" s="5">
        <f t="shared" si="1"/>
        <v>0</v>
      </c>
      <c r="D35" s="5">
        <f t="shared" si="1"/>
        <v>8747.880000000001</v>
      </c>
      <c r="E35" s="5">
        <f t="shared" si="1"/>
        <v>0</v>
      </c>
      <c r="F35" s="5">
        <f t="shared" si="1"/>
        <v>122548.49587183692</v>
      </c>
      <c r="G35" s="5">
        <f t="shared" si="1"/>
        <v>20349.381114919997</v>
      </c>
      <c r="H35" s="5">
        <f t="shared" si="1"/>
        <v>0</v>
      </c>
      <c r="I35" s="5">
        <f t="shared" si="1"/>
        <v>0</v>
      </c>
      <c r="J35" s="5">
        <f t="shared" si="1"/>
        <v>20349.381114919997</v>
      </c>
      <c r="K35" s="5">
        <f t="shared" si="1"/>
        <v>102199.11475691693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60933.017253781094</v>
      </c>
      <c r="C37" s="5">
        <f>NPV(Title_RESULTS!$C$37,'Sheet8(F_24)'!C17:C34)+'Sheet8(F_24)'!C16</f>
        <v>0</v>
      </c>
      <c r="D37" s="5">
        <f>NPV(Title_RESULTS!$C$37,'Sheet8(F_24)'!D17:D34)+'Sheet8(F_24)'!D16</f>
        <v>8182.228447904081</v>
      </c>
      <c r="E37" s="5">
        <f>NPV(Title_RESULTS!$C$37,'Sheet8(F_24)'!E17:E34)+'Sheet8(F_24)'!E16</f>
        <v>0</v>
      </c>
      <c r="F37" s="5">
        <f>NPV(Title_RESULTS!$C$37,'Sheet8(F_24)'!F17:F34)+'Sheet8(F_24)'!F16</f>
        <v>69115.24570168518</v>
      </c>
      <c r="G37" s="5">
        <f>NPV(Title_RESULTS!$C$37,'Sheet8(F_24)'!G17:G34)+'Sheet8(F_24)'!G16</f>
        <v>19013.840026025875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19013.840026025875</v>
      </c>
      <c r="K37" s="5">
        <f>NPV(Title_RESULTS!$C$37,'Sheet8(F_24)'!K17:K34)+'Sheet8(F_24)'!K16</f>
        <v>50101.405675659305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3.6349966975151373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HVAC Equipment Upgrades</v>
      </c>
      <c r="N2" t="s">
        <v>55</v>
      </c>
    </row>
    <row r="3" ht="12.75">
      <c r="N3" s="35">
        <f>+Title_RESULTS!I4</f>
        <v>43599.324668402776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2915.96</v>
      </c>
      <c r="E16" s="5">
        <f>+'Sheet6(p_6)'!M16</f>
        <v>545.6302800000001</v>
      </c>
      <c r="F16">
        <f>IF(A16&gt;=(Title_RESULTS!$H$7+Title_RESULTS!$C$17),0,(+'f-11B'!$R15))</f>
        <v>0</v>
      </c>
      <c r="G16" s="5">
        <f>IF(A16&gt;=(Title_RESULTS!$H$7+Title_RESULTS!$C$17),0,(SUM(B16:F16)))</f>
        <v>3586.5902800000003</v>
      </c>
      <c r="H16" s="5">
        <f>IF(A16&gt;=(Title_RESULTS!$H$7+Title_RESULTS!$C$17),0,(+'Sheet3(F_21)'!$J16+'Sheet4(F_22)'!$H16))</f>
        <v>434.06610463917264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434.06610463917264</v>
      </c>
      <c r="M16" s="23">
        <f>IF(A16&gt;=(Title_RESULTS!$H$7+Title_RESULTS!$C$17),0,(+L16-G16))</f>
        <v>-3152.524175360828</v>
      </c>
      <c r="N16" s="24">
        <f>IF(A16&gt;=(Title_RESULTS!$H$7+Title_RESULTS!$C$17),0,(+$M16/((1+Title_RESULTS!$C$37)^('Sheet9(F_25)'!$A16-Title_RESULTS!$H$7))))</f>
        <v>-3152.524175360828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2915.96</v>
      </c>
      <c r="E17" s="5">
        <f>+'Sheet6(p_6)'!M17</f>
        <v>1653.2597483999998</v>
      </c>
      <c r="F17">
        <f>IF(A17&gt;=(Title_RESULTS!$H$7+Title_RESULTS!$C$17),0,(+'f-11B'!$R16))</f>
        <v>0</v>
      </c>
      <c r="G17" s="5">
        <f>IF(A17&gt;=(Title_RESULTS!$H$7+Title_RESULTS!$C$17),0,(SUM(B17:F17)))</f>
        <v>4697.2197484</v>
      </c>
      <c r="H17" s="5">
        <f>IF(A17&gt;=(Title_RESULTS!$H$7+Title_RESULTS!$C$17),0,(+'Sheet3(F_21)'!$J17+'Sheet4(F_22)'!$H17))</f>
        <v>1291.6064240024662</v>
      </c>
      <c r="I17" s="5">
        <f>IF(A17&gt;=(Title_RESULTS!$H$7+Title_RESULTS!$C$17),0,(+'Sheet4(F_22)'!$D17+'Sheet4(F_22)'!$G17))</f>
        <v>327.3804271367293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1618.9868511391956</v>
      </c>
      <c r="M17" s="23">
        <f>IF(A17&gt;=(Title_RESULTS!$H$7+Title_RESULTS!$C$17),0,(+L17-G17))</f>
        <v>-3078.2328972608043</v>
      </c>
      <c r="N17" s="24">
        <f>(IF(A16&gt;=(Title_RESULTS!$H$7+Title_RESULTS!$C$17),0,(+$M17/((1+Title_RESULTS!$C$37)^('Sheet9(F_25)'!$A17-Title_RESULTS!$H$7))+N16)))</f>
        <v>-6027.228039070955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2915.96</v>
      </c>
      <c r="E18" s="5">
        <f>+'Sheet6(p_6)'!M18</f>
        <v>2782.98724314</v>
      </c>
      <c r="F18">
        <f>IF(A18&gt;=(Title_RESULTS!$H$7+Title_RESULTS!$C$17),0,(+'f-11B'!$R17))</f>
        <v>0</v>
      </c>
      <c r="G18" s="5">
        <f>IF(A18&gt;=(Title_RESULTS!$H$7+Title_RESULTS!$C$17),0,(SUM(B18:F18)))</f>
        <v>5830.01924314</v>
      </c>
      <c r="H18" s="5">
        <f>IF(A18&gt;=(Title_RESULTS!$H$7+Title_RESULTS!$C$17),0,(+'Sheet3(F_21)'!$J18+'Sheet4(F_22)'!$H18))</f>
        <v>2221.7071331779157</v>
      </c>
      <c r="I18" s="5">
        <f>IF(A18&gt;=(Title_RESULTS!$H$7+Title_RESULTS!$C$17),0,(+'Sheet4(F_22)'!$D18+'Sheet4(F_22)'!$G18))</f>
        <v>335.23755738801077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2556.9446905659265</v>
      </c>
      <c r="M18" s="23">
        <f>IF(A18&gt;=(Title_RESULTS!$H$7+Title_RESULTS!$C$17),0,(+L18-G18))</f>
        <v>-3273.0745525740736</v>
      </c>
      <c r="N18" s="24">
        <f>(IF(A17&gt;=(Title_RESULTS!$H$7+Title_RESULTS!$C$17),0,(+$M18/((1+Title_RESULTS!$C$37)^('Sheet9(F_25)'!$A18-Title_RESULTS!$H$7))+N17)))</f>
        <v>-8881.7880172115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3372.9805386856797</v>
      </c>
      <c r="F19">
        <f>IF(A19&gt;=(Title_RESULTS!$H$7+Title_RESULTS!$C$17),0,(+'f-11B'!$R18))</f>
        <v>0</v>
      </c>
      <c r="G19" s="5">
        <f>IF(A19&gt;=(Title_RESULTS!$H$7+Title_RESULTS!$C$17),0,(SUM(B19:F19)))</f>
        <v>3372.9805386856797</v>
      </c>
      <c r="H19" s="5">
        <f>IF(A19&gt;=(Title_RESULTS!$H$7+Title_RESULTS!$C$17),0,(+'Sheet3(F_21)'!$J19+'Sheet4(F_22)'!$H19))</f>
        <v>3815.4679034962332</v>
      </c>
      <c r="I19" s="5">
        <f>IF(A19&gt;=(Title_RESULTS!$H$7+Title_RESULTS!$C$17),0,(+'Sheet4(F_22)'!$D19+'Sheet4(F_22)'!$G19))</f>
        <v>343.283258765323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4158.751162261557</v>
      </c>
      <c r="M19" s="23">
        <f>IF(A19&gt;=(Title_RESULTS!$H$7+Title_RESULTS!$C$17),0,(+L19-G19))</f>
        <v>785.7706235758769</v>
      </c>
      <c r="N19" s="24">
        <f>(IF(A18&gt;=(Title_RESULTS!$H$7+Title_RESULTS!$C$17),0,(+$M19/((1+Title_RESULTS!$C$37)^('Sheet9(F_25)'!$A19-Title_RESULTS!$H$7))+N18)))</f>
        <v>-8241.80168235728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3406.710344072537</v>
      </c>
      <c r="F20">
        <f>IF(A20&gt;=(Title_RESULTS!$H$7+Title_RESULTS!$C$17),0,(+'f-11B'!$R19))</f>
        <v>0</v>
      </c>
      <c r="G20" s="5">
        <f>IF(A20&gt;=(Title_RESULTS!$H$7+Title_RESULTS!$C$17),0,(SUM(B20:F20)))</f>
        <v>3406.710344072537</v>
      </c>
      <c r="H20" s="5">
        <f>IF(A20&gt;=(Title_RESULTS!$H$7+Title_RESULTS!$C$17),0,(+'Sheet3(F_21)'!$J20+'Sheet4(F_22)'!$H20))</f>
        <v>3952.2640608446463</v>
      </c>
      <c r="I20" s="5">
        <f>IF(A20&gt;=(Title_RESULTS!$H$7+Title_RESULTS!$C$17),0,(+'Sheet4(F_22)'!$D20+'Sheet4(F_22)'!$G20))</f>
        <v>351.52205697569076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4303.7861178203375</v>
      </c>
      <c r="M20" s="23">
        <f>IF(A20&gt;=(Title_RESULTS!$H$7+Title_RESULTS!$C$17),0,(+L20-G20))</f>
        <v>897.0757737478007</v>
      </c>
      <c r="N20" s="24">
        <f>(IF(A19&gt;=(Title_RESULTS!$H$7+Title_RESULTS!$C$17),0,(+$M20/((1+Title_RESULTS!$C$37)^('Sheet9(F_25)'!$A20-Title_RESULTS!$H$7))+N19)))</f>
        <v>-7559.469778185431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3440.777447513262</v>
      </c>
      <c r="F21">
        <f>IF(A21&gt;=(Title_RESULTS!$H$7+Title_RESULTS!$C$17),0,(+'f-11B'!$R20))</f>
        <v>0</v>
      </c>
      <c r="G21" s="5">
        <f>IF(A21&gt;=(Title_RESULTS!$H$7+Title_RESULTS!$C$17),0,(SUM(B21:F21)))</f>
        <v>3440.777447513262</v>
      </c>
      <c r="H21" s="5">
        <f>IF(A21&gt;=(Title_RESULTS!$H$7+Title_RESULTS!$C$17),0,(+'Sheet3(F_21)'!$J21+'Sheet4(F_22)'!$H21))</f>
        <v>4195.187060099426</v>
      </c>
      <c r="I21" s="5">
        <f>IF(A21&gt;=(Title_RESULTS!$H$7+Title_RESULTS!$C$17),0,(+'Sheet4(F_22)'!$D21+'Sheet4(F_22)'!$G21))</f>
        <v>359.9585863431074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4555.145646442534</v>
      </c>
      <c r="M21" s="23">
        <f>IF(A21&gt;=(Title_RESULTS!$H$7+Title_RESULTS!$C$17),0,(+L21-G21))</f>
        <v>1114.3681989292718</v>
      </c>
      <c r="N21" s="24">
        <f>(IF(A20&gt;=(Title_RESULTS!$H$7+Title_RESULTS!$C$17),0,(+$M21/((1+Title_RESULTS!$C$37)^('Sheet9(F_25)'!$A21-Title_RESULTS!$H$7))+N20)))</f>
        <v>-6767.904205297035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3475.185221988395</v>
      </c>
      <c r="F22">
        <f>IF(A22&gt;=(Title_RESULTS!$H$7+Title_RESULTS!$C$17),0,(+'f-11B'!$R21))</f>
        <v>0</v>
      </c>
      <c r="G22" s="5">
        <f>IF(A22&gt;=(Title_RESULTS!$H$7+Title_RESULTS!$C$17),0,(SUM(B22:F22)))</f>
        <v>3475.185221988395</v>
      </c>
      <c r="H22" s="5">
        <f>IF(A22&gt;=(Title_RESULTS!$H$7+Title_RESULTS!$C$17),0,(+'Sheet3(F_21)'!$J22+'Sheet4(F_22)'!$H22))</f>
        <v>4328.503122229281</v>
      </c>
      <c r="I22" s="5">
        <f>IF(A22&gt;=(Title_RESULTS!$H$7+Title_RESULTS!$C$17),0,(+'Sheet4(F_22)'!$D22+'Sheet4(F_22)'!$G22))</f>
        <v>368.59759241534186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4697.100714644623</v>
      </c>
      <c r="M22" s="23">
        <f>IF(A22&gt;=(Title_RESULTS!$H$7+Title_RESULTS!$C$17),0,(+L22-G22))</f>
        <v>1221.9154926562278</v>
      </c>
      <c r="N22" s="24">
        <f>(IF(A21&gt;=(Title_RESULTS!$H$7+Title_RESULTS!$C$17),0,(+$M22/((1+Title_RESULTS!$C$37)^('Sheet9(F_25)'!$A22-Title_RESULTS!$H$7))+N21)))</f>
        <v>-5957.333327835708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3509.937074208278</v>
      </c>
      <c r="F23">
        <f>IF(A23&gt;=(Title_RESULTS!$H$7+Title_RESULTS!$C$17),0,(+'f-11B'!$R22))</f>
        <v>0</v>
      </c>
      <c r="G23" s="5">
        <f>IF(A23&gt;=(Title_RESULTS!$H$7+Title_RESULTS!$C$17),0,(SUM(B23:F23)))</f>
        <v>3509.937074208278</v>
      </c>
      <c r="H23" s="5">
        <f>IF(A23&gt;=(Title_RESULTS!$H$7+Title_RESULTS!$C$17),0,(+'Sheet3(F_21)'!$J23+'Sheet4(F_22)'!$H23))</f>
        <v>4558.740039342696</v>
      </c>
      <c r="I23" s="5">
        <f>IF(A23&gt;=(Title_RESULTS!$H$7+Title_RESULTS!$C$17),0,(+'Sheet4(F_22)'!$D23+'Sheet4(F_22)'!$G23))</f>
        <v>377.4439346333101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4936.183973976006</v>
      </c>
      <c r="M23" s="23">
        <f>IF(A23&gt;=(Title_RESULTS!$H$7+Title_RESULTS!$C$17),0,(+L23-G23))</f>
        <v>1426.2468997677283</v>
      </c>
      <c r="N23" s="24">
        <f>(IF(A22&gt;=(Title_RESULTS!$H$7+Title_RESULTS!$C$17),0,(+$M23/((1+Title_RESULTS!$C$37)^('Sheet9(F_25)'!$A23-Title_RESULTS!$H$7))+N22)))</f>
        <v>-5073.773064833405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3545.0364449503613</v>
      </c>
      <c r="F24">
        <f>IF(A24&gt;=(Title_RESULTS!$H$7+Title_RESULTS!$C$17),0,(+'f-11B'!$R23))</f>
        <v>0</v>
      </c>
      <c r="G24" s="5">
        <f>IF(A24&gt;=(Title_RESULTS!$H$7+Title_RESULTS!$C$17),0,(SUM(B24:F24)))</f>
        <v>3545.0364449503613</v>
      </c>
      <c r="H24" s="5">
        <f>IF(A24&gt;=(Title_RESULTS!$H$7+Title_RESULTS!$C$17),0,(+'Sheet3(F_21)'!$J24+'Sheet4(F_22)'!$H24))</f>
        <v>4944.751684790362</v>
      </c>
      <c r="I24" s="5">
        <f>IF(A24&gt;=(Title_RESULTS!$H$7+Title_RESULTS!$C$17),0,(+'Sheet4(F_22)'!$D24+'Sheet4(F_22)'!$G24))</f>
        <v>386.5025890645096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5331.254273854871</v>
      </c>
      <c r="M24" s="23">
        <f>IF(A24&gt;=(Title_RESULTS!$H$7+Title_RESULTS!$C$17),0,(+L24-G24))</f>
        <v>1786.2178289045096</v>
      </c>
      <c r="N24" s="24">
        <f>(IF(A23&gt;=(Title_RESULTS!$H$7+Title_RESULTS!$C$17),0,(+$M24/((1+Title_RESULTS!$C$37)^('Sheet9(F_25)'!$A24-Title_RESULTS!$H$7))+N23)))</f>
        <v>-4040.3752954187294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3580.4868093998657</v>
      </c>
      <c r="F25">
        <f>IF(A25&gt;=(Title_RESULTS!$H$7+Title_RESULTS!$C$17),0,(+'f-11B'!$R24))</f>
        <v>0</v>
      </c>
      <c r="G25" s="5">
        <f>IF(A25&gt;=(Title_RESULTS!$H$7+Title_RESULTS!$C$17),0,(SUM(B25:F25)))</f>
        <v>3580.4868093998657</v>
      </c>
      <c r="H25" s="5">
        <f>IF(A25&gt;=(Title_RESULTS!$H$7+Title_RESULTS!$C$17),0,(+'Sheet3(F_21)'!$J25+'Sheet4(F_22)'!$H25))</f>
        <v>5245.41087072015</v>
      </c>
      <c r="I25" s="5">
        <f>IF(A25&gt;=(Title_RESULTS!$H$7+Title_RESULTS!$C$17),0,(+'Sheet4(F_22)'!$D25+'Sheet4(F_22)'!$G25))</f>
        <v>395.77865120205786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5641.189521922208</v>
      </c>
      <c r="M25" s="23">
        <f>IF(A25&gt;=(Title_RESULTS!$H$7+Title_RESULTS!$C$17),0,(+L25-G25))</f>
        <v>2060.702712522342</v>
      </c>
      <c r="N25" s="24">
        <f>(IF(A24&gt;=(Title_RESULTS!$H$7+Title_RESULTS!$C$17),0,(+$M25/((1+Title_RESULTS!$C$37)^('Sheet9(F_25)'!$A25-Title_RESULTS!$H$7))+N24)))</f>
        <v>-2927.0038465564407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3616.2916774938644</v>
      </c>
      <c r="F26">
        <f>IF(A26&gt;=(Title_RESULTS!$H$7+Title_RESULTS!$C$17),0,(+'f-11B'!$R25))</f>
        <v>0</v>
      </c>
      <c r="G26" s="5">
        <f>IF(A26&gt;=(Title_RESULTS!$H$7+Title_RESULTS!$C$17),0,(SUM(B26:F26)))</f>
        <v>3616.2916774938644</v>
      </c>
      <c r="H26" s="5">
        <f>IF(A26&gt;=(Title_RESULTS!$H$7+Title_RESULTS!$C$17),0,(+'Sheet3(F_21)'!$J26+'Sheet4(F_22)'!$H26))</f>
        <v>5736.351620245698</v>
      </c>
      <c r="I26" s="5">
        <f>IF(A26&gt;=(Title_RESULTS!$H$7+Title_RESULTS!$C$17),0,(+'Sheet4(F_22)'!$D26+'Sheet4(F_22)'!$G26))</f>
        <v>405.2773388309072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6141.628959076605</v>
      </c>
      <c r="M26" s="23">
        <f>IF(A26&gt;=(Title_RESULTS!$H$7+Title_RESULTS!$C$17),0,(+L26-G26))</f>
        <v>2525.33728158274</v>
      </c>
      <c r="N26" s="24">
        <f>(IF(A25&gt;=(Title_RESULTS!$H$7+Title_RESULTS!$C$17),0,(+$M26/((1+Title_RESULTS!$C$37)^('Sheet9(F_25)'!$A26-Title_RESULTS!$H$7))+N25)))</f>
        <v>-1652.8092321675583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3652.4545942688023</v>
      </c>
      <c r="F27">
        <f>IF(A27&gt;=(Title_RESULTS!$H$7+Title_RESULTS!$C$17),0,(+'f-11B'!$R26))</f>
        <v>0</v>
      </c>
      <c r="G27" s="5">
        <f>IF(A27&gt;=(Title_RESULTS!$H$7+Title_RESULTS!$C$17),0,(SUM(B27:F27)))</f>
        <v>3652.4545942688023</v>
      </c>
      <c r="H27" s="5">
        <f>IF(A27&gt;=(Title_RESULTS!$H$7+Title_RESULTS!$C$17),0,(+'Sheet3(F_21)'!$J27+'Sheet4(F_22)'!$H27))</f>
        <v>5762.16440788289</v>
      </c>
      <c r="I27" s="5">
        <f>IF(A27&gt;=(Title_RESULTS!$H$7+Title_RESULTS!$C$17),0,(+'Sheet4(F_22)'!$D27+'Sheet4(F_22)'!$G27))</f>
        <v>415.003994962849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6177.168402845739</v>
      </c>
      <c r="M27" s="23">
        <f>IF(A27&gt;=(Title_RESULTS!$H$7+Title_RESULTS!$C$17),0,(+L27-G27))</f>
        <v>2524.713808576937</v>
      </c>
      <c r="N27" s="24">
        <f>(IF(A26&gt;=(Title_RESULTS!$H$7+Title_RESULTS!$C$17),0,(+$M27/((1+Title_RESULTS!$C$37)^('Sheet9(F_25)'!$A27-Title_RESULTS!$H$7))+N26)))</f>
        <v>-463.156605838961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3688.9791402114906</v>
      </c>
      <c r="F28">
        <f>IF(A28&gt;=(Title_RESULTS!$H$7+Title_RESULTS!$C$17),0,(+'f-11B'!$R27))</f>
        <v>0</v>
      </c>
      <c r="G28" s="5">
        <f>IF(A28&gt;=(Title_RESULTS!$H$7+Title_RESULTS!$C$17),0,(SUM(B28:F28)))</f>
        <v>3688.9791402114906</v>
      </c>
      <c r="H28" s="5">
        <f>IF(A28&gt;=(Title_RESULTS!$H$7+Title_RESULTS!$C$17),0,(+'Sheet3(F_21)'!$J28+'Sheet4(F_22)'!$H28))</f>
        <v>6205.900251322235</v>
      </c>
      <c r="I28" s="5">
        <f>IF(A28&gt;=(Title_RESULTS!$H$7+Title_RESULTS!$C$17),0,(+'Sheet4(F_22)'!$D28+'Sheet4(F_22)'!$G28))</f>
        <v>424.9640908419574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6630.864342164192</v>
      </c>
      <c r="M28" s="23">
        <f>IF(A28&gt;=(Title_RESULTS!$H$7+Title_RESULTS!$C$17),0,(+L28-G28))</f>
        <v>2941.885201952701</v>
      </c>
      <c r="N28" s="24">
        <f>(IF(A27&gt;=(Title_RESULTS!$H$7+Title_RESULTS!$C$17),0,(+$M28/((1+Title_RESULTS!$C$37)^('Sheet9(F_25)'!$A28-Title_RESULTS!$H$7))+N27)))</f>
        <v>831.4128962164016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3725.868931613605</v>
      </c>
      <c r="F29">
        <f>IF(A29&gt;=(Title_RESULTS!$H$7+Title_RESULTS!$C$17),0,(+'f-11B'!$R28))</f>
        <v>0</v>
      </c>
      <c r="G29" s="5">
        <f>IF(A29&gt;=(Title_RESULTS!$H$7+Title_RESULTS!$C$17),0,(SUM(B29:F29)))</f>
        <v>3725.868931613605</v>
      </c>
      <c r="H29" s="5">
        <f>IF(A29&gt;=(Title_RESULTS!$H$7+Title_RESULTS!$C$17),0,(+'Sheet3(F_21)'!$J29+'Sheet4(F_22)'!$H29))</f>
        <v>6578.04665172899</v>
      </c>
      <c r="I29" s="5">
        <f>IF(A29&gt;=(Title_RESULTS!$H$7+Title_RESULTS!$C$17),0,(+'Sheet4(F_22)'!$D29+'Sheet4(F_22)'!$G29))</f>
        <v>435.1632290221644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7013.209880751154</v>
      </c>
      <c r="M29" s="23">
        <f>IF(A29&gt;=(Title_RESULTS!$H$7+Title_RESULTS!$C$17),0,(+L29-G29))</f>
        <v>3287.3409491375487</v>
      </c>
      <c r="N29" s="24">
        <f>(IF(A28&gt;=(Title_RESULTS!$H$7+Title_RESULTS!$C$17),0,(+$M29/((1+Title_RESULTS!$C$37)^('Sheet9(F_25)'!$A29-Title_RESULTS!$H$7))+N28)))</f>
        <v>2182.3528215977835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3763.127620929742</v>
      </c>
      <c r="F30">
        <f>IF(A30&gt;=(Title_RESULTS!$H$7+Title_RESULTS!$C$17),0,(+'f-11B'!$R29))</f>
        <v>0</v>
      </c>
      <c r="G30" s="5">
        <f>IF(A30&gt;=(Title_RESULTS!$H$7+Title_RESULTS!$C$17),0,(SUM(B30:F30)))</f>
        <v>3763.127620929742</v>
      </c>
      <c r="H30" s="5">
        <f>IF(A30&gt;=(Title_RESULTS!$H$7+Title_RESULTS!$C$17),0,(+'Sheet3(F_21)'!$J30+'Sheet4(F_22)'!$H30))</f>
        <v>6847.578113891659</v>
      </c>
      <c r="I30" s="5">
        <f>IF(A30&gt;=(Title_RESULTS!$H$7+Title_RESULTS!$C$17),0,(+'Sheet4(F_22)'!$D30+'Sheet4(F_22)'!$G30))</f>
        <v>445.60714651869625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7293.185260410355</v>
      </c>
      <c r="M30" s="23">
        <f>IF(A30&gt;=(Title_RESULTS!$H$7+Title_RESULTS!$C$17),0,(+L30-G30))</f>
        <v>3530.057639480613</v>
      </c>
      <c r="N30" s="24">
        <f>(IF(A29&gt;=(Title_RESULTS!$H$7+Title_RESULTS!$C$17),0,(+$M30/((1+Title_RESULTS!$C$37)^('Sheet9(F_25)'!$A30-Title_RESULTS!$H$7))+N29)))</f>
        <v>3537.1201713360624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3800.7588971390387</v>
      </c>
      <c r="F31">
        <f>IF(A31&gt;=(Title_RESULTS!$H$7+Title_RESULTS!$C$17),0,(+'f-11B'!$R30))</f>
        <v>0</v>
      </c>
      <c r="G31" s="5">
        <f>IF(A31&gt;=(Title_RESULTS!$H$7+Title_RESULTS!$C$17),0,(SUM(B31:F31)))</f>
        <v>3800.7588971390387</v>
      </c>
      <c r="H31" s="5">
        <f>IF(A31&gt;=(Title_RESULTS!$H$7+Title_RESULTS!$C$17),0,(+'Sheet3(F_21)'!$J31+'Sheet4(F_22)'!$H31))</f>
        <v>7443.056624669133</v>
      </c>
      <c r="I31" s="5">
        <f>IF(A31&gt;=(Title_RESULTS!$H$7+Title_RESULTS!$C$17),0,(+'Sheet4(F_22)'!$D31+'Sheet4(F_22)'!$G31))</f>
        <v>456.30171803514503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7899.358342704279</v>
      </c>
      <c r="M31" s="23">
        <f>IF(A31&gt;=(Title_RESULTS!$H$7+Title_RESULTS!$C$17),0,(+L31-G31))</f>
        <v>4098.59944556524</v>
      </c>
      <c r="N31" s="24">
        <f>(IF(A30&gt;=(Title_RESULTS!$H$7+Title_RESULTS!$C$17),0,(+$M31/((1+Title_RESULTS!$C$37)^('Sheet9(F_25)'!$A31-Title_RESULTS!$H$7))+N30)))</f>
        <v>5006.080405393371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3838.76648611043</v>
      </c>
      <c r="F32">
        <f>IF(A32&gt;=(Title_RESULTS!$H$7+Title_RESULTS!$C$17),0,(+'f-11B'!$R31))</f>
        <v>0</v>
      </c>
      <c r="G32" s="5">
        <f>IF(A32&gt;=(Title_RESULTS!$H$7+Title_RESULTS!$C$17),0,(SUM(B32:F32)))</f>
        <v>3838.76648611043</v>
      </c>
      <c r="H32" s="5">
        <f>IF(A32&gt;=(Title_RESULTS!$H$7+Title_RESULTS!$C$17),0,(+'Sheet3(F_21)'!$J32+'Sheet4(F_22)'!$H32))</f>
        <v>7421.891898174822</v>
      </c>
      <c r="I32" s="5">
        <f>IF(A32&gt;=(Title_RESULTS!$H$7+Title_RESULTS!$C$17),0,(+'Sheet4(F_22)'!$D32+'Sheet4(F_22)'!$G32))</f>
        <v>467.25295926798844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7889.1448574428105</v>
      </c>
      <c r="M32" s="23">
        <f>IF(A32&gt;=(Title_RESULTS!$H$7+Title_RESULTS!$C$17),0,(+L32-G32))</f>
        <v>4050.3783713323805</v>
      </c>
      <c r="N32" s="24">
        <f>(IF(A31&gt;=(Title_RESULTS!$H$7+Title_RESULTS!$C$17),0,(+$M32/((1+Title_RESULTS!$C$37)^('Sheet9(F_25)'!$A32-Title_RESULTS!$H$7))+N31)))</f>
        <v>6361.774783380535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3877.1541509715344</v>
      </c>
      <c r="F33">
        <f>IF(A33&gt;=(Title_RESULTS!$H$7+Title_RESULTS!$C$17),0,(+'f-11B'!$R32))</f>
        <v>0</v>
      </c>
      <c r="G33" s="5">
        <f>IF(A33&gt;=(Title_RESULTS!$H$7+Title_RESULTS!$C$17),0,(SUM(B33:F33)))</f>
        <v>3877.1541509715344</v>
      </c>
      <c r="H33" s="5">
        <f>IF(A33&gt;=(Title_RESULTS!$H$7+Title_RESULTS!$C$17),0,(+'Sheet3(F_21)'!$J33+'Sheet4(F_22)'!$H33))</f>
        <v>7857.184667212154</v>
      </c>
      <c r="I33" s="5">
        <f>IF(A33&gt;=(Title_RESULTS!$H$7+Title_RESULTS!$C$17),0,(+'Sheet4(F_22)'!$D33+'Sheet4(F_22)'!$G33))</f>
        <v>478.4670302904202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8335.651697502573</v>
      </c>
      <c r="M33" s="23">
        <f>IF(A33&gt;=(Title_RESULTS!$H$7+Title_RESULTS!$C$17),0,(+L33-G33))</f>
        <v>4458.497546531039</v>
      </c>
      <c r="N33" s="24">
        <f>(IF(A32&gt;=(Title_RESULTS!$H$7+Title_RESULTS!$C$17),0,(+$M33/((1+Title_RESULTS!$C$37)^('Sheet9(F_25)'!$A33-Title_RESULTS!$H$7))+N32)))</f>
        <v>7755.401197782133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384.072</v>
      </c>
      <c r="D35" s="5">
        <f t="shared" si="1"/>
        <v>8747.880000000001</v>
      </c>
      <c r="E35" s="5">
        <f t="shared" si="1"/>
        <v>59276.39265109689</v>
      </c>
      <c r="F35" s="5">
        <f t="shared" si="1"/>
        <v>0</v>
      </c>
      <c r="G35" s="5">
        <f t="shared" si="1"/>
        <v>68408.3446510969</v>
      </c>
      <c r="H35" s="5">
        <f t="shared" si="1"/>
        <v>88839.87863846993</v>
      </c>
      <c r="I35" s="5">
        <f t="shared" si="1"/>
        <v>6773.742161694208</v>
      </c>
      <c r="J35" s="5">
        <f t="shared" si="1"/>
        <v>0</v>
      </c>
      <c r="K35" s="9">
        <f t="shared" si="1"/>
        <v>0</v>
      </c>
      <c r="L35" s="5">
        <f t="shared" si="1"/>
        <v>95613.62080016412</v>
      </c>
      <c r="M35" s="5">
        <f t="shared" si="1"/>
        <v>27205.27614906725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358.8491576370552</v>
      </c>
      <c r="D37" s="5">
        <f>NPV(Title_RESULTS!$C$37,'Sheet9(F_25)'!D17:D34)+'Sheet9(F_25)'!D16</f>
        <v>8182.228447904081</v>
      </c>
      <c r="E37" s="5">
        <f>NPV(Title_RESULTS!$C$37,'Sheet9(F_25)'!E17:E34)+'Sheet9(F_25)'!E16</f>
        <v>32767.716357860554</v>
      </c>
      <c r="F37" s="5">
        <f>NPV(Title_RESULTS!$C$37,'Sheet9(F_25)'!F17:F34)+'Sheet9(F_25)'!F16</f>
        <v>0</v>
      </c>
      <c r="G37" s="5">
        <f>NPV(Title_RESULTS!$C$37,'Sheet9(F_25)'!G17:G34)+'Sheet9(F_25)'!G16</f>
        <v>41308.793963401695</v>
      </c>
      <c r="H37" s="5">
        <f>NPV(Title_RESULTS!$C$37,'Sheet9(F_25)'!H17:H34)+'Sheet9(F_25)'!H16</f>
        <v>45341.268609626466</v>
      </c>
      <c r="I37" s="5">
        <f>NPV(Title_RESULTS!$C$37,'Sheet9(F_25)'!I17:I34)+'Sheet9(F_25)'!I16</f>
        <v>3722.9265515573643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49064.19516118384</v>
      </c>
      <c r="M37" s="5">
        <f>NPV(Title_RESULTS!$C$37,'Sheet9(F_25)'!M17:M34)+'Sheet9(F_25)'!M16</f>
        <v>7755.40119778213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1.187742135600792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8223.590507779347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479.70580479999995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1022.2841856000002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47.405632658810255</v>
      </c>
      <c r="P24" s="48">
        <f aca="true" t="shared" si="4" ref="P24:P61">N24*$L$5</f>
        <v>101.02447810834708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48.5433678426217</v>
      </c>
      <c r="P25" s="48">
        <f t="shared" si="4"/>
        <v>103.44906558294741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1131.48926413942</v>
      </c>
      <c r="E26" s="11">
        <f>IF(B26=Title_RESULTS!$H$8,$F$16,+E25*(1+$F$7))</f>
        <v>0.09882230355451863</v>
      </c>
      <c r="F26" s="9">
        <f t="shared" si="1"/>
        <v>812.6741574678285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66.00303937350718</v>
      </c>
      <c r="L26" s="5">
        <f t="shared" si="3"/>
        <v>140.6567581169919</v>
      </c>
      <c r="N26" s="11">
        <f>IF(+B26=Title_RESULTS!$H$9,'Value of Defferal'!$O$16,+'Value of Defferal'!N25*(1+'Value of Defferal'!$F$7))</f>
        <v>0.10362269577198292</v>
      </c>
      <c r="O26" s="5">
        <f t="shared" si="7"/>
        <v>49.70840867084462</v>
      </c>
      <c r="P26" s="48">
        <f t="shared" si="4"/>
        <v>105.93184315693814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1098.0765172889667</v>
      </c>
      <c r="E27" s="11">
        <f>IF(B27=Title_RESULTS!$H$8,$F$16,+E26*(1+$F$7))</f>
        <v>0.10119403883982707</v>
      </c>
      <c r="F27" s="9">
        <f t="shared" si="1"/>
        <v>832.1783372470564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64.05397726939184</v>
      </c>
      <c r="L27" s="5">
        <f t="shared" si="3"/>
        <v>136.50318034942646</v>
      </c>
      <c r="N27" s="11">
        <f>IF(+B27=Title_RESULTS!$H$9,'Value of Defferal'!$O$16,+'Value of Defferal'!N26*(1+'Value of Defferal'!$F$7))</f>
        <v>0.10610964047051051</v>
      </c>
      <c r="O27" s="5">
        <f t="shared" si="7"/>
        <v>50.90141047894489</v>
      </c>
      <c r="P27" s="48">
        <f t="shared" si="4"/>
        <v>108.47420739270466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1061.1890884482475</v>
      </c>
      <c r="E28" s="11">
        <f>IF(B28=Title_RESULTS!$H$8,$F$16,+E27*(1+$F$7))</f>
        <v>0.10362269577198292</v>
      </c>
      <c r="F28" s="9">
        <f t="shared" si="1"/>
        <v>852.1506173409858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61.90222692113451</v>
      </c>
      <c r="L28" s="5">
        <f t="shared" si="3"/>
        <v>131.9176607864521</v>
      </c>
      <c r="N28" s="11">
        <f>IF(+B28=Title_RESULTS!$H$9,'Value of Defferal'!$O$16,+'Value of Defferal'!N27*(1+'Value of Defferal'!$F$7))</f>
        <v>0.10865627184180277</v>
      </c>
      <c r="O28" s="5">
        <f t="shared" si="7"/>
        <v>52.12304433043957</v>
      </c>
      <c r="P28" s="48">
        <f t="shared" si="4"/>
        <v>111.07758837012958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1026.0683641124385</v>
      </c>
      <c r="E29" s="11">
        <f>IF(B29=Title_RESULTS!$H$8,$F$16,+E28*(1+$F$7))</f>
        <v>0.10610964047051051</v>
      </c>
      <c r="F29" s="9">
        <f t="shared" si="1"/>
        <v>872.6022321571695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59.853533553349386</v>
      </c>
      <c r="L29" s="5">
        <f t="shared" si="3"/>
        <v>127.5517623335378</v>
      </c>
      <c r="N29" s="11">
        <f>IF(+B29=Title_RESULTS!$H$9,'Value of Defferal'!$O$16,+'Value of Defferal'!N28*(1+'Value of Defferal'!$F$7))</f>
        <v>0.11126402236600604</v>
      </c>
      <c r="O29" s="5">
        <f t="shared" si="7"/>
        <v>53.37399739437012</v>
      </c>
      <c r="P29" s="48">
        <f t="shared" si="4"/>
        <v>113.7434504910127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992.5371844392183</v>
      </c>
      <c r="E30" s="11">
        <f>IF(B30=Title_RESULTS!$H$8,$F$16,+E29*(1+$F$7))</f>
        <v>0.10865627184180277</v>
      </c>
      <c r="F30" s="9">
        <f t="shared" si="1"/>
        <v>893.5446857289415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57.89756292034921</v>
      </c>
      <c r="L30" s="5">
        <f t="shared" si="3"/>
        <v>123.38346204280488</v>
      </c>
      <c r="N30" s="11">
        <f>IF(+B30=Title_RESULTS!$H$9,'Value of Defferal'!$O$16,+'Value of Defferal'!N29*(1+'Value of Defferal'!$F$7))</f>
        <v>0.11393435890279018</v>
      </c>
      <c r="O30" s="5">
        <f t="shared" si="7"/>
        <v>54.654973331835</v>
      </c>
      <c r="P30" s="48">
        <f t="shared" si="4"/>
        <v>116.47329330279699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960.4379652594512</v>
      </c>
      <c r="E31" s="11">
        <f>IF(B31=Title_RESULTS!$H$8,$F$16,+E30*(1+$F$7))</f>
        <v>0.11126402236600604</v>
      </c>
      <c r="F31" s="9">
        <f t="shared" si="1"/>
        <v>914.9897581864361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56.02512268204753</v>
      </c>
      <c r="L31" s="5">
        <f t="shared" si="3"/>
        <v>119.39317044127849</v>
      </c>
      <c r="N31" s="11">
        <f>IF(+B31=Title_RESULTS!$H$9,'Value of Defferal'!$O$16,+'Value of Defferal'!N30*(1+'Value of Defferal'!$F$7))</f>
        <v>0.11666878351645714</v>
      </c>
      <c r="O31" s="5">
        <f t="shared" si="7"/>
        <v>55.96669269179904</v>
      </c>
      <c r="P31" s="48">
        <f t="shared" si="4"/>
        <v>119.26865234206412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929.3380841957578</v>
      </c>
      <c r="E32" s="11">
        <f>IF(B32=Title_RESULTS!$H$8,$F$16,+E31*(1+$F$7))</f>
        <v>0.11393435890279018</v>
      </c>
      <c r="F32" s="9">
        <f t="shared" si="1"/>
        <v>936.9495123829106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54.21097672466669</v>
      </c>
      <c r="L32" s="5">
        <f t="shared" si="3"/>
        <v>115.5271077335866</v>
      </c>
      <c r="N32" s="11">
        <f>IF(+B32=Title_RESULTS!$H$9,'Value of Defferal'!$O$16,+'Value of Defferal'!N31*(1+'Value of Defferal'!$F$7))</f>
        <v>0.11946883432085212</v>
      </c>
      <c r="O32" s="5">
        <f t="shared" si="7"/>
        <v>57.309893316402224</v>
      </c>
      <c r="P32" s="48">
        <f t="shared" si="4"/>
        <v>122.13109999827367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898.5582653886328</v>
      </c>
      <c r="E33" s="11">
        <f>IF(B33=Title_RESULTS!$H$8,$F$16,+E32*(1+$F$7))</f>
        <v>0.11666878351645714</v>
      </c>
      <c r="F33" s="9">
        <f t="shared" si="1"/>
        <v>959.4363006801004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52.41550092385895</v>
      </c>
      <c r="L33" s="5">
        <f t="shared" si="3"/>
        <v>111.70083234057044</v>
      </c>
      <c r="N33" s="11">
        <f>IF(+B33=Title_RESULTS!$H$9,'Value of Defferal'!$O$16,+'Value of Defferal'!N32*(1+'Value of Defferal'!$F$7))</f>
        <v>0.12233608634455258</v>
      </c>
      <c r="O33" s="5">
        <f t="shared" si="7"/>
        <v>58.68533075599588</v>
      </c>
      <c r="P33" s="48">
        <f t="shared" si="4"/>
        <v>125.06224639823225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867.7784465815074</v>
      </c>
      <c r="E34" s="11">
        <f>IF(B34=Title_RESULTS!$H$8,$F$16,+E33*(1+$F$7))</f>
        <v>0.11946883432085212</v>
      </c>
      <c r="F34" s="9">
        <f t="shared" si="1"/>
        <v>982.462771896423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50.620025123051185</v>
      </c>
      <c r="L34" s="5">
        <f t="shared" si="3"/>
        <v>107.87455694755424</v>
      </c>
      <c r="N34" s="11">
        <f>IF(+B34=Title_RESULTS!$H$9,'Value of Defferal'!$O$16,+'Value of Defferal'!N33*(1+'Value of Defferal'!$F$7))</f>
        <v>0.12527215241682185</v>
      </c>
      <c r="O34" s="5">
        <f t="shared" si="7"/>
        <v>60.093778694139786</v>
      </c>
      <c r="P34" s="48">
        <f t="shared" si="4"/>
        <v>128.06374031178981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836.9986277743823</v>
      </c>
      <c r="E35" s="11">
        <f>IF(B35=Title_RESULTS!$H$8,$F$16,+E34*(1+$F$7))</f>
        <v>0.12233608634455258</v>
      </c>
      <c r="F35" s="9">
        <f t="shared" si="1"/>
        <v>1006.0418784219371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48.824549322243435</v>
      </c>
      <c r="L35" s="5">
        <f t="shared" si="3"/>
        <v>104.04828155453806</v>
      </c>
      <c r="N35" s="11">
        <f>IF(+B35=Title_RESULTS!$H$9,'Value of Defferal'!$O$16,+'Value of Defferal'!N34*(1+'Value of Defferal'!$F$7))</f>
        <v>0.12827868407482557</v>
      </c>
      <c r="O35" s="5">
        <f t="shared" si="7"/>
        <v>61.536029382799136</v>
      </c>
      <c r="P35" s="48">
        <f t="shared" si="4"/>
        <v>131.13727007927278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806.2188089672571</v>
      </c>
      <c r="E36" s="11">
        <f>IF(B36=Title_RESULTS!$H$8,$F$16,+E35*(1+$F$7))</f>
        <v>0.12527215241682185</v>
      </c>
      <c r="F36" s="9">
        <f t="shared" si="1"/>
        <v>1030.1868835040636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47.029073521435684</v>
      </c>
      <c r="L36" s="5">
        <f t="shared" si="3"/>
        <v>100.22200616152189</v>
      </c>
      <c r="N36" s="11">
        <f>IF(+B36=Title_RESULTS!$H$9,'Value of Defferal'!$O$16,+'Value of Defferal'!N35*(1+'Value of Defferal'!$F$7))</f>
        <v>0.1313573724926214</v>
      </c>
      <c r="O36" s="5">
        <f t="shared" si="7"/>
        <v>63.01289408798632</v>
      </c>
      <c r="P36" s="48">
        <f t="shared" si="4"/>
        <v>134.28456456117533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775.4389901601319</v>
      </c>
      <c r="E37" s="11">
        <f>IF(B37&gt;Title_RESULTS!$H$8-1+Title_RESULTS!$C$18,0,+E36*(1+$F$7))</f>
        <v>0.12827868407482557</v>
      </c>
      <c r="F37" s="9">
        <f t="shared" si="1"/>
        <v>1054.9113687081613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45.23359772062793</v>
      </c>
      <c r="L37" s="5">
        <f t="shared" si="3"/>
        <v>96.3957307685057</v>
      </c>
      <c r="N37" s="11">
        <f>IF(+B37=Title_RESULTS!$H$9,'Value of Defferal'!$O$16,+'Value of Defferal'!N36*(1+'Value of Defferal'!$F$7))</f>
        <v>0.1345099494324443</v>
      </c>
      <c r="O37" s="5">
        <f t="shared" si="7"/>
        <v>64.52520354609798</v>
      </c>
      <c r="P37" s="48">
        <f t="shared" si="4"/>
        <v>137.50739411064353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744.6591713530065</v>
      </c>
      <c r="E38" s="11">
        <f>IF(B38&gt;Title_RESULTS!$H$8-1+Title_RESULTS!$C$18,0,+E37*(1+$F$7))</f>
        <v>0.1313573724926214</v>
      </c>
      <c r="F38" s="9">
        <f t="shared" si="1"/>
        <v>1080.2292415571571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43.43812191982016</v>
      </c>
      <c r="L38" s="5">
        <f t="shared" si="3"/>
        <v>92.56945537548951</v>
      </c>
      <c r="N38" s="11">
        <f>IF(+B38=Title_RESULTS!$H$9,'Value of Defferal'!$O$16,+'Value of Defferal'!N37*(1+'Value of Defferal'!$F$7))</f>
        <v>0.13773818821882297</v>
      </c>
      <c r="O38" s="5">
        <f t="shared" si="7"/>
        <v>66.07380843120434</v>
      </c>
      <c r="P38" s="48">
        <f t="shared" si="4"/>
        <v>140.807571569299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713.8793525458813</v>
      </c>
      <c r="E39" s="11">
        <f>IF(B39&gt;Title_RESULTS!$H$8-1+Title_RESULTS!$C$18,0,+E38*(1+$F$7))</f>
        <v>0.1345099494324443</v>
      </c>
      <c r="F39" s="9">
        <f t="shared" si="1"/>
        <v>1106.1547433545288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41.642646119012404</v>
      </c>
      <c r="L39" s="5">
        <f t="shared" si="3"/>
        <v>88.74317998247331</v>
      </c>
      <c r="N39" s="11">
        <f>IF(+B39&gt;Title_RESULTS!$H$9+Title_RESULTS!$C$19-1,0,+'Value of Defferal'!N38*(1+'Value of Defferal'!$F$7))</f>
        <v>0.14104390473607473</v>
      </c>
      <c r="O39" s="5">
        <f t="shared" si="7"/>
        <v>67.65957983355325</v>
      </c>
      <c r="P39" s="48">
        <f t="shared" si="4"/>
        <v>144.18695328696217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683.0995337387562</v>
      </c>
      <c r="E40" s="11">
        <f>IF(B40&gt;Title_RESULTS!$H$8-1+Title_RESULTS!$C$18,0,+E39*(1+$F$7))</f>
        <v>0.13773818821882297</v>
      </c>
      <c r="F40" s="9">
        <f t="shared" si="1"/>
        <v>1132.7024571950376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39.84717031820466</v>
      </c>
      <c r="L40" s="5">
        <f t="shared" si="3"/>
        <v>84.91690458945716</v>
      </c>
      <c r="N40" s="11">
        <f>IF(+B40&gt;Title_RESULTS!$H$9+Title_RESULTS!$C$19-1,0,+'Value of Defferal'!N39*(1+'Value of Defferal'!$F$7))</f>
        <v>0.14442895844974052</v>
      </c>
      <c r="O40" s="5">
        <f t="shared" si="7"/>
        <v>69.28340974955853</v>
      </c>
      <c r="P40" s="48">
        <f t="shared" si="4"/>
        <v>147.64744016584925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655.2100630773364</v>
      </c>
      <c r="E41" s="11">
        <f>IF(B41&gt;Title_RESULTS!$H$8-1+Title_RESULTS!$C$18,0,+E40*(1+$F$7))</f>
        <v>0.14104390473607473</v>
      </c>
      <c r="F41" s="9">
        <f t="shared" si="1"/>
        <v>1159.8873161677186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38.220296879355004</v>
      </c>
      <c r="L41" s="5">
        <f t="shared" si="3"/>
        <v>81.44993176597404</v>
      </c>
      <c r="N41" s="11">
        <f>IF(+B41&gt;Title_RESULTS!$H$9+Title_RESULTS!$C$19-1,0,+'Value of Defferal'!N40*(1+'Value of Defferal'!$F$7))</f>
        <v>0.1478952534525343</v>
      </c>
      <c r="O41" s="5">
        <f t="shared" si="7"/>
        <v>70.94621158354794</v>
      </c>
      <c r="P41" s="48">
        <f t="shared" si="4"/>
        <v>151.19097872982965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633.1003099236684</v>
      </c>
      <c r="E42" s="11">
        <f>IF(B42&gt;Title_RESULTS!$H$8-1+Title_RESULTS!$C$18,0,+E41*(1+$F$7))</f>
        <v>0.14442895844974052</v>
      </c>
      <c r="F42" s="9">
        <f t="shared" si="1"/>
        <v>1187.7246117557438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36.93057106914152</v>
      </c>
      <c r="L42" s="5">
        <f t="shared" si="3"/>
        <v>78.70144240781192</v>
      </c>
      <c r="N42" s="11">
        <f>IF(+B42&gt;Title_RESULTS!$H$9+Title_RESULTS!$C$19-1,0,+'Value of Defferal'!N41*(1+'Value of Defferal'!$F$7))</f>
        <v>0.1514447395353951</v>
      </c>
      <c r="O42" s="5">
        <f t="shared" si="7"/>
        <v>72.64892066155308</v>
      </c>
      <c r="P42" s="48">
        <f t="shared" si="4"/>
        <v>154.81956221934556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613.8799261320468</v>
      </c>
      <c r="E43" s="11">
        <f>IF(B43&gt;Title_RESULTS!$H$8-1+Title_RESULTS!$C$18,0,+E42*(1+$F$7))</f>
        <v>0.1478952534525343</v>
      </c>
      <c r="F43" s="9">
        <f t="shared" si="1"/>
        <v>1216.2300024378817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35.8093905256061</v>
      </c>
      <c r="L43" s="5">
        <f t="shared" si="3"/>
        <v>76.31213394543772</v>
      </c>
      <c r="N43" s="11">
        <f>IF(+B43&gt;Title_RESULTS!$H$9+Title_RESULTS!$C$19-1,0,+'Value of Defferal'!N42*(1+'Value of Defferal'!$F$7))</f>
        <v>0.1550794132842446</v>
      </c>
      <c r="O43" s="5">
        <f t="shared" si="7"/>
        <v>74.39249475743036</v>
      </c>
      <c r="P43" s="48">
        <f t="shared" si="4"/>
        <v>158.53523171260986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594.6595423404251</v>
      </c>
      <c r="E44" s="11">
        <f>IF(B44&gt;Title_RESULTS!$H$8-1+Title_RESULTS!$C$18,0,+E43*(1+$F$7))</f>
        <v>0.1514447395353951</v>
      </c>
      <c r="F44" s="9">
        <f t="shared" si="1"/>
        <v>1245.4195224963908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34.68820998207069</v>
      </c>
      <c r="L44" s="5">
        <f t="shared" si="3"/>
        <v>73.92282548306352</v>
      </c>
      <c r="N44" s="11">
        <f>IF(+B44&gt;Title_RESULTS!$H$9+Title_RESULTS!$C$19-1,0,+'Value of Defferal'!N43*(1+'Value of Defferal'!$F$7))</f>
        <v>0.15880131920306648</v>
      </c>
      <c r="O44" s="5">
        <f t="shared" si="7"/>
        <v>76.17791463160869</v>
      </c>
      <c r="P44" s="48">
        <f t="shared" si="4"/>
        <v>162.3400772737125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575.4391585488032</v>
      </c>
      <c r="E45" s="11">
        <f>IF(B45&gt;Title_RESULTS!$H$8-1+Title_RESULTS!$C$18,0,+E44*(1+$F$7))</f>
        <v>0.1550794132842446</v>
      </c>
      <c r="F45" s="9">
        <f t="shared" si="1"/>
        <v>1275.3095910363043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33.56702943853526</v>
      </c>
      <c r="L45" s="5">
        <f t="shared" si="3"/>
        <v>71.53351702068927</v>
      </c>
      <c r="N45" s="11">
        <f>IF(+B45&gt;Title_RESULTS!$H$9+Title_RESULTS!$C$19-1,0,+'Value of Defferal'!N44*(1+'Value of Defferal'!$F$7))</f>
        <v>0.16261255086394008</v>
      </c>
      <c r="O45" s="5">
        <f t="shared" si="7"/>
        <v>78.0061845827673</v>
      </c>
      <c r="P45" s="48">
        <f t="shared" si="4"/>
        <v>166.2362391282816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556.2187747571816</v>
      </c>
      <c r="E46" s="11">
        <f>IF(B46&gt;Title_RESULTS!$H$8-1+Title_RESULTS!$C$18,0,+E45*(1+$F$7))</f>
        <v>0.15880131920306648</v>
      </c>
      <c r="F46" s="9">
        <f t="shared" si="1"/>
        <v>1305.9170212211757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32.445848894999834</v>
      </c>
      <c r="L46" s="5">
        <f t="shared" si="3"/>
        <v>69.14420855831507</v>
      </c>
      <c r="N46" s="11">
        <f>IF(+B46&gt;Title_RESULTS!$H$9+Title_RESULTS!$C$19-1,0,+'Value of Defferal'!N45*(1+'Value of Defferal'!$F$7))</f>
        <v>0.16651525208467466</v>
      </c>
      <c r="O46" s="5">
        <f t="shared" si="7"/>
        <v>79.87833301275373</v>
      </c>
      <c r="P46" s="48">
        <f t="shared" si="4"/>
        <v>170.22590886736037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536.9983909655599</v>
      </c>
      <c r="E47" s="11">
        <f>IF(B47&gt;Title_RESULTS!$H$8-1+Title_RESULTS!$C$18,0,+E46*(1+$F$7))</f>
        <v>0.16261255086394008</v>
      </c>
      <c r="F47" s="9">
        <f t="shared" si="1"/>
        <v>1337.259029730484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31.324668351464425</v>
      </c>
      <c r="L47" s="5">
        <f t="shared" si="3"/>
        <v>66.75490009594087</v>
      </c>
      <c r="N47" s="11">
        <f>IF(+B47&gt;Title_RESULTS!$H$9+Title_RESULTS!$C$19-1,0,+'Value of Defferal'!N46*(1+'Value of Defferal'!$F$7))</f>
        <v>0.17051161813470686</v>
      </c>
      <c r="O47" s="5">
        <f t="shared" si="7"/>
        <v>81.79541300505983</v>
      </c>
      <c r="P47" s="48">
        <f t="shared" si="4"/>
        <v>174.31133068017704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517.7780071739382</v>
      </c>
      <c r="E48" s="11">
        <f>IF(B48&gt;Title_RESULTS!$H$8-1+Title_RESULTS!$C$18,0,+E47*(1+$F$7))</f>
        <v>0.16651525208467466</v>
      </c>
      <c r="F48" s="9">
        <f t="shared" si="1"/>
        <v>1369.3532464440157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30.203487807929005</v>
      </c>
      <c r="L48" s="5">
        <f t="shared" si="3"/>
        <v>64.36559163356667</v>
      </c>
      <c r="N48" s="11">
        <f>IF(+B48&gt;Title_RESULTS!$H$9+Title_RESULTS!$C$19-1,0,+'Value of Defferal'!N47*(1+'Value of Defferal'!$F$7))</f>
        <v>0.17460389696993983</v>
      </c>
      <c r="O48" s="5">
        <f t="shared" si="7"/>
        <v>83.75850291718126</v>
      </c>
      <c r="P48" s="48">
        <f t="shared" si="4"/>
        <v>178.4948026165013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498.55762338231636</v>
      </c>
      <c r="E49" s="11">
        <f>IF(B49&gt;Title_RESULTS!$H$8-1+Title_RESULTS!$C$18,0,+E48*(1+$F$7))</f>
        <v>0.17051161813470686</v>
      </c>
      <c r="F49" s="9">
        <f t="shared" si="1"/>
        <v>1402.217724358672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29.082307264393574</v>
      </c>
      <c r="L49" s="5">
        <f t="shared" si="3"/>
        <v>61.97628317119243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479.33723959069465</v>
      </c>
      <c r="E50" s="11">
        <f>IF(B50&gt;Title_RESULTS!$H$8-1+Title_RESULTS!$C$18,0,+E49*(1+$F$7))</f>
        <v>0.17460389696993983</v>
      </c>
      <c r="F50" s="9">
        <f t="shared" si="1"/>
        <v>1435.8709497432803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27.961126720858157</v>
      </c>
      <c r="L50" s="5">
        <f t="shared" si="3"/>
        <v>59.58697470881822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460.11685579907305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26.83994617732274</v>
      </c>
      <c r="L51" s="5">
        <f t="shared" si="3"/>
        <v>57.19766624644401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19647.0635560841</v>
      </c>
      <c r="F63" s="9">
        <f>SUM(F23:F61)</f>
        <v>27402.4039612204</v>
      </c>
      <c r="J63" t="s">
        <v>87</v>
      </c>
      <c r="K63" s="9">
        <f>SUM(K23:K61)</f>
        <v>1146.070007524377</v>
      </c>
      <c r="O63" s="9">
        <f>SUM(O23:O61)</f>
        <v>1598.4614303493047</v>
      </c>
    </row>
    <row r="64" spans="3:15" ht="12.75">
      <c r="C64" t="s">
        <v>89</v>
      </c>
      <c r="D64" s="9">
        <f>NPV(+Title_RESULTS!$C$37,'Value of Defferal'!D24:D61)+'Value of Defferal'!D23</f>
        <v>8772.532701202412</v>
      </c>
      <c r="F64" s="9">
        <f>NPV(+Title_RESULTS!$C$37,'Value of Defferal'!F24:F61)+'Value of Defferal'!F23</f>
        <v>10189.462006569407</v>
      </c>
      <c r="J64" t="s">
        <v>89</v>
      </c>
      <c r="K64" s="9">
        <f>NPV(+Title_RESULTS!$C$37,'Value of Defferal'!K24:K61)+'Value of Defferal'!K23</f>
        <v>511.7271896726516</v>
      </c>
      <c r="O64" s="9">
        <f>NPV(+Title_RESULTS!$C$37,'Value of Defferal'!O24:O61)+'Value of Defferal'!O23</f>
        <v>681.5245058295108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4.488744609048536</v>
      </c>
      <c r="C25" t="s">
        <v>372</v>
      </c>
    </row>
    <row r="26" spans="2:3" ht="18">
      <c r="B26" s="15">
        <f>+((Input!$C$6*'EUE_Line Losses'!C4)+(Input!$C$7*'EUE_Line Losses'!C3))/'EUE_Line Losses'!C22</f>
        <v>4.474264787729025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B12" sqref="B12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f>SUM(E4:E9)</f>
        <v>11.870000000000001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tabSelected="1"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3.94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4.04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28372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6629.48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2915.96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HVAC Equipment Upgrades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43599.324668402776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4.04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4.474264787729025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29928.270042194094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28372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6629.48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11.870000000000001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2915.96</v>
      </c>
      <c r="D39" s="13" t="s">
        <v>189</v>
      </c>
      <c r="G39" s="20" t="s">
        <v>346</v>
      </c>
      <c r="H39" s="79">
        <f>+'Sheet7(F_23)'!H39</f>
        <v>2.5326476203706343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50101.405675659305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1.187742135600792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2019-05-14T11:47:32Z</dcterms:created>
  <dcterms:modified xsi:type="dcterms:W3CDTF">2019-05-14T11:47:33Z</dcterms:modified>
  <cp:category/>
  <cp:version/>
  <cp:contentType/>
  <cp:contentStatus/>
</cp:coreProperties>
</file>