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<sst xmlns="http://schemas.openxmlformats.org/spreadsheetml/2006/main" count="1258" uniqueCount="468">
  <si>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</si>
  <si>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</si>
  <si>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</si>
  <si>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</si>
  <si>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</si>
  <si>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</si>
  <si>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</si>
  <si>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</si>
  <si>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</si>
  <si>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</si>
  <si>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</si>
  <si>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</si>
  <si>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</si>
  <si>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</si>
  <si>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</si>
  <si>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</si>
  <si>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</si>
  <si>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</si>
  <si>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</si>
  <si>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</si>
  <si>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</si>
  <si>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</si>
  <si>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</si>
  <si>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</si>
  <si>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</si>
  <si>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</si>
  <si>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</si>
  <si>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</si>
  <si>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</si>
  <si>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</si>
  <si>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</si>
  <si>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</si>
  <si>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</si>
  <si>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</si>
  <si>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</si>
  <si>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</si>
  <si>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</si>
  <si>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</si>
  <si>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</si>
  <si>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</si>
  <si>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</si>
  <si>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</si>
  <si>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</si>
  <si>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</si>
  <si>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</si>
  <si>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</si>
  <si>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</si>
  <si>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</si>
  <si>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</si>
  <si>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</si>
  <si>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</si>
  <si>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</si>
  <si>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</si>
  <si>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</si>
  <si>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</si>
  <si>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</si>
  <si>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</si>
  <si>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</si>
  <si>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</si>
  <si>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</si>
  <si>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</si>
  <si>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</si>
  <si>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</si>
  <si>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</si>
  <si>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</si>
  <si>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</si>
  <si>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</si>
  <si>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</si>
  <si>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</si>
  <si>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</si>
  <si>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</si>
  <si>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</si>
  <si>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</si>
  <si>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</si>
  <si>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</si>
  <si>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</si>
  <si>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</si>
  <si>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</si>
  <si>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</si>
  <si>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</si>
  <si>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</si>
  <si>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</si>
  <si>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</si>
  <si>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</si>
  <si>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</si>
  <si>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</si>
  <si>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</si>
  <si>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</si>
  <si>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</si>
  <si>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</si>
  <si>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</si>
  <si>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</si>
  <si>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</si>
  <si>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</si>
  <si>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</si>
  <si>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</si>
  <si>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</si>
  <si>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</si>
  <si>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</si>
  <si>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</si>
  <si>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</si>
  <si>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</si>
  <si>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</si>
  <si>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</si>
  <si>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</si>
  <si>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</si>
  <si>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</si>
  <si>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</si>
  <si>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</si>
  <si>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</si>
  <si>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</si>
  <si>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</si>
  <si>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</si>
  <si>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</si>
  <si>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</si>
  <si>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</si>
  <si>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</si>
  <si>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</si>
  <si>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</si>
  <si>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</si>
  <si>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</si>
  <si>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</si>
  <si>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</si>
  <si>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</si>
  <si>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</si>
  <si>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</si>
  <si>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</si>
  <si>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</si>
  <si>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</si>
  <si>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</si>
  <si>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</si>
  <si>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</si>
  <si>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</si>
  <si>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</si>
  <si>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</si>
  <si>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</si>
  <si>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</si>
  <si>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</si>
  <si>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</si>
  <si>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</si>
  <si>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</si>
  <si>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</si>
  <si>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</si>
  <si>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</si>
  <si>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</si>
  <si>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</si>
  <si>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</si>
  <si>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</si>
  <si>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</si>
  <si>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</si>
  <si>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</si>
  <si>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</si>
  <si>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</si>
  <si>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</si>
  <si>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</si>
  <si>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</si>
  <si>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</si>
  <si>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</si>
  <si>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</si>
  <si>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</si>
  <si>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</si>
  <si>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</si>
  <si>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</si>
  <si>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</si>
  <si>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</si>
  <si>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</si>
  <si>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</si>
  <si>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</si>
  <si>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</si>
  <si>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</si>
  <si>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</si>
  <si>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</si>
  <si>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</si>
  <si>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</si>
  <si>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</si>
  <si>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</si>
  <si>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</si>
  <si>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</si>
  <si>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</si>
  <si>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</si>
  <si>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</si>
  <si>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</si>
  <si>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</si>
  <si>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</si>
  <si>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</si>
  <si>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</si>
  <si>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</si>
  <si>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</si>
  <si>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</si>
  <si>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</si>
  <si>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</si>
  <si>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</si>
  <si>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</si>
  <si>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</si>
  <si>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</si>
  <si>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</si>
  <si>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</si>
  <si>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</si>
  <si>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</si>
  <si>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</si>
  <si>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</si>
  <si>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</si>
  <si>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</si>
  <si>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</si>
  <si>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</si>
  <si>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</si>
  <si>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</si>
  <si>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</si>
  <si>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</si>
  <si>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</si>
  <si>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</si>
  <si>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</si>
  <si>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</si>
  <si>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</si>
  <si>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</si>
  <si>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</si>
  <si>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</si>
  <si>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</si>
  <si>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</si>
  <si>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</si>
  <si>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</si>
  <si>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</si>
  <si>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</si>
  <si>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</si>
  <si>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</si>
  <si>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</si>
  <si>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</si>
  <si>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</si>
  <si>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</si>
  <si>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</si>
  <si>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</si>
  <si>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</si>
  <si>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</si>
  <si>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</si>
  <si>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</si>
  <si>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</si>
  <si>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</si>
  <si>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</si>
  <si>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</si>
  <si>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</si>
  <si>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</si>
  <si>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</si>
  <si>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</si>
  <si>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</si>
  <si>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</si>
  <si>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</si>
  <si>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</si>
  <si>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</si>
  <si>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</si>
  <si>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</si>
  <si>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</si>
  <si>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</si>
  <si>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</si>
  <si>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</si>
  <si>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</si>
  <si>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</si>
  <si>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</si>
  <si>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</si>
  <si>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</si>
  <si>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</si>
  <si>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</si>
  <si>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</si>
  <si>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</si>
  <si>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</si>
  <si>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</si>
  <si>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</si>
  <si>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</si>
  <si>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</si>
  <si>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</si>
  <si>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</si>
  <si>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</si>
  <si>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</si>
  <si>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</si>
  <si>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</si>
  <si>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</si>
  <si>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</si>
  <si>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</si>
  <si>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</si>
  <si>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</si>
  <si>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</si>
  <si>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</si>
  <si>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</si>
  <si>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</si>
  <si>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</si>
  <si>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</si>
  <si>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</si>
  <si>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</si>
  <si>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</si>
  <si>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</si>
  <si>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</si>
  <si>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</si>
  <si>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</si>
  <si>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</si>
  <si>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</si>
  <si>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</si>
  <si>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</si>
  <si>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</si>
  <si>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</si>
  <si>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</si>
  <si>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</si>
  <si>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</si>
  <si>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</si>
  <si>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</si>
  <si>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</si>
  <si>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</si>
  <si>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</si>
  <si>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</si>
  <si>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</si>
  <si>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</si>
  <si>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</si>
  <si>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</si>
  <si>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</si>
  <si>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</si>
  <si>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</si>
  <si>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</si>
  <si>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</si>
  <si>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</si>
  <si>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</si>
  <si>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</si>
  <si>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</si>
  <si>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</si>
  <si>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</si>
  <si>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</si>
  <si>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</si>
  <si>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</si>
  <si>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</si>
  <si>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</si>
  <si>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</si>
  <si>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</si>
  <si>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</si>
  <si>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</si>
  <si>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</si>
  <si>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</si>
  <si>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</si>
  <si>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</si>
  <si>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</si>
  <si>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</si>
  <si>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</si>
  <si>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</si>
  <si>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</si>
  <si>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</si>
  <si>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</si>
  <si>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</si>
  <si>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</si>
  <si>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</si>
  <si>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</si>
  <si>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</si>
  <si>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</si>
  <si>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</si>
  <si>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</si>
  <si>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</si>
  <si>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</si>
  <si>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</si>
  <si>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</si>
  <si>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</si>
  <si>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</si>
  <si>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</si>
  <si>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</si>
  <si>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</si>
  <si>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</si>
  <si>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</si>
  <si>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</si>
  <si>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</si>
  <si>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</si>
  <si>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</si>
  <si>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</si>
  <si>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</si>
  <si>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</si>
  <si>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</si>
  <si>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</si>
  <si>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</si>
  <si>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</si>
  <si>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</si>
  <si>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</si>
  <si>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</si>
  <si>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</si>
  <si>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</si>
  <si>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</si>
  <si>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</si>
  <si>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</si>
  <si>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</si>
  <si>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</si>
  <si>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</si>
  <si>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</si>
  <si>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</si>
  <si>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</si>
  <si>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</si>
  <si>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</si>
  <si>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</si>
  <si>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</si>
  <si>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</si>
  <si>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</si>
  <si>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</si>
  <si>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</si>
  <si>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</si>
  <si>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</si>
  <si>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</si>
  <si>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</si>
  <si>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</si>
  <si>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</si>
  <si>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</si>
  <si>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</si>
  <si>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</si>
  <si>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</si>
  <si>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</si>
  <si>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</si>
  <si>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</si>
  <si>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</si>
  <si>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</si>
  <si>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</si>
  <si>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</si>
  <si>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</si>
  <si>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</si>
  <si>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</si>
  <si>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</si>
  <si>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</si>
  <si>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</si>
  <si>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</si>
  <si>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</si>
  <si>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</si>
  <si>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</si>
  <si>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</si>
  <si>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</si>
  <si>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</si>
  <si>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</si>
  <si>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</si>
  <si>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</si>
  <si>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</si>
  <si>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</si>
  <si>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</si>
  <si>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</si>
  <si>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</si>
  <si>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</si>
  <si>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</si>
  <si>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</si>
  <si>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</si>
  <si>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</si>
  <si>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</si>
  <si>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</si>
  <si>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</si>
  <si>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</si>
  <si>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</si>
  <si>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</si>
  <si>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</si>
  <si>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</si>
  <si>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</si>
  <si>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</si>
  <si>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</si>
  <si>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</si>
  <si>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</si>
  <si>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</si>
  <si>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</si>
  <si>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</si>
  <si>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</si>
  <si>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</si>
  <si>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</si>
  <si>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</si>
  <si>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</si>
  <si>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</si>
  <si>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</si>
  <si>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</si>
  <si>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</si>
  <si>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</si>
  <si>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</si>
  <si>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</si>
  <si>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</si>
  <si>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</si>
  <si>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Recommissioning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</si>
</sst>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43599.324785069446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84697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43599.324785069446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Recommissioning</v>
      </c>
      <c r="J2" t="s">
        <v>55</v>
      </c>
    </row>
    <row r="3" ht="12.75">
      <c r="J3" s="35">
        <f>+Title_RESULTS!I4</f>
        <v>43599.324785069446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84697</v>
      </c>
      <c r="H5" t="s">
        <v>59</v>
      </c>
    </row>
    <row r="6" spans="3:7" ht="12.75">
      <c r="C6" t="s">
        <v>61</v>
      </c>
      <c r="G6" s="36">
        <f>+'Value of Defferal'!E3</f>
        <v>51889.55116124469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5127.844976164248</v>
      </c>
      <c r="D19" s="5">
        <f>IF((Title_RESULTS!$H$8-Title_RESULTS!$H$7)&lt;=('Sheet3(F_21)'!A19-Title_RESULTS!$H$7),((Title_RESULTS!$C$8*Partcipation!$C$26*8760*Title_RESULTS!$H$21/100000)),0)</f>
        <v>67517.31175876578</v>
      </c>
      <c r="E19" s="5">
        <f>IF($G19=0,0,((Title_RESULTS!$H$14*((1+Title_RESULTS!$H$15/100)^($A19-Title_RESULTS!$H$7))*'EUE_Line Losses'!$B$25*Partcipation!$C$26))/1000)</f>
        <v>531.9138306756815</v>
      </c>
      <c r="F19" s="5">
        <f>IF($G19=0,0,(Title_RESULTS!$H$19/100*((1+Title_RESULTS!$H$20/100)^($A19-Title_RESULTS!$H$7))*$D19*1000)/1000)</f>
        <v>152.241939106811</v>
      </c>
      <c r="G19" s="5">
        <f>(+Title_RESULTS!$H$22/100*((1+Title_RESULTS!$H$23/100)^(+'Sheet4(F_22)'!A19-Title_RESULTS!$H$7)))*'Sheet3(F_21)'!D19</f>
        <v>2892.6367354507656</v>
      </c>
      <c r="H19" s="5">
        <f>IF($G19=0,0,(($D19))*(Partcipation!$G19/100))</f>
        <v>2142.07285273144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6562.564628666065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5250.91325559219</v>
      </c>
      <c r="D20" s="5">
        <f>IF((Title_RESULTS!$H$8-Title_RESULTS!$H$7)&lt;=('Sheet3(F_21)'!A20-Title_RESULTS!$H$7),((Title_RESULTS!$C$8*Partcipation!$C$26*8760*Title_RESULTS!$H$21/100000)),0)</f>
        <v>67517.31175876578</v>
      </c>
      <c r="E20" s="5">
        <f>IF($G20=0,0,((Title_RESULTS!$H$14*((1+Title_RESULTS!$H$15/100)^($A20-Title_RESULTS!$H$7))*'EUE_Line Losses'!$B$25*Partcipation!$C$26))/1000)</f>
        <v>544.679762611898</v>
      </c>
      <c r="F20" s="5">
        <f>IF($G20=0,0,(Title_RESULTS!$H$19/100*((1+Title_RESULTS!$H$20/100)^($A20-Title_RESULTS!$H$7))*$D20*1000)/1000)</f>
        <v>155.89574564537446</v>
      </c>
      <c r="G20" s="5">
        <f>(+Title_RESULTS!$H$22/100*((1+Title_RESULTS!$H$23/100)^(+'Sheet4(F_22)'!A20-Title_RESULTS!$H$7)))*'Sheet3(F_21)'!D20</f>
        <v>3023.9624432402306</v>
      </c>
      <c r="H20" s="5">
        <f>IF($G20=0,0,(($D20))*(Partcipation!$G20/100))</f>
        <v>2237.8972023951264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6737.554004694566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5376.935173726402</v>
      </c>
      <c r="D21" s="5">
        <f>IF((Title_RESULTS!$H$8-Title_RESULTS!$H$7)&lt;=('Sheet3(F_21)'!A21-Title_RESULTS!$H$7),((Title_RESULTS!$C$8*Partcipation!$C$26*8760*Title_RESULTS!$H$21/100000)),0)</f>
        <v>67517.31175876578</v>
      </c>
      <c r="E21" s="5">
        <f>IF($G21=0,0,((Title_RESULTS!$H$14*((1+Title_RESULTS!$H$15/100)^($A21-Title_RESULTS!$H$7))*'EUE_Line Losses'!$B$25*Partcipation!$C$26))/1000)</f>
        <v>557.7520769145835</v>
      </c>
      <c r="F21" s="5">
        <f>IF($G21=0,0,(Title_RESULTS!$H$19/100*((1+Title_RESULTS!$H$20/100)^($A21-Title_RESULTS!$H$7))*$D21*1000)/1000)</f>
        <v>159.63724354086347</v>
      </c>
      <c r="G21" s="5">
        <f>(+Title_RESULTS!$H$22/100*((1+Title_RESULTS!$H$23/100)^(+'Sheet4(F_22)'!A21-Title_RESULTS!$H$7)))*'Sheet3(F_21)'!D21</f>
        <v>3161.250338163338</v>
      </c>
      <c r="H21" s="5">
        <f>IF($G21=0,0,(($D21))*(Partcipation!$G21/100))</f>
        <v>2326.5812939068283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6928.993538438358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5505.981617895835</v>
      </c>
      <c r="D22" s="5">
        <f>IF((Title_RESULTS!$H$8-Title_RESULTS!$H$7)&lt;=('Sheet3(F_21)'!A22-Title_RESULTS!$H$7),((Title_RESULTS!$C$8*Partcipation!$C$26*8760*Title_RESULTS!$H$21/100000)),0)</f>
        <v>67517.31175876578</v>
      </c>
      <c r="E22" s="5">
        <f>IF($G22=0,0,((Title_RESULTS!$H$14*((1+Title_RESULTS!$H$15/100)^($A22-Title_RESULTS!$H$7))*'EUE_Line Losses'!$B$25*Partcipation!$C$26))/1000)</f>
        <v>571.1381267605334</v>
      </c>
      <c r="F22" s="5">
        <f>IF($G22=0,0,(Title_RESULTS!$H$19/100*((1+Title_RESULTS!$H$20/100)^($A22-Title_RESULTS!$H$7))*$D22*1000)/1000)</f>
        <v>163.46853738584417</v>
      </c>
      <c r="G22" s="5">
        <f>(+Title_RESULTS!$H$22/100*((1+Title_RESULTS!$H$23/100)^(+'Sheet4(F_22)'!A22-Title_RESULTS!$H$7)))*'Sheet3(F_21)'!D22</f>
        <v>3304.7711035159537</v>
      </c>
      <c r="H22" s="5">
        <f>IF($G22=0,0,(($D22))*(Partcipation!$G22/100))</f>
        <v>2401.9633594285337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7143.396026129634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5638.125176725336</v>
      </c>
      <c r="D23" s="5">
        <f>IF((Title_RESULTS!$H$8-Title_RESULTS!$H$7)&lt;=('Sheet3(F_21)'!A23-Title_RESULTS!$H$7),((Title_RESULTS!$C$8*Partcipation!$C$26*8760*Title_RESULTS!$H$21/100000)),0)</f>
        <v>67517.31175876578</v>
      </c>
      <c r="E23" s="5">
        <f>IF($G23=0,0,((Title_RESULTS!$H$14*((1+Title_RESULTS!$H$15/100)^($A23-Title_RESULTS!$H$7))*'EUE_Line Losses'!$B$25*Partcipation!$C$26))/1000)</f>
        <v>584.8454418027864</v>
      </c>
      <c r="F23" s="5">
        <f>IF($G23=0,0,(Title_RESULTS!$H$19/100*((1+Title_RESULTS!$H$20/100)^($A23-Title_RESULTS!$H$7))*$D23*1000)/1000)</f>
        <v>167.39178228310445</v>
      </c>
      <c r="G23" s="5">
        <f>(+Title_RESULTS!$H$22/100*((1+Title_RESULTS!$H$23/100)^(+'Sheet4(F_22)'!A23-Title_RESULTS!$H$7)))*'Sheet3(F_21)'!D23</f>
        <v>3454.8077116155782</v>
      </c>
      <c r="H23" s="5">
        <f>IF($G23=0,0,(($D23))*(Partcipation!$G23/100))</f>
        <v>2509.4744441188695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7335.695668307936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5773.440180966744</v>
      </c>
      <c r="D24" s="5">
        <f>IF((Title_RESULTS!$H$8-Title_RESULTS!$H$7)&lt;=('Sheet3(F_21)'!A24-Title_RESULTS!$H$7),((Title_RESULTS!$C$8*Partcipation!$C$26*8760*Title_RESULTS!$H$21/100000)),0)</f>
        <v>67517.31175876578</v>
      </c>
      <c r="E24" s="5">
        <f>IF($G24=0,0,((Title_RESULTS!$H$14*((1+Title_RESULTS!$H$15/100)^($A24-Title_RESULTS!$H$7))*'EUE_Line Losses'!$B$25*Partcipation!$C$26))/1000)</f>
        <v>598.8817324060531</v>
      </c>
      <c r="F24" s="5">
        <f>IF($G24=0,0,(Title_RESULTS!$H$19/100*((1+Title_RESULTS!$H$20/100)^($A24-Title_RESULTS!$H$7))*$D24*1000)/1000)</f>
        <v>171.40918505789892</v>
      </c>
      <c r="G24" s="5">
        <f>(+Title_RESULTS!$H$22/100*((1+Title_RESULTS!$H$23/100)^(+'Sheet4(F_22)'!A24-Title_RESULTS!$H$7)))*'Sheet3(F_21)'!D24</f>
        <v>3611.655981722926</v>
      </c>
      <c r="H24" s="5">
        <f>IF($G24=0,0,(($D24))*(Partcipation!$G24/100))</f>
        <v>2700.8579820719165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7454.529098081704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5912.002745309946</v>
      </c>
      <c r="D25" s="5">
        <f>IF((Title_RESULTS!$H$8-Title_RESULTS!$H$7)&lt;=('Sheet3(F_21)'!A25-Title_RESULTS!$H$7),((Title_RESULTS!$C$8*Partcipation!$C$26*8760*Title_RESULTS!$H$21/100000)),0)</f>
        <v>67517.31175876578</v>
      </c>
      <c r="E25" s="5">
        <f>IF($G25=0,0,((Title_RESULTS!$H$14*((1+Title_RESULTS!$H$15/100)^($A25-Title_RESULTS!$H$7))*'EUE_Line Losses'!$B$25*Partcipation!$C$26))/1000)</f>
        <v>613.2548939837984</v>
      </c>
      <c r="F25" s="5">
        <f>IF($G25=0,0,(Title_RESULTS!$H$19/100*((1+Title_RESULTS!$H$20/100)^($A25-Title_RESULTS!$H$7))*$D25*1000)/1000)</f>
        <v>175.52300549928847</v>
      </c>
      <c r="G25" s="5">
        <f>(+Title_RESULTS!$H$22/100*((1+Title_RESULTS!$H$23/100)^(+'Sheet4(F_22)'!A25-Title_RESULTS!$H$7)))*'Sheet3(F_21)'!D25</f>
        <v>3775.625163293147</v>
      </c>
      <c r="H25" s="5">
        <f>IF($G25=0,0,(($D25))*(Partcipation!$G25/100))</f>
        <v>2819.386899755435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7657.018908330743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38585.243126380694</v>
      </c>
      <c r="D27" s="9">
        <f t="shared" si="1"/>
        <v>472621.18231136043</v>
      </c>
      <c r="E27" s="9">
        <f t="shared" si="1"/>
        <v>4002.465865155334</v>
      </c>
      <c r="F27" s="9">
        <f t="shared" si="1"/>
        <v>1145.5674385191849</v>
      </c>
      <c r="G27" s="9">
        <f t="shared" si="1"/>
        <v>23224.70947700194</v>
      </c>
      <c r="H27" s="9">
        <f t="shared" si="1"/>
        <v>17138.23403440815</v>
      </c>
      <c r="I27" s="9">
        <f t="shared" si="1"/>
        <v>0</v>
      </c>
      <c r="J27" s="9">
        <f t="shared" si="1"/>
        <v>49819.751872649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25669.40989338876</v>
      </c>
      <c r="D29" s="5"/>
      <c r="E29" s="5">
        <f>NPV(Title_RESULTS!$C$37,E17:E26)+'Sheet3(F_21)'!E16</f>
        <v>2662.700259279311</v>
      </c>
      <c r="F29" s="5">
        <f>NPV(Title_RESULTS!$C$37,F17:F26)+'Sheet3(F_21)'!F16</f>
        <v>762.105866316636</v>
      </c>
      <c r="G29" s="5">
        <f>NPV(Title_RESULTS!$C$37,G17:G26)+'Sheet3(F_21)'!G16</f>
        <v>15363.483748201452</v>
      </c>
      <c r="H29" s="5">
        <f>NPV(Title_RESULTS!$C$37,H17:H26)+'Sheet3(F_21)'!H16</f>
        <v>11333.291613578007</v>
      </c>
      <c r="I29" s="5">
        <f>NPV(Title_RESULTS!$C$37,I17:I26)+'Sheet3(F_21)'!I16</f>
        <v>0</v>
      </c>
      <c r="J29" s="5">
        <f>NPV(Title_RESULTS!$C$37,J17:J26)+'Sheet3(F_21)'!J16</f>
        <v>33124.40815360816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Recommissioning</v>
      </c>
      <c r="F2" t="s">
        <v>55</v>
      </c>
    </row>
    <row r="3" spans="6:7" ht="12.75">
      <c r="F3" s="35">
        <f>+Title_RESULTS!I4</f>
        <v>43599.324785069446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94387.13080168777</v>
      </c>
      <c r="C16" s="5">
        <f>$B16*'Sheet2(F_12)'!$E16/100</f>
        <v>2737.8965865648192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2737.8965865648192</v>
      </c>
      <c r="G16" s="5">
        <f>+$F16*'Sheet2(F_12)'!$I16</f>
        <v>2737.8965865648192</v>
      </c>
    </row>
    <row r="17" spans="1:7" ht="12.75">
      <c r="A17">
        <f>+A16+1</f>
        <v>2021</v>
      </c>
      <c r="B17" s="5">
        <f>(+Partcipation!$C16+(Partcipation!$C17-Partcipation!$C16)/2)*Title_RESULTS!$C$10/1000</f>
        <v>283161.3924050633</v>
      </c>
      <c r="C17" s="5">
        <f>$B17*'Sheet2(F_12)'!$E17/100</f>
        <v>8146.8808130069565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8146.8808130069565</v>
      </c>
      <c r="G17" s="5">
        <f>+$F17*'Sheet2(F_12)'!$I17</f>
        <v>8146.8808130069565</v>
      </c>
    </row>
    <row r="18" spans="1:7" ht="12.75">
      <c r="A18">
        <f>+A17+1</f>
        <v>2022</v>
      </c>
      <c r="B18" s="5">
        <f>(+Partcipation!$C17+(Partcipation!$C18-Partcipation!$C17)/2)*Title_RESULTS!$C$10/1000</f>
        <v>471935.65400843887</v>
      </c>
      <c r="C18" s="5">
        <f>$B18*'Sheet2(F_12)'!$E18/100</f>
        <v>14013.543815707508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14013.543815707508</v>
      </c>
      <c r="G18" s="5">
        <f>+$F18*'Sheet2(F_12)'!$I18</f>
        <v>14013.543815707508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566322.7848101266</v>
      </c>
      <c r="C19" s="5">
        <f>$B19*'Sheet2(F_12)'!$E19/100</f>
        <v>17506.119067057785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17506.119067057785</v>
      </c>
      <c r="G19" s="5">
        <f>+$F19*'Sheet2(F_12)'!$I19</f>
        <v>17506.119067057785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566322.7848101266</v>
      </c>
      <c r="C20" s="5">
        <f>$B20*'Sheet2(F_12)'!$E20/100</f>
        <v>18194.04356189428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18194.04356189428</v>
      </c>
      <c r="G20" s="5">
        <f>+$F20*'Sheet2(F_12)'!$I20</f>
        <v>18194.04356189428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566322.7848101266</v>
      </c>
      <c r="C21" s="5">
        <f>$B21*'Sheet2(F_12)'!$E21/100</f>
        <v>19534.92518953625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19534.92518953625</v>
      </c>
      <c r="G21" s="5">
        <f>+$F21*'Sheet2(F_12)'!$I21</f>
        <v>19534.92518953625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566322.7848101266</v>
      </c>
      <c r="C22" s="5">
        <f>$B22*'Sheet2(F_12)'!$E22/100</f>
        <v>20161.500581132113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20161.500581132113</v>
      </c>
      <c r="G22" s="5">
        <f>+$F22*'Sheet2(F_12)'!$I22</f>
        <v>20161.500581132113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566322.7848101266</v>
      </c>
      <c r="C23" s="5">
        <f>$B23*'Sheet2(F_12)'!$E23/100</f>
        <v>21421.50412861492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21421.50412861492</v>
      </c>
      <c r="G23" s="5">
        <f>+$F23*'Sheet2(F_12)'!$I23</f>
        <v>21421.50412861492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566322.7848101266</v>
      </c>
      <c r="C24" s="5">
        <f>$B24*'Sheet2(F_12)'!$E24/100</f>
        <v>23737.503768839393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23737.503768839393</v>
      </c>
      <c r="G24" s="5">
        <f>+$F24*'Sheet2(F_12)'!$I24</f>
        <v>23737.503768839393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566322.7848101266</v>
      </c>
      <c r="C25" s="5">
        <f>$B25*'Sheet2(F_12)'!$E25/100</f>
        <v>25431.513366279407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25431.513366279407</v>
      </c>
      <c r="G25" s="5">
        <f>+$F25*'Sheet2(F_12)'!$I25</f>
        <v>25431.513366279407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4813743.670886077</v>
      </c>
      <c r="C27" s="5">
        <f t="shared" si="2"/>
        <v>170885.43087863343</v>
      </c>
      <c r="D27" s="5">
        <f t="shared" si="2"/>
        <v>0</v>
      </c>
      <c r="E27" s="5">
        <f t="shared" si="2"/>
        <v>0</v>
      </c>
      <c r="F27" s="5">
        <f t="shared" si="2"/>
        <v>170885.43087863343</v>
      </c>
      <c r="G27" s="5">
        <f t="shared" si="2"/>
        <v>170885.43087863343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118659.2894337975</v>
      </c>
      <c r="D29" s="5"/>
      <c r="E29" s="5">
        <f>NPV(+Title_RESULTS!$C$37,E17:E26)+E16</f>
        <v>0</v>
      </c>
      <c r="F29" s="5">
        <f>NPV(+Title_RESULTS!$C$37,F17:F26)+F16</f>
        <v>118659.2894337975</v>
      </c>
      <c r="G29" s="5">
        <f>NPV(+Title_RESULTS!$C$37,G17:G26)+G16</f>
        <v>118659.2894337975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Recommissioning</v>
      </c>
      <c r="J2" t="s">
        <v>42</v>
      </c>
    </row>
    <row r="3" spans="9:10" ht="12.75">
      <c r="I3" s="4"/>
      <c r="J3" s="35">
        <f>+Title_RESULTS!I4</f>
        <v>43599.324785069446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Recommissioning</v>
      </c>
      <c r="H2" t="s">
        <v>108</v>
      </c>
    </row>
    <row r="3" ht="12.75">
      <c r="H3" s="35">
        <f>+Title_RESULTS!I4</f>
        <v>43599.324785069446</v>
      </c>
    </row>
    <row r="5" spans="3:6" ht="12.75">
      <c r="C5" t="s">
        <v>60</v>
      </c>
      <c r="F5" s="38">
        <f>+'Value of Defferal'!L4</f>
        <v>3026.8675072</v>
      </c>
    </row>
    <row r="6" spans="3:6" ht="12.75">
      <c r="C6" t="s">
        <v>62</v>
      </c>
      <c r="F6" s="38">
        <f>+'Value of Defferal'!L5</f>
        <v>6450.005913600001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2737.8965865648192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299.1220196158275</v>
      </c>
      <c r="C17" s="5">
        <f>IF(+Title_RESULTS!$H$9&lt;='Sheet4(F_22)'!$A17,(+Title_RESULTS!$H$16*((1+Title_RESULTS!$H$18/100)^('Sheet4(F_22)'!$A17-Title_RESULTS!$H$7))*Title_RESULTS!$C$8*Partcipation!$C$26/1000),0)</f>
        <v>241.10954103305954</v>
      </c>
      <c r="D17" s="5">
        <f>(+B17+C17)*+Partcipation!$H17</f>
        <v>540.2315606488871</v>
      </c>
      <c r="E17" s="5">
        <f>VLOOKUP(A17,'Value of Defferal'!$I24:$P$58,'Value of Defferal'!$K$13)</f>
        <v>637.4044423222196</v>
      </c>
      <c r="F17" s="5">
        <f>IF(+'Value of Defferal'!P24=0,0,Title_RESULTS!$H$17*Title_RESULTS!$C$7*Partcipation!$C$26*(1+Title_RESULTS!$H$18/100)^('Sheet4(F_22)'!A17-Title_RESULTS!$H$7))/1000</f>
        <v>887.9818752</v>
      </c>
      <c r="G17" s="5">
        <f>(+E17+F17)*Partcipation!$H17</f>
        <v>1525.3863175222195</v>
      </c>
      <c r="H17" s="5">
        <f>+'Sheet5(p_5)'!$F17*'Sheet2(F_12)'!$I17</f>
        <v>8146.8808130069565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306.3009480866074</v>
      </c>
      <c r="C18" s="5">
        <f>IF(+Title_RESULTS!$H$9&lt;='Sheet4(F_22)'!$A18,(+Title_RESULTS!$H$16*((1+Title_RESULTS!$H$18/100)^('Sheet4(F_22)'!$A18-Title_RESULTS!$H$7))*Title_RESULTS!$C$8*Partcipation!$C$26/1000),0)</f>
        <v>246.8961700178529</v>
      </c>
      <c r="D18" s="5">
        <f>(+B18+C18)*+Partcipation!$H18</f>
        <v>553.1971181044603</v>
      </c>
      <c r="E18" s="5">
        <f>VLOOKUP(A18,'Value of Defferal'!$I25:$P$58,'Value of Defferal'!$K$13)</f>
        <v>652.7021489379528</v>
      </c>
      <c r="F18" s="5">
        <f>IF(+'Value of Defferal'!P25=0,0,Title_RESULTS!$H$17*Title_RESULTS!$C$7*Partcipation!$C$26*(1+Title_RESULTS!$H$18/100)^('Sheet4(F_22)'!A18-Title_RESULTS!$H$7))/1000</f>
        <v>909.2934402047999</v>
      </c>
      <c r="G18" s="5">
        <f>(+E18+F18)*Partcipation!$H18</f>
        <v>1561.9955891427526</v>
      </c>
      <c r="H18" s="5">
        <f>+'Sheet5(p_5)'!$F18*'Sheet2(F_12)'!$I18</f>
        <v>14013.543815707508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313.6521708406859</v>
      </c>
      <c r="C19" s="5">
        <f>IF(+Title_RESULTS!$H$9&lt;='Sheet4(F_22)'!$A19,(+Title_RESULTS!$H$16*((1+Title_RESULTS!$H$18/100)^('Sheet4(F_22)'!$A19-Title_RESULTS!$H$7))*Title_RESULTS!$C$8*Partcipation!$C$26/1000),0)</f>
        <v>252.8216780982814</v>
      </c>
      <c r="D19" s="5">
        <f>(+B19+C19)*+Partcipation!$H19</f>
        <v>566.4738489389673</v>
      </c>
      <c r="E19" s="5">
        <f>VLOOKUP(A19,'Value of Defferal'!$I26:$P$58,'Value of Defferal'!$K$13)</f>
        <v>668.3670005124636</v>
      </c>
      <c r="F19" s="5">
        <f>IF(+'Value of Defferal'!P26=0,0,Title_RESULTS!$H$17*Title_RESULTS!$C$7*Partcipation!$C$26*(1+Title_RESULTS!$H$18/100)^('Sheet4(F_22)'!A19-Title_RESULTS!$H$7))/1000</f>
        <v>931.1164827697153</v>
      </c>
      <c r="G19" s="5">
        <f>(+E19+F19)*Partcipation!$H19</f>
        <v>1599.483483282179</v>
      </c>
      <c r="H19" s="5">
        <f>+'Sheet5(p_5)'!$F19*'Sheet2(F_12)'!$I19</f>
        <v>17506.119067057785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321.1798229408624</v>
      </c>
      <c r="C20" s="5">
        <f>IF(+Title_RESULTS!$H$9&lt;='Sheet4(F_22)'!$A20,(+Title_RESULTS!$H$16*((1+Title_RESULTS!$H$18/100)^('Sheet4(F_22)'!$A20-Title_RESULTS!$H$7))*Title_RESULTS!$C$8*Partcipation!$C$26/1000),0)</f>
        <v>258.8893983726402</v>
      </c>
      <c r="D20" s="5">
        <f>(+B20+C20)*+Partcipation!$H20</f>
        <v>580.0692213135026</v>
      </c>
      <c r="E20" s="5">
        <f>VLOOKUP(A20,'Value of Defferal'!$I27:$P$58,'Value of Defferal'!$K$13)</f>
        <v>684.4078085247628</v>
      </c>
      <c r="F20" s="5">
        <f>IF(+'Value of Defferal'!P27=0,0,Title_RESULTS!$H$17*Title_RESULTS!$C$7*Partcipation!$C$26*(1+Title_RESULTS!$H$18/100)^('Sheet4(F_22)'!A20-Title_RESULTS!$H$7))/1000</f>
        <v>953.4632783561884</v>
      </c>
      <c r="G20" s="5">
        <f>(+E20+F20)*Partcipation!$H20</f>
        <v>1637.8710868809512</v>
      </c>
      <c r="H20" s="5">
        <f>+'Sheet5(p_5)'!$F20*'Sheet2(F_12)'!$I20</f>
        <v>18194.04356189428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328.8881386914431</v>
      </c>
      <c r="C21" s="5">
        <f>IF(+Title_RESULTS!$H$9&lt;='Sheet4(F_22)'!$A21,(+Title_RESULTS!$H$16*((1+Title_RESULTS!$H$18/100)^('Sheet4(F_22)'!$A21-Title_RESULTS!$H$7))*Title_RESULTS!$C$8*Partcipation!$C$26/1000),0)</f>
        <v>265.1027439335836</v>
      </c>
      <c r="D21" s="5">
        <f>(+B21+C21)*+Partcipation!$H21</f>
        <v>593.9908826250266</v>
      </c>
      <c r="E21" s="5">
        <f>VLOOKUP(A21,'Value of Defferal'!$I28:$P$58,'Value of Defferal'!$K$13)</f>
        <v>700.8335959293571</v>
      </c>
      <c r="F21" s="5">
        <f>IF(+'Value of Defferal'!P28=0,0,Title_RESULTS!$H$17*Title_RESULTS!$C$7*Partcipation!$C$26*(1+Title_RESULTS!$H$18/100)^('Sheet4(F_22)'!A21-Title_RESULTS!$H$7))/1000</f>
        <v>976.346397036737</v>
      </c>
      <c r="G21" s="5">
        <f>(+E21+F21)*Partcipation!$H21</f>
        <v>1677.1799929660942</v>
      </c>
      <c r="H21" s="5">
        <f>+'Sheet5(p_5)'!$F21*'Sheet2(F_12)'!$I21</f>
        <v>19534.92518953625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336.78145402003776</v>
      </c>
      <c r="C22" s="5">
        <f>IF(+Title_RESULTS!$H$9&lt;='Sheet4(F_22)'!$A22,(+Title_RESULTS!$H$16*((1+Title_RESULTS!$H$18/100)^('Sheet4(F_22)'!$A22-Title_RESULTS!$H$7))*Title_RESULTS!$C$8*Partcipation!$C$26/1000),0)</f>
        <v>271.4652097879895</v>
      </c>
      <c r="D22" s="5">
        <f>(+B22+C22)*+Partcipation!$H22</f>
        <v>608.2466638080273</v>
      </c>
      <c r="E22" s="5">
        <f>VLOOKUP(A22,'Value of Defferal'!$I29:$P$58,'Value of Defferal'!$K$13)</f>
        <v>717.6536022316617</v>
      </c>
      <c r="F22" s="5">
        <f>IF(+'Value of Defferal'!P29=0,0,Title_RESULTS!$H$17*Title_RESULTS!$C$7*Partcipation!$C$26*(1+Title_RESULTS!$H$18/100)^('Sheet4(F_22)'!A22-Title_RESULTS!$H$7))/1000</f>
        <v>999.7787105656184</v>
      </c>
      <c r="G22" s="5">
        <f>(+E22+F22)*Partcipation!$H22</f>
        <v>1717.4323127972802</v>
      </c>
      <c r="H22" s="5">
        <f>+'Sheet5(p_5)'!$F22*'Sheet2(F_12)'!$I22</f>
        <v>20161.500581132113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344.86420891651863</v>
      </c>
      <c r="C23" s="5">
        <f>IF(+Title_RESULTS!$H$9&lt;='Sheet4(F_22)'!$A23,(+Title_RESULTS!$H$16*((1+Title_RESULTS!$H$18/100)^('Sheet4(F_22)'!$A23-Title_RESULTS!$H$7))*Title_RESULTS!$C$8*Partcipation!$C$26/1000),0)</f>
        <v>277.9803748229013</v>
      </c>
      <c r="D23" s="5">
        <f>(+B23+C23)*+Partcipation!$H23</f>
        <v>622.8445837394199</v>
      </c>
      <c r="E23" s="5">
        <f>VLOOKUP(A23,'Value of Defferal'!$I30:$P$58,'Value of Defferal'!$K$13)</f>
        <v>734.8772886852215</v>
      </c>
      <c r="F23" s="5">
        <f>IF(+'Value of Defferal'!P30=0,0,Title_RESULTS!$H$17*Title_RESULTS!$C$7*Partcipation!$C$26*(1+Title_RESULTS!$H$18/100)^('Sheet4(F_22)'!A23-Title_RESULTS!$H$7))/1000</f>
        <v>1023.7733996191935</v>
      </c>
      <c r="G23" s="5">
        <f>(+E23+F23)*Partcipation!$H23</f>
        <v>1758.6506883044149</v>
      </c>
      <c r="H23" s="5">
        <f>+'Sheet5(p_5)'!$F23*'Sheet2(F_12)'!$I23</f>
        <v>21421.50412861492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353.1409499305151</v>
      </c>
      <c r="C24" s="5">
        <f>IF(+Title_RESULTS!$H$9&lt;='Sheet4(F_22)'!$A24,(+Title_RESULTS!$H$16*((1+Title_RESULTS!$H$18/100)^('Sheet4(F_22)'!$A24-Title_RESULTS!$H$7))*Title_RESULTS!$C$8*Partcipation!$C$26/1000),0)</f>
        <v>284.6519038186509</v>
      </c>
      <c r="D24" s="5">
        <f>(+B24+C24)*+Partcipation!$H24</f>
        <v>637.7928537491659</v>
      </c>
      <c r="E24" s="5">
        <f>VLOOKUP(A24,'Value of Defferal'!$I31:$P$58,'Value of Defferal'!$K$13)</f>
        <v>752.5143436136668</v>
      </c>
      <c r="F24" s="5">
        <f>IF(+'Value of Defferal'!P31=0,0,Title_RESULTS!$H$17*Title_RESULTS!$C$7*Partcipation!$C$26*(1+Title_RESULTS!$H$18/100)^('Sheet4(F_22)'!A24-Title_RESULTS!$H$7))/1000</f>
        <v>1048.343961210054</v>
      </c>
      <c r="G24" s="5">
        <f>(+E24+F24)*Partcipation!$H24</f>
        <v>1800.8583048237208</v>
      </c>
      <c r="H24" s="5">
        <f>+'Sheet5(p_5)'!$F24*'Sheet2(F_12)'!$I24</f>
        <v>23737.503768839393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361.61633272884745</v>
      </c>
      <c r="C25" s="5">
        <f>IF(+Title_RESULTS!$H$9&lt;='Sheet4(F_22)'!$A25,(+Title_RESULTS!$H$16*((1+Title_RESULTS!$H$18/100)^('Sheet4(F_22)'!$A25-Title_RESULTS!$H$7))*Title_RESULTS!$C$8*Partcipation!$C$26/1000),0)</f>
        <v>291.48354951029853</v>
      </c>
      <c r="D25" s="5">
        <f>(+B25+C25)*+Partcipation!$H25</f>
        <v>653.0998822391459</v>
      </c>
      <c r="E25" s="5">
        <f>VLOOKUP(A25,'Value of Defferal'!$I32:$P$58,'Value of Defferal'!$K$13)</f>
        <v>770.5746878603949</v>
      </c>
      <c r="F25" s="5">
        <f>IF(+'Value of Defferal'!P32=0,0,Title_RESULTS!$H$17*Title_RESULTS!$C$7*Partcipation!$C$26*(1+Title_RESULTS!$H$18/100)^('Sheet4(F_22)'!A25-Title_RESULTS!$H$7))/1000</f>
        <v>1073.5042162790953</v>
      </c>
      <c r="G25" s="5">
        <f>(+E25+F25)*Partcipation!$H25</f>
        <v>1844.07890413949</v>
      </c>
      <c r="H25" s="5">
        <f>+'Sheet5(p_5)'!$F25*'Sheet2(F_12)'!$I25</f>
        <v>25431.513366279407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2965.546045771345</v>
      </c>
      <c r="C27" s="5">
        <f t="shared" si="1"/>
        <v>2390.400569395258</v>
      </c>
      <c r="D27" s="5">
        <f t="shared" si="1"/>
        <v>5355.946615166603</v>
      </c>
      <c r="E27" s="5">
        <f t="shared" si="1"/>
        <v>6319.334918617701</v>
      </c>
      <c r="F27" s="5">
        <f t="shared" si="1"/>
        <v>8803.601761241402</v>
      </c>
      <c r="G27" s="5">
        <f t="shared" si="1"/>
        <v>15122.936679859104</v>
      </c>
      <c r="H27" s="5">
        <f t="shared" si="1"/>
        <v>170885.43087863343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2116.5871048225636</v>
      </c>
      <c r="C29" s="5">
        <f>NPV(Title_RESULTS!$C$37,'Sheet4(F_22)'!C17:C26)+'Sheet4(F_22)'!C16</f>
        <v>1706.0908657132418</v>
      </c>
      <c r="D29" s="5">
        <f>NPV(Title_RESULTS!$C$37,'Sheet4(F_22)'!D17:D26)+'Sheet4(F_22)'!D16</f>
        <v>3822.677970535806</v>
      </c>
      <c r="E29" s="5">
        <f>NPV(Title_RESULTS!$C$37,'Sheet4(F_22)'!E17:E26)+'Sheet4(F_22)'!E16</f>
        <v>4510.273181855854</v>
      </c>
      <c r="F29" s="5">
        <f>NPV(Title_RESULTS!$C$37,'Sheet4(F_22)'!F17:F26)+'Sheet4(F_22)'!F16</f>
        <v>6283.35884057741</v>
      </c>
      <c r="G29" s="5">
        <f>NPV(Title_RESULTS!$C$37,'Sheet4(F_22)'!G17:G26)+'Sheet4(F_22)'!G16</f>
        <v>10793.632022433263</v>
      </c>
      <c r="H29" s="5">
        <f>NPV(Title_RESULTS!$C$37,'Sheet4(F_22)'!H17:H26)+'Sheet4(F_22)'!H16</f>
        <v>118659.2894337975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Recommissioning</v>
      </c>
      <c r="P2" t="s">
        <v>121</v>
      </c>
    </row>
    <row r="3" ht="12.75">
      <c r="P3" s="35">
        <f>+Title_RESULTS!I4</f>
        <v>43599.324785069446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25</v>
      </c>
      <c r="E16" s="5">
        <f>IF(+'Sheet9(F_25)'!$A16&gt;=Title_RESULTS!$H$8,0,((Partcipation!$B16-Partcipation!$B15)*(Title_RESULTS!$C$39*((1+Title_RESULTS!$C$41/100)^('Sheet9(F_25)'!$A16-Title_RESULTS!$H$7)))/1000))</f>
        <v>18149.62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18149.62</v>
      </c>
      <c r="H16" s="5">
        <f>IF(Partcipation!$B17&lt;Partcipation!$B16,0,IF(Partcipation!$B16=0,0,(Partcipation!$B16-Partcipation!$B15)*(+Title_RESULTS!$C$29*(1+Title_RESULTS!$C$30/100)^(+'Sheet8(F_24)'!$A16-Title_RESULTS!$H$7))/1000))</f>
        <v>41576.27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41576.27</v>
      </c>
      <c r="K16" s="5">
        <f>(+Partcipation!$B15+(Partcipation!$B16-Partcipation!$B15)/2)*(+Title_RESULTS!$C$14)/1000</f>
        <v>89479</v>
      </c>
      <c r="L16" s="5">
        <f>($K16)*Partcipation!$E73*Title_RESULTS!$C$12/100</f>
        <v>2178.466956063976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3442.12602</v>
      </c>
      <c r="N16" s="5">
        <f>'Sheet2(F_12)'!$I16*('Sheet6(p_6)'!$L16+'Sheet6(p_6)'!$M16)</f>
        <v>5620.592976063976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25.6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25.6</v>
      </c>
      <c r="E17" s="5">
        <f>IF(+'Sheet9(F_25)'!$A17&gt;=Title_RESULTS!$H$8,0,((Partcipation!$B17-Partcipation!$B16)*(Title_RESULTS!$C$39*((1+Title_RESULTS!$C$41/100)^('Sheet9(F_25)'!$A17-Title_RESULTS!$H$7)))/1000))</f>
        <v>18149.62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18149.62</v>
      </c>
      <c r="H17" s="5">
        <f>IF(Partcipation!$B18&lt;Partcipation!$B17,0,IF(Partcipation!$B17=0,0,(Partcipation!$B17-Partcipation!$B16)*(+Title_RESULTS!$C$29*(1+Title_RESULTS!$C$30/100)^(+'Sheet8(F_24)'!$A17-Title_RESULTS!$H$7))/1000))</f>
        <v>42532.524209999996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42532.524209999996</v>
      </c>
      <c r="K17" s="5">
        <f>(+Partcipation!$B16+(Partcipation!$B17-Partcipation!$B16)/2)*(+Title_RESULTS!$C$14)/1000</f>
        <v>268437</v>
      </c>
      <c r="L17" s="5">
        <f>($K17)*Partcipation!$E74*Title_RESULTS!$C$12/100</f>
        <v>6846.443363536644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10429.641840600001</v>
      </c>
      <c r="N17" s="5">
        <f>'Sheet2(F_12)'!$I17*('Sheet6(p_6)'!$L17+'Sheet6(p_6)'!$M17)</f>
        <v>17276.085204136645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26.214399999999998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26.214399999999998</v>
      </c>
      <c r="E18" s="5">
        <f>IF(+'Sheet9(F_25)'!$A18&gt;=Title_RESULTS!$H$8,0,((Partcipation!$B18-Partcipation!$B17)*(Title_RESULTS!$C$39*((1+Title_RESULTS!$C$41/100)^('Sheet9(F_25)'!$A18-Title_RESULTS!$H$7)))/1000))</f>
        <v>18149.62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18149.62</v>
      </c>
      <c r="H18" s="5">
        <f>IF(Partcipation!$B19&lt;Partcipation!$B18,0,IF(Partcipation!$B18=0,0,(Partcipation!$B18-Partcipation!$B17)*(+Title_RESULTS!$C$29*(1+Title_RESULTS!$C$30/100)^(+'Sheet8(F_24)'!$A18-Title_RESULTS!$H$7))/1000))</f>
        <v>43510.77226682999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43510.77226682999</v>
      </c>
      <c r="K18" s="5">
        <f>(+Partcipation!$B17+(Partcipation!$B18-Partcipation!$B17)/2)*(+Title_RESULTS!$C$14)/1000</f>
        <v>447395</v>
      </c>
      <c r="L18" s="5">
        <f>($K18)*Partcipation!$E75*Title_RESULTS!$C$12/100</f>
        <v>11831.057936331468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17556.56376501</v>
      </c>
      <c r="N18" s="5">
        <f>'Sheet2(F_12)'!$I18*('Sheet6(p_6)'!$L18+'Sheet6(p_6)'!$M18)</f>
        <v>29387.621701341468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536874</v>
      </c>
      <c r="L19" s="5">
        <f>($K19)*Partcipation!$E76*Title_RESULTS!$C$12/100</f>
        <v>14080.88898998664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21278.55528319212</v>
      </c>
      <c r="N19" s="5">
        <f>'Sheet2(F_12)'!$I19*('Sheet6(p_6)'!$L19+'Sheet6(p_6)'!$M19)</f>
        <v>35359.44427317876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536874</v>
      </c>
      <c r="L20" s="5">
        <f>($K20)*Partcipation!$E77*Title_RESULTS!$C$12/100</f>
        <v>14879.55326157868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21491.340836024043</v>
      </c>
      <c r="N20" s="5">
        <f>'Sheet2(F_12)'!$I20*('Sheet6(p_6)'!$L20+'Sheet6(p_6)'!$M20)</f>
        <v>36370.89409760272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536874</v>
      </c>
      <c r="L21" s="5">
        <f>($K21)*Partcipation!$E78*Title_RESULTS!$C$12/100</f>
        <v>15733.619932174957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21706.254244384283</v>
      </c>
      <c r="N21" s="5">
        <f>'Sheet2(F_12)'!$I21*('Sheet6(p_6)'!$L21+'Sheet6(p_6)'!$M21)</f>
        <v>37439.87417655924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536874</v>
      </c>
      <c r="L22" s="5">
        <f>($K22)*Partcipation!$E79*Title_RESULTS!$C$12/100</f>
        <v>16445.00244283405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21923.31678682813</v>
      </c>
      <c r="N22" s="5">
        <f>'Sheet2(F_12)'!$I22*('Sheet6(p_6)'!$L22+'Sheet6(p_6)'!$M22)</f>
        <v>38368.319229662186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536874</v>
      </c>
      <c r="L23" s="5">
        <f>($K23)*Partcipation!$E80*Title_RESULTS!$C$12/100</f>
        <v>17413.30010422072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22142.549954696406</v>
      </c>
      <c r="N23" s="5">
        <f>'Sheet2(F_12)'!$I23*('Sheet6(p_6)'!$L23+'Sheet6(p_6)'!$M23)</f>
        <v>39555.85005891713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536874</v>
      </c>
      <c r="L24" s="5">
        <f>($K24)*Partcipation!$E81*Title_RESULTS!$C$12/100</f>
        <v>19062.25449817841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22363.975454243373</v>
      </c>
      <c r="N24" s="5">
        <f>'Sheet2(F_12)'!$I24*('Sheet6(p_6)'!$L24+'Sheet6(p_6)'!$M24)</f>
        <v>41426.22995242178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536874</v>
      </c>
      <c r="L25" s="5">
        <f>($K25)*Partcipation!$E82*Title_RESULTS!$C$12/100</f>
        <v>20033.433441665224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22587.61520878581</v>
      </c>
      <c r="N25" s="5">
        <f>'Sheet2(F_12)'!$I25*('Sheet6(p_6)'!$L25+'Sheet6(p_6)'!$M25)</f>
        <v>42621.04865045103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76.8144</v>
      </c>
      <c r="C27" s="5">
        <f t="shared" si="4"/>
        <v>0</v>
      </c>
      <c r="D27" s="5">
        <f t="shared" si="4"/>
        <v>76.8144</v>
      </c>
      <c r="E27" s="5">
        <f t="shared" si="4"/>
        <v>54448.86</v>
      </c>
      <c r="F27" s="5">
        <f t="shared" si="4"/>
        <v>0</v>
      </c>
      <c r="G27" s="5">
        <f t="shared" si="4"/>
        <v>54448.86</v>
      </c>
      <c r="H27" s="5">
        <f t="shared" si="4"/>
        <v>127619.56647682999</v>
      </c>
      <c r="I27" s="5">
        <f t="shared" si="4"/>
        <v>0</v>
      </c>
      <c r="J27" s="5">
        <f t="shared" si="4"/>
        <v>127619.56647682999</v>
      </c>
      <c r="K27" s="5">
        <f t="shared" si="4"/>
        <v>4563429</v>
      </c>
      <c r="L27" s="5">
        <f t="shared" si="4"/>
        <v>138504.02092657078</v>
      </c>
      <c r="M27" s="5">
        <f t="shared" si="4"/>
        <v>184921.93939376416</v>
      </c>
      <c r="N27" s="5">
        <f t="shared" si="4"/>
        <v>323425.960320335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71.76983152741104</v>
      </c>
      <c r="C29" s="5">
        <f>NPV(Title_RESULTS!$C$37,'Sheet6(p_6)'!C17:C26)+'Sheet6(p_6)'!C16</f>
        <v>0</v>
      </c>
      <c r="D29" s="5">
        <f>NPV(Title_RESULTS!$C$37,'Sheet6(p_6)'!D17:D26)+'Sheet6(p_6)'!D16</f>
        <v>71.76983152741104</v>
      </c>
      <c r="E29" s="5">
        <f>NPV(Title_RESULTS!$C$37,'Sheet6(p_6)'!E17:E26)+'Sheet6(p_6)'!E16</f>
        <v>50928.1118680122</v>
      </c>
      <c r="F29" s="5">
        <f>NPV(Title_RESULTS!$C$37,'Sheet6(p_6)'!F17:F26)+'Sheet6(p_6)'!F16</f>
        <v>0</v>
      </c>
      <c r="G29" s="5">
        <f>NPV(Title_RESULTS!$C$37,'Sheet6(p_6)'!G17:G26)+'Sheet6(p_6)'!G16</f>
        <v>50928.1118680122</v>
      </c>
      <c r="H29" s="5">
        <f>NPV(Title_RESULTS!$C$37,'Sheet6(p_6)'!H17:H26)+'Sheet6(p_6)'!H16</f>
        <v>119243.82404937624</v>
      </c>
      <c r="I29" s="5">
        <f>NPV(Title_RESULTS!$C$37,'Sheet6(p_6)'!I17:I26)+'Sheet6(p_6)'!I16</f>
        <v>0</v>
      </c>
      <c r="J29" s="5">
        <f>NPV(Title_RESULTS!$C$37,'Sheet6(p_6)'!J17:J26)+'Sheet6(p_6)'!J16</f>
        <v>119243.82404937624</v>
      </c>
      <c r="K29" s="5"/>
      <c r="L29" s="5">
        <f>NPV(Title_RESULTS!$C$37,'Sheet6(p_6)'!L17:L26)+'Sheet6(p_6)'!L16</f>
        <v>96401.2163732949</v>
      </c>
      <c r="M29" s="5">
        <f>NPV(Title_RESULTS!$C$37,'Sheet6(p_6)'!M17:M26)+'Sheet6(p_6)'!M16</f>
        <v>130992.45185902389</v>
      </c>
      <c r="N29" s="5">
        <f>NPV(Title_RESULTS!$C$37,'Sheet6(p_6)'!N17:N26)+'Sheet6(p_6)'!N16</f>
        <v>227393.66823231883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Recommissioning</v>
      </c>
      <c r="M2" t="s">
        <v>55</v>
      </c>
    </row>
    <row r="3" ht="12.75">
      <c r="M3" s="35">
        <f>+Title_RESULTS!I4</f>
        <v>43599.324785069446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IF(A16&gt;=(Title_RESULTS!$H$7+Title_RESULTS!$C$17),0,(+'Sheet6(p_6)'!$J16))</f>
        <v>41576.27</v>
      </c>
      <c r="E16" s="5">
        <f>IF(A16&gt;=(Title_RESULTS!$H$7+Title_RESULTS!$C$17),0,(+'f-11B'!$N15))</f>
        <v>0</v>
      </c>
      <c r="F16" s="5">
        <f>IF(A16&gt;=(Title_RESULTS!$H$7+Title_RESULTS!$C$17),0,(SUM(B16:E16)))</f>
        <v>41601.27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2737.8965865648192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2737.8965865648192</v>
      </c>
      <c r="L16" s="23">
        <f>IF(A16&gt;=(Title_RESULTS!$H$7+Title_RESULTS!$C$17),0,(+$K16-$F16))</f>
        <v>-38863.373413435176</v>
      </c>
      <c r="M16" s="23">
        <f>IF(A16&gt;=(Title_RESULTS!$H$7+Title_RESULTS!$C$17),0,(+$L16/(1+Title_RESULTS!$C$37)^('Sheet7(F_23)'!$A16-Title_RESULTS!$H$7)))</f>
        <v>-38863.373413435176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IF(A17&gt;=(Title_RESULTS!$H$7+Title_RESULTS!$C$17),0,(+'Sheet6(p_6)'!$J17))</f>
        <v>42532.524209999996</v>
      </c>
      <c r="E17" s="5">
        <f>IF(A17&gt;=(Title_RESULTS!$H$7+Title_RESULTS!$C$17),0,(+'f-11B'!$N16))</f>
        <v>0</v>
      </c>
      <c r="F17" s="5">
        <f>IF(A17&gt;=(Title_RESULTS!$H$7+Title_RESULTS!$C$17),0,(SUM(B17:E17)))</f>
        <v>42558.124209999994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2065.617878171107</v>
      </c>
      <c r="I17" s="5">
        <f>IF(A17&gt;=(Title_RESULTS!$H$7+Title_RESULTS!$C$17),0,(+'Sheet4(F_22)'!$H17))</f>
        <v>8146.8808130069565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10212.498691178063</v>
      </c>
      <c r="L17" s="23">
        <f>IF(A17&gt;=(Title_RESULTS!$H$7+Title_RESULTS!$C$17),0,(+$K17-$F17))</f>
        <v>-32345.62551882193</v>
      </c>
      <c r="M17" s="23">
        <f>IF(A17&gt;=(Title_RESULTS!$H$7+Title_RESULTS!$C$17),0,(+M16+$L17/(1+Title_RESULTS!$C$37)^('Sheet7(F_23)'!$A17-Title_RESULTS!$H$7)))</f>
        <v>-69070.34532118819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IF(A18&gt;=(Title_RESULTS!$H$7+Title_RESULTS!$C$17),0,(+'Sheet6(p_6)'!$J18))</f>
        <v>43510.77226682999</v>
      </c>
      <c r="E18" s="5">
        <f>IF(A18&gt;=(Title_RESULTS!$H$7+Title_RESULTS!$C$17),0,(+'f-11B'!$N17))</f>
        <v>0</v>
      </c>
      <c r="F18" s="5">
        <f>IF(A18&gt;=(Title_RESULTS!$H$7+Title_RESULTS!$C$17),0,(SUM(B18:E18)))</f>
        <v>43536.98666682999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2115.1927072472126</v>
      </c>
      <c r="I18" s="5">
        <f>IF(A18&gt;=(Title_RESULTS!$H$7+Title_RESULTS!$C$17),0,(+'Sheet4(F_22)'!$H18))</f>
        <v>14013.543815707508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16128.736522954721</v>
      </c>
      <c r="L18" s="23">
        <f>IF(A18&gt;=(Title_RESULTS!$H$7+Title_RESULTS!$C$17),0,(+$K18-$F18))</f>
        <v>-27408.250143875266</v>
      </c>
      <c r="M18" s="23">
        <f>IF(A18&gt;=(Title_RESULTS!$H$7+Title_RESULTS!$C$17),0,(+M17+$L18/(1+Title_RESULTS!$C$37)^('Sheet7(F_23)'!$A18-Title_RESULTS!$H$7)))</f>
        <v>-92974.01530329764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6562.564628666065</v>
      </c>
      <c r="H19" s="5">
        <f>IF(A19&gt;=(Title_RESULTS!$H$7+Title_RESULTS!$C$17),0,(+'Sheet4(F_22)'!$D19+'Sheet4(F_22)'!$G19))</f>
        <v>2165.9573322211463</v>
      </c>
      <c r="I19" s="5">
        <f>IF(A19&gt;=(Title_RESULTS!$H$7+Title_RESULTS!$C$17),0,(+'Sheet4(F_22)'!$H19))</f>
        <v>17506.119067057785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26234.641027944996</v>
      </c>
      <c r="L19" s="23">
        <f>IF(A19&gt;=(Title_RESULTS!$H$7+Title_RESULTS!$C$17),0,(+$K19-$F19))</f>
        <v>26234.641027944996</v>
      </c>
      <c r="M19" s="23">
        <f>IF(A19&gt;=(Title_RESULTS!$H$7+Title_RESULTS!$C$17),0,(+M18+$L19/(1+Title_RESULTS!$C$37)^('Sheet7(F_23)'!$A19-Title_RESULTS!$H$7)))</f>
        <v>-71606.69607051216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6737.554004694566</v>
      </c>
      <c r="H20" s="5">
        <f>IF(A20&gt;=(Title_RESULTS!$H$7+Title_RESULTS!$C$17),0,(+'Sheet4(F_22)'!$D20+'Sheet4(F_22)'!$G20))</f>
        <v>2217.940308194454</v>
      </c>
      <c r="I20" s="5">
        <f>IF(A20&gt;=(Title_RESULTS!$H$7+Title_RESULTS!$C$17),0,(+'Sheet4(F_22)'!$H20))</f>
        <v>18194.04356189428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27149.5378747833</v>
      </c>
      <c r="L20" s="23">
        <f>IF(A20&gt;=(Title_RESULTS!$H$7+Title_RESULTS!$C$17),0,(+$K20-$F20))</f>
        <v>27149.5378747833</v>
      </c>
      <c r="M20" s="23">
        <f>IF(A20&gt;=(Title_RESULTS!$H$7+Title_RESULTS!$C$17),0,(+M19+$L20/(1+Title_RESULTS!$C$37)^('Sheet7(F_23)'!$A20-Title_RESULTS!$H$7)))</f>
        <v>-50956.27119269727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6928.993538438358</v>
      </c>
      <c r="H21" s="5">
        <f>IF(A21&gt;=(Title_RESULTS!$H$7+Title_RESULTS!$C$17),0,(+'Sheet4(F_22)'!$D21+'Sheet4(F_22)'!$G21))</f>
        <v>2271.170875591121</v>
      </c>
      <c r="I21" s="5">
        <f>IF(A21&gt;=(Title_RESULTS!$H$7+Title_RESULTS!$C$17),0,(+'Sheet4(F_22)'!$H21))</f>
        <v>19534.92518953625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28735.089603565728</v>
      </c>
      <c r="L21" s="23">
        <f>IF(A21&gt;=(Title_RESULTS!$H$7+Title_RESULTS!$C$17),0,(+$K21-$F21))</f>
        <v>28735.089603565728</v>
      </c>
      <c r="M21" s="23">
        <f>IF(A21&gt;=(Title_RESULTS!$H$7+Title_RESULTS!$C$17),0,(+M20+$L21/(1+Title_RESULTS!$C$37)^('Sheet7(F_23)'!$A21-Title_RESULTS!$H$7)))</f>
        <v>-30544.96756262164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7143.396026129634</v>
      </c>
      <c r="H22" s="5">
        <f>IF(A22&gt;=(Title_RESULTS!$H$7+Title_RESULTS!$C$17),0,(+'Sheet4(F_22)'!$D22+'Sheet4(F_22)'!$G22))</f>
        <v>2325.6789766053075</v>
      </c>
      <c r="I22" s="5">
        <f>IF(A22&gt;=(Title_RESULTS!$H$7+Title_RESULTS!$C$17),0,(+'Sheet4(F_22)'!$H22))</f>
        <v>20161.500581132113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29630.575583867056</v>
      </c>
      <c r="L22" s="23">
        <f>IF(A22&gt;=(Title_RESULTS!$H$7+Title_RESULTS!$C$17),0,(+$K22-$F22))</f>
        <v>29630.575583867056</v>
      </c>
      <c r="M22" s="23">
        <f>IF(A22&gt;=(Title_RESULTS!$H$7+Title_RESULTS!$C$17),0,(+M21+$L22/(1+Title_RESULTS!$C$37)^('Sheet7(F_23)'!$A22-Title_RESULTS!$H$7)))</f>
        <v>-10889.204299902769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7335.695668307936</v>
      </c>
      <c r="H23" s="5">
        <f>IF(A23&gt;=(Title_RESULTS!$H$7+Title_RESULTS!$C$17),0,(+'Sheet4(F_22)'!$D23+'Sheet4(F_22)'!$G23))</f>
        <v>2381.495272043835</v>
      </c>
      <c r="I23" s="5">
        <f>IF(A23&gt;=(Title_RESULTS!$H$7+Title_RESULTS!$C$17),0,(+'Sheet4(F_22)'!$H23))</f>
        <v>21421.50412861492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31138.695068966692</v>
      </c>
      <c r="L23" s="23">
        <f>IF(A23&gt;=(Title_RESULTS!$H$7+Title_RESULTS!$C$17),0,(+$K23-$F23))</f>
        <v>31138.695068966692</v>
      </c>
      <c r="M23" s="23">
        <f>IF(A23&gt;=(Title_RESULTS!$H$7+Title_RESULTS!$C$17),0,(+M22+$L23/(1+Title_RESULTS!$C$37)^('Sheet7(F_23)'!$A23-Title_RESULTS!$H$7)))</f>
        <v>8401.224032783062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7454.529098081704</v>
      </c>
      <c r="H24" s="5">
        <f>IF(A24&gt;=(Title_RESULTS!$H$7+Title_RESULTS!$C$17),0,(+'Sheet4(F_22)'!$D24+'Sheet4(F_22)'!$G24))</f>
        <v>2438.6511585728867</v>
      </c>
      <c r="I24" s="5">
        <f>IF(A24&gt;=(Title_RESULTS!$H$7+Title_RESULTS!$C$17),0,(+'Sheet4(F_22)'!$H24))</f>
        <v>23737.503768839393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33630.68402549399</v>
      </c>
      <c r="L24" s="23">
        <f>IF(A24&gt;=(Title_RESULTS!$H$7+Title_RESULTS!$C$17),0,(+$K24-$F24))</f>
        <v>33630.68402549399</v>
      </c>
      <c r="M24" s="23">
        <f>IF(A24&gt;=(Title_RESULTS!$H$7+Title_RESULTS!$C$17),0,(+M23+$L24/(1+Title_RESULTS!$C$37)^('Sheet7(F_23)'!$A24-Title_RESULTS!$H$7)))</f>
        <v>27857.90691515574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7657.018908330743</v>
      </c>
      <c r="H25" s="5">
        <f>IF(A25&gt;=(Title_RESULTS!$H$7+Title_RESULTS!$C$17),0,(+'Sheet4(F_22)'!$D25+'Sheet4(F_22)'!$G25))</f>
        <v>2497.178786378636</v>
      </c>
      <c r="I25" s="5">
        <f>IF(A25&gt;=(Title_RESULTS!$H$7+Title_RESULTS!$C$17),0,(+'Sheet4(F_22)'!$H25))</f>
        <v>25431.513366279407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35585.71106098879</v>
      </c>
      <c r="L25" s="23">
        <f>IF(A25&gt;=(Title_RESULTS!$H$7+Title_RESULTS!$C$17),0,(+$K25-$F25))</f>
        <v>35585.71106098879</v>
      </c>
      <c r="M25" s="23">
        <f>IF(A25&gt;=(Title_RESULTS!$H$7+Title_RESULTS!$C$17),0,(+M24+$L25/(1+Title_RESULTS!$C$37)^('Sheet7(F_23)'!$A25-Title_RESULTS!$H$7)))</f>
        <v>47084.41369947109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76.8144</v>
      </c>
      <c r="D27" s="5">
        <f t="shared" si="1"/>
        <v>127619.56647682999</v>
      </c>
      <c r="E27" s="5">
        <f t="shared" si="1"/>
        <v>0</v>
      </c>
      <c r="F27" s="5">
        <f t="shared" si="1"/>
        <v>127696.38087683</v>
      </c>
      <c r="G27" s="5">
        <f t="shared" si="1"/>
        <v>49819.751872649</v>
      </c>
      <c r="H27" s="5">
        <f t="shared" si="1"/>
        <v>20478.883295025706</v>
      </c>
      <c r="I27" s="5">
        <f t="shared" si="1"/>
        <v>170885.43087863343</v>
      </c>
      <c r="J27" s="5">
        <f t="shared" si="1"/>
        <v>0</v>
      </c>
      <c r="K27" s="5">
        <f t="shared" si="1"/>
        <v>241184.06604630814</v>
      </c>
      <c r="L27" s="5">
        <f t="shared" si="1"/>
        <v>113487.68516947818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71.76983152741104</v>
      </c>
      <c r="D29" s="5">
        <f>NPV(Title_RESULTS!$C$37,'Sheet7(F_23)'!D17:D26)+'Sheet7(F_23)'!D16</f>
        <v>119243.82404937624</v>
      </c>
      <c r="E29" s="5">
        <f>NPV(Title_RESULTS!$C$37,'Sheet7(F_23)'!E17:E26)+'Sheet7(F_23)'!E16</f>
        <v>0</v>
      </c>
      <c r="F29" s="5">
        <f>NPV(Title_RESULTS!$C$37,'Sheet7(F_23)'!F17:F26)+'Sheet7(F_23)'!F16</f>
        <v>119315.59388090365</v>
      </c>
      <c r="G29" s="5">
        <f>NPV(Title_RESULTS!$C$37,'Sheet7(F_23)'!G17:G26)+'Sheet7(F_23)'!G16</f>
        <v>33124.40815360816</v>
      </c>
      <c r="H29" s="5">
        <f>NPV(Title_RESULTS!$C$37,'Sheet7(F_23)'!H17:H26)+'Sheet7(F_23)'!H16</f>
        <v>14616.309992969069</v>
      </c>
      <c r="I29" s="5">
        <f>NPV(Title_RESULTS!$C$37,'Sheet7(F_23)'!I17:I26)+'Sheet7(F_23)'!I16</f>
        <v>118659.2894337975</v>
      </c>
      <c r="J29" s="5">
        <f>NPV(Title_RESULTS!$C$37,'Sheet7(F_23)'!J17:J26)+'Sheet7(F_23)'!J16</f>
        <v>0</v>
      </c>
      <c r="K29" s="5">
        <f>NPV(Title_RESULTS!$C$37,'Sheet7(F_23)'!K17:K26)+'Sheet7(F_23)'!K16</f>
        <v>166400.00758037472</v>
      </c>
      <c r="L29" s="5">
        <f>NPV(Title_RESULTS!$C$37,'Sheet7(F_23)'!L17:L26)+'Sheet7(F_23)'!L16</f>
        <v>47084.41369947108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1.394620788180202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Recommissioning</v>
      </c>
      <c r="L2" t="s">
        <v>55</v>
      </c>
    </row>
    <row r="3" ht="12.75">
      <c r="L3" s="35">
        <f>+Title_RESULTS!I4</f>
        <v>43599.324785069446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5620.592976063976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18149.62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23770.212976063973</v>
      </c>
      <c r="G16" s="5">
        <f>IF(A16&gt;=(Title_RESULTS!$H$7+Title_RESULTS!$C$17),0,(+'Sheet6(p_6)'!$H16))</f>
        <v>41576.27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41576.27</v>
      </c>
      <c r="K16" s="23">
        <f>IF(A16&gt;=(Title_RESULTS!$H$7+Title_RESULTS!$C$17),0,(+F16-J16))</f>
        <v>-17806.057023936024</v>
      </c>
      <c r="L16" s="23">
        <f>IF(A16&gt;=(Title_RESULTS!$H$7+Title_RESULTS!$C$17),0,(+$K16/((1+Title_RESULTS!$C$37)^('Sheet8(F_24)'!$A16-Title_RESULTS!$H$7))))</f>
        <v>-17806.057023936024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17276.085204136645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18149.62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35425.70520413664</v>
      </c>
      <c r="G17" s="5">
        <f>IF(A17&gt;=(Title_RESULTS!$H$7+Title_RESULTS!$C$17),0,(+'Sheet6(p_6)'!$H17))</f>
        <v>42532.524209999996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42532.524209999996</v>
      </c>
      <c r="K17" s="23">
        <f>IF(A17&gt;=(Title_RESULTS!$H$7+Title_RESULTS!$C$17),0,(+F17-J17))</f>
        <v>-7106.819005863355</v>
      </c>
      <c r="L17" s="23">
        <f>IF(A16&gt;=(Title_RESULTS!$H$7+Title_RESULTS!$C$17),0,(+$K17/((1+Title_RESULTS!$C$37)^('Sheet8(F_24)'!$A17-Title_RESULTS!$H$7))+L16))</f>
        <v>-24442.981758586153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29387.621701341468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18149.62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47537.24170134147</v>
      </c>
      <c r="G18" s="5">
        <f>IF(A18&gt;=(Title_RESULTS!$H$7+Title_RESULTS!$C$17),0,(+'Sheet6(p_6)'!$H18))</f>
        <v>43510.77226682999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43510.77226682999</v>
      </c>
      <c r="K18" s="23">
        <f>IF(A18&gt;=(Title_RESULTS!$H$7+Title_RESULTS!$C$17),0,(+F18-J18))</f>
        <v>4026.4694345114767</v>
      </c>
      <c r="L18" s="23">
        <f>IF(A17&gt;=(Title_RESULTS!$H$7+Title_RESULTS!$C$17),0,(+$K18/((1+Title_RESULTS!$C$37)^('Sheet8(F_24)'!$A18-Title_RESULTS!$H$7))+L17))</f>
        <v>-20931.36040186408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35359.44427317876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35359.44427317876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35359.44427317876</v>
      </c>
      <c r="L19" s="23">
        <f>IF(A18&gt;=(Title_RESULTS!$H$7+Title_RESULTS!$C$17),0,(+$K19/((1+Title_RESULTS!$C$37)^('Sheet8(F_24)'!$A19-Title_RESULTS!$H$7))+L18))</f>
        <v>7867.8342535575575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36370.89409760272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36370.89409760272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36370.89409760272</v>
      </c>
      <c r="L20" s="23">
        <f>IF(A19&gt;=(Title_RESULTS!$H$7+Title_RESULTS!$C$17),0,(+$K20/((1+Title_RESULTS!$C$37)^('Sheet8(F_24)'!$A20-Title_RESULTS!$H$7))+L19))</f>
        <v>35532.18787038688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37439.87417655924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37439.87417655924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37439.87417655924</v>
      </c>
      <c r="L21" s="23">
        <f>IF(A20&gt;=(Title_RESULTS!$H$7+Title_RESULTS!$C$17),0,(+$K21/((1+Title_RESULTS!$C$37)^('Sheet8(F_24)'!$A21-Title_RESULTS!$H$7))+L20))</f>
        <v>62126.73308435933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38368.319229662186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38368.319229662186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38368.319229662186</v>
      </c>
      <c r="L22" s="23">
        <f>IF(A21&gt;=(Title_RESULTS!$H$7+Title_RESULTS!$C$17),0,(+$K22/((1+Title_RESULTS!$C$37)^('Sheet8(F_24)'!$A22-Title_RESULTS!$H$7))+L21))</f>
        <v>87578.77323903254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39555.85005891713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39555.85005891713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39555.85005891713</v>
      </c>
      <c r="L23" s="23">
        <f>IF(A22&gt;=(Title_RESULTS!$H$7+Title_RESULTS!$C$17),0,(+$K23/((1+Title_RESULTS!$C$37)^('Sheet8(F_24)'!$A23-Title_RESULTS!$H$7))+L22))</f>
        <v>112083.6309092075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41426.22995242178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41426.22995242178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41426.22995242178</v>
      </c>
      <c r="L24" s="23">
        <f>IF(A23&gt;=(Title_RESULTS!$H$7+Title_RESULTS!$C$17),0,(+$K24/((1+Title_RESULTS!$C$37)^('Sheet8(F_24)'!$A24-Title_RESULTS!$H$7))+L23))</f>
        <v>136050.34590630693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42621.04865045103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42621.04865045103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42621.04865045103</v>
      </c>
      <c r="L25" s="23">
        <f>IF(A24&gt;=(Title_RESULTS!$H$7+Title_RESULTS!$C$17),0,(+$K25/((1+Title_RESULTS!$C$37)^('Sheet8(F_24)'!$A25-Title_RESULTS!$H$7))+L24))</f>
        <v>159077.95605095476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323425.960320335</v>
      </c>
      <c r="C27" s="5">
        <f t="shared" si="1"/>
        <v>0</v>
      </c>
      <c r="D27" s="5">
        <f t="shared" si="1"/>
        <v>54448.86</v>
      </c>
      <c r="E27" s="5">
        <f t="shared" si="1"/>
        <v>0</v>
      </c>
      <c r="F27" s="5">
        <f t="shared" si="1"/>
        <v>377874.820320335</v>
      </c>
      <c r="G27" s="5">
        <f t="shared" si="1"/>
        <v>127619.56647682999</v>
      </c>
      <c r="H27" s="5">
        <f t="shared" si="1"/>
        <v>0</v>
      </c>
      <c r="I27" s="5">
        <f t="shared" si="1"/>
        <v>0</v>
      </c>
      <c r="J27" s="5">
        <f t="shared" si="1"/>
        <v>127619.56647682999</v>
      </c>
      <c r="K27" s="5">
        <f t="shared" si="1"/>
        <v>250255.25384350496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227393.66823231883</v>
      </c>
      <c r="C29" s="5">
        <f>NPV(Title_RESULTS!$C$37,'Sheet8(F_24)'!C17:C26)+'Sheet8(F_24)'!C16</f>
        <v>0</v>
      </c>
      <c r="D29" s="5">
        <f>NPV(Title_RESULTS!$C$37,'Sheet8(F_24)'!D17:D26)+'Sheet8(F_24)'!D16</f>
        <v>50928.1118680122</v>
      </c>
      <c r="E29" s="5">
        <f>NPV(Title_RESULTS!$C$37,'Sheet8(F_24)'!E17:E26)+'Sheet8(F_24)'!E16</f>
        <v>0</v>
      </c>
      <c r="F29" s="5">
        <f>NPV(Title_RESULTS!$C$37,'Sheet8(F_24)'!F17:F26)+'Sheet8(F_24)'!F16</f>
        <v>278321.780100331</v>
      </c>
      <c r="G29" s="5">
        <f>NPV(Title_RESULTS!$C$37,'Sheet8(F_24)'!G17:G26)+'Sheet8(F_24)'!G16</f>
        <v>119243.82404937624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119243.82404937624</v>
      </c>
      <c r="K29" s="5">
        <f>NPV(Title_RESULTS!$C$37,'Sheet8(F_24)'!K17:K26)+'Sheet8(F_24)'!K16</f>
        <v>159077.95605095476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2.3340561435289433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Recommissioning</v>
      </c>
      <c r="N2" t="s">
        <v>55</v>
      </c>
    </row>
    <row r="3" ht="12.75">
      <c r="N3" s="35">
        <f>+Title_RESULTS!I4</f>
        <v>43599.324785069446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25</v>
      </c>
      <c r="D16" s="5">
        <f>IF(A16&gt;=(Title_RESULTS!$H$7+Title_RESULTS!$C$17),0,(+'Sheet6(p_6)'!$G16))</f>
        <v>18149.62</v>
      </c>
      <c r="E16" s="5">
        <f>+'Sheet6(p_6)'!M16</f>
        <v>3442.12602</v>
      </c>
      <c r="F16">
        <f>IF(A16&gt;=(Title_RESULTS!$H$7+Title_RESULTS!$C$17),0,(+'f-11B'!$R15))</f>
        <v>0</v>
      </c>
      <c r="G16" s="5">
        <f>IF(A16&gt;=(Title_RESULTS!$H$7+Title_RESULTS!$C$17),0,(SUM(B16:F16)))</f>
        <v>21616.74602</v>
      </c>
      <c r="H16" s="5">
        <f>IF(A16&gt;=(Title_RESULTS!$H$7+Title_RESULTS!$C$17),0,(+'Sheet3(F_21)'!$J16+'Sheet4(F_22)'!$H16))</f>
        <v>2737.8965865648192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2737.8965865648192</v>
      </c>
      <c r="M16" s="23">
        <f>IF(A16&gt;=(Title_RESULTS!$H$7+Title_RESULTS!$C$17),0,(+L16-G16))</f>
        <v>-18878.849433435178</v>
      </c>
      <c r="N16" s="24">
        <f>IF(A16&gt;=(Title_RESULTS!$H$7+Title_RESULTS!$C$17),0,(+$M16/((1+Title_RESULTS!$C$37)^('Sheet9(F_25)'!$A16-Title_RESULTS!$H$7))))</f>
        <v>-18878.849433435178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25.6</v>
      </c>
      <c r="D17" s="5">
        <f>IF(A17&gt;=(Title_RESULTS!$H$7+Title_RESULTS!$C$17),0,(+'Sheet6(p_6)'!$G17))</f>
        <v>18149.62</v>
      </c>
      <c r="E17" s="5">
        <f>+'Sheet6(p_6)'!M17</f>
        <v>10429.641840600001</v>
      </c>
      <c r="F17">
        <f>IF(A17&gt;=(Title_RESULTS!$H$7+Title_RESULTS!$C$17),0,(+'f-11B'!$R16))</f>
        <v>0</v>
      </c>
      <c r="G17" s="5">
        <f>IF(A17&gt;=(Title_RESULTS!$H$7+Title_RESULTS!$C$17),0,(SUM(B17:F17)))</f>
        <v>28604.8618406</v>
      </c>
      <c r="H17" s="5">
        <f>IF(A17&gt;=(Title_RESULTS!$H$7+Title_RESULTS!$C$17),0,(+'Sheet3(F_21)'!$J17+'Sheet4(F_22)'!$H17))</f>
        <v>8146.8808130069565</v>
      </c>
      <c r="I17" s="5">
        <f>IF(A17&gt;=(Title_RESULTS!$H$7+Title_RESULTS!$C$17),0,(+'Sheet4(F_22)'!$D17+'Sheet4(F_22)'!$G17))</f>
        <v>2065.617878171107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10212.498691178063</v>
      </c>
      <c r="M17" s="23">
        <f>IF(A17&gt;=(Title_RESULTS!$H$7+Title_RESULTS!$C$17),0,(+L17-G17))</f>
        <v>-18392.363149421937</v>
      </c>
      <c r="N17" s="24">
        <f>(IF(A16&gt;=(Title_RESULTS!$H$7+Title_RESULTS!$C$17),0,(+$M17/((1+Title_RESULTS!$C$37)^('Sheet9(F_25)'!$A17-Title_RESULTS!$H$7))+N16)))</f>
        <v>-36055.13179187928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26.214399999999998</v>
      </c>
      <c r="D18" s="5">
        <f>IF(A18&gt;=(Title_RESULTS!$H$7+Title_RESULTS!$C$17),0,(+'Sheet6(p_6)'!$G18))</f>
        <v>18149.62</v>
      </c>
      <c r="E18" s="5">
        <f>+'Sheet6(p_6)'!M18</f>
        <v>17556.56376501</v>
      </c>
      <c r="F18">
        <f>IF(A18&gt;=(Title_RESULTS!$H$7+Title_RESULTS!$C$17),0,(+'f-11B'!$R17))</f>
        <v>0</v>
      </c>
      <c r="G18" s="5">
        <f>IF(A18&gt;=(Title_RESULTS!$H$7+Title_RESULTS!$C$17),0,(SUM(B18:F18)))</f>
        <v>35732.39816501</v>
      </c>
      <c r="H18" s="5">
        <f>IF(A18&gt;=(Title_RESULTS!$H$7+Title_RESULTS!$C$17),0,(+'Sheet3(F_21)'!$J18+'Sheet4(F_22)'!$H18))</f>
        <v>14013.543815707508</v>
      </c>
      <c r="I18" s="5">
        <f>IF(A18&gt;=(Title_RESULTS!$H$7+Title_RESULTS!$C$17),0,(+'Sheet4(F_22)'!$D18+'Sheet4(F_22)'!$G18))</f>
        <v>2115.1927072472126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16128.736522954721</v>
      </c>
      <c r="M18" s="23">
        <f>IF(A18&gt;=(Title_RESULTS!$H$7+Title_RESULTS!$C$17),0,(+L18-G18))</f>
        <v>-19603.661642055282</v>
      </c>
      <c r="N18" s="24">
        <f>(IF(A17&gt;=(Title_RESULTS!$H$7+Title_RESULTS!$C$17),0,(+$M18/((1+Title_RESULTS!$C$37)^('Sheet9(F_25)'!$A18-Title_RESULTS!$H$7))+N17)))</f>
        <v>-53152.15388824766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21278.55528319212</v>
      </c>
      <c r="F19">
        <f>IF(A19&gt;=(Title_RESULTS!$H$7+Title_RESULTS!$C$17),0,(+'f-11B'!$R18))</f>
        <v>0</v>
      </c>
      <c r="G19" s="5">
        <f>IF(A19&gt;=(Title_RESULTS!$H$7+Title_RESULTS!$C$17),0,(SUM(B19:F19)))</f>
        <v>21278.55528319212</v>
      </c>
      <c r="H19" s="5">
        <f>IF(A19&gt;=(Title_RESULTS!$H$7+Title_RESULTS!$C$17),0,(+'Sheet3(F_21)'!$J19+'Sheet4(F_22)'!$H19))</f>
        <v>24068.68369572385</v>
      </c>
      <c r="I19" s="5">
        <f>IF(A19&gt;=(Title_RESULTS!$H$7+Title_RESULTS!$C$17),0,(+'Sheet4(F_22)'!$D19+'Sheet4(F_22)'!$G19))</f>
        <v>2165.9573322211463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26234.641027944996</v>
      </c>
      <c r="M19" s="23">
        <f>IF(A19&gt;=(Title_RESULTS!$H$7+Title_RESULTS!$C$17),0,(+L19-G19))</f>
        <v>4956.085744752876</v>
      </c>
      <c r="N19" s="24">
        <f>(IF(A18&gt;=(Title_RESULTS!$H$7+Title_RESULTS!$C$17),0,(+$M19/((1+Title_RESULTS!$C$37)^('Sheet9(F_25)'!$A19-Title_RESULTS!$H$7))+N18)))</f>
        <v>-49115.572402707614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21491.340836024043</v>
      </c>
      <c r="F20">
        <f>IF(A20&gt;=(Title_RESULTS!$H$7+Title_RESULTS!$C$17),0,(+'f-11B'!$R19))</f>
        <v>0</v>
      </c>
      <c r="G20" s="5">
        <f>IF(A20&gt;=(Title_RESULTS!$H$7+Title_RESULTS!$C$17),0,(SUM(B20:F20)))</f>
        <v>21491.340836024043</v>
      </c>
      <c r="H20" s="5">
        <f>IF(A20&gt;=(Title_RESULTS!$H$7+Title_RESULTS!$C$17),0,(+'Sheet3(F_21)'!$J20+'Sheet4(F_22)'!$H20))</f>
        <v>24931.597566588847</v>
      </c>
      <c r="I20" s="5">
        <f>IF(A20&gt;=(Title_RESULTS!$H$7+Title_RESULTS!$C$17),0,(+'Sheet4(F_22)'!$D20+'Sheet4(F_22)'!$G20))</f>
        <v>2217.940308194454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27149.537874783302</v>
      </c>
      <c r="M20" s="23">
        <f>IF(A20&gt;=(Title_RESULTS!$H$7+Title_RESULTS!$C$17),0,(+L20-G20))</f>
        <v>5658.197038759259</v>
      </c>
      <c r="N20" s="24">
        <f>(IF(A19&gt;=(Title_RESULTS!$H$7+Title_RESULTS!$C$17),0,(+$M20/((1+Title_RESULTS!$C$37)^('Sheet9(F_25)'!$A20-Title_RESULTS!$H$7))+N19)))</f>
        <v>-44811.84637128597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21706.254244384283</v>
      </c>
      <c r="F21">
        <f>IF(A21&gt;=(Title_RESULTS!$H$7+Title_RESULTS!$C$17),0,(+'f-11B'!$R20))</f>
        <v>0</v>
      </c>
      <c r="G21" s="5">
        <f>IF(A21&gt;=(Title_RESULTS!$H$7+Title_RESULTS!$C$17),0,(SUM(B21:F21)))</f>
        <v>21706.254244384283</v>
      </c>
      <c r="H21" s="5">
        <f>IF(A21&gt;=(Title_RESULTS!$H$7+Title_RESULTS!$C$17),0,(+'Sheet3(F_21)'!$J21+'Sheet4(F_22)'!$H21))</f>
        <v>26463.918727974607</v>
      </c>
      <c r="I21" s="5">
        <f>IF(A21&gt;=(Title_RESULTS!$H$7+Title_RESULTS!$C$17),0,(+'Sheet4(F_22)'!$D21+'Sheet4(F_22)'!$G21))</f>
        <v>2271.170875591121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28735.089603565728</v>
      </c>
      <c r="M21" s="23">
        <f>IF(A21&gt;=(Title_RESULTS!$H$7+Title_RESULTS!$C$17),0,(+L21-G21))</f>
        <v>7028.835359181445</v>
      </c>
      <c r="N21" s="24">
        <f>(IF(A20&gt;=(Title_RESULTS!$H$7+Title_RESULTS!$C$17),0,(+$M21/((1+Title_RESULTS!$C$37)^('Sheet9(F_25)'!$A21-Title_RESULTS!$H$7))+N20)))</f>
        <v>-39819.07639348637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21923.31678682813</v>
      </c>
      <c r="F22">
        <f>IF(A22&gt;=(Title_RESULTS!$H$7+Title_RESULTS!$C$17),0,(+'f-11B'!$R21))</f>
        <v>0</v>
      </c>
      <c r="G22" s="5">
        <f>IF(A22&gt;=(Title_RESULTS!$H$7+Title_RESULTS!$C$17),0,(SUM(B22:F22)))</f>
        <v>21923.31678682813</v>
      </c>
      <c r="H22" s="5">
        <f>IF(A22&gt;=(Title_RESULTS!$H$7+Title_RESULTS!$C$17),0,(+'Sheet3(F_21)'!$J22+'Sheet4(F_22)'!$H22))</f>
        <v>27304.896607261748</v>
      </c>
      <c r="I22" s="5">
        <f>IF(A22&gt;=(Title_RESULTS!$H$7+Title_RESULTS!$C$17),0,(+'Sheet4(F_22)'!$D22+'Sheet4(F_22)'!$G22))</f>
        <v>2325.6789766053075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29630.575583867056</v>
      </c>
      <c r="M22" s="23">
        <f>IF(A22&gt;=(Title_RESULTS!$H$7+Title_RESULTS!$C$17),0,(+L22-G22))</f>
        <v>7707.258797038925</v>
      </c>
      <c r="N22" s="24">
        <f>(IF(A21&gt;=(Title_RESULTS!$H$7+Title_RESULTS!$C$17),0,(+$M22/((1+Title_RESULTS!$C$37)^('Sheet9(F_25)'!$A22-Title_RESULTS!$H$7))+N21)))</f>
        <v>-34706.3827878452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22142.549954696406</v>
      </c>
      <c r="F23">
        <f>IF(A23&gt;=(Title_RESULTS!$H$7+Title_RESULTS!$C$17),0,(+'f-11B'!$R22))</f>
        <v>0</v>
      </c>
      <c r="G23" s="5">
        <f>IF(A23&gt;=(Title_RESULTS!$H$7+Title_RESULTS!$C$17),0,(SUM(B23:F23)))</f>
        <v>22142.549954696406</v>
      </c>
      <c r="H23" s="5">
        <f>IF(A23&gt;=(Title_RESULTS!$H$7+Title_RESULTS!$C$17),0,(+'Sheet3(F_21)'!$J23+'Sheet4(F_22)'!$H23))</f>
        <v>28757.199796922858</v>
      </c>
      <c r="I23" s="5">
        <f>IF(A23&gt;=(Title_RESULTS!$H$7+Title_RESULTS!$C$17),0,(+'Sheet4(F_22)'!$D23+'Sheet4(F_22)'!$G23))</f>
        <v>2381.495272043835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31138.695068966692</v>
      </c>
      <c r="M23" s="23">
        <f>IF(A23&gt;=(Title_RESULTS!$H$7+Title_RESULTS!$C$17),0,(+L23-G23))</f>
        <v>8996.145114270286</v>
      </c>
      <c r="N23" s="24">
        <f>(IF(A22&gt;=(Title_RESULTS!$H$7+Title_RESULTS!$C$17),0,(+$M23/((1+Title_RESULTS!$C$37)^('Sheet9(F_25)'!$A23-Title_RESULTS!$H$7))+N22)))</f>
        <v>-29133.26894306418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22363.975454243373</v>
      </c>
      <c r="F24">
        <f>IF(A24&gt;=(Title_RESULTS!$H$7+Title_RESULTS!$C$17),0,(+'f-11B'!$R23))</f>
        <v>0</v>
      </c>
      <c r="G24" s="5">
        <f>IF(A24&gt;=(Title_RESULTS!$H$7+Title_RESULTS!$C$17),0,(SUM(B24:F24)))</f>
        <v>22363.975454243373</v>
      </c>
      <c r="H24" s="5">
        <f>IF(A24&gt;=(Title_RESULTS!$H$7+Title_RESULTS!$C$17),0,(+'Sheet3(F_21)'!$J24+'Sheet4(F_22)'!$H24))</f>
        <v>31192.032866921098</v>
      </c>
      <c r="I24" s="5">
        <f>IF(A24&gt;=(Title_RESULTS!$H$7+Title_RESULTS!$C$17),0,(+'Sheet4(F_22)'!$D24+'Sheet4(F_22)'!$G24))</f>
        <v>2438.6511585728867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33630.68402549398</v>
      </c>
      <c r="M24" s="23">
        <f>IF(A24&gt;=(Title_RESULTS!$H$7+Title_RESULTS!$C$17),0,(+L24-G24))</f>
        <v>11266.708571250609</v>
      </c>
      <c r="N24" s="24">
        <f>(IF(A23&gt;=(Title_RESULTS!$H$7+Title_RESULTS!$C$17),0,(+$M24/((1+Title_RESULTS!$C$37)^('Sheet9(F_25)'!$A24-Title_RESULTS!$H$7))+N23)))</f>
        <v>-22615.031739421298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22587.61520878581</v>
      </c>
      <c r="F25">
        <f>IF(A25&gt;=(Title_RESULTS!$H$7+Title_RESULTS!$C$17),0,(+'f-11B'!$R24))</f>
        <v>0</v>
      </c>
      <c r="G25" s="5">
        <f>IF(A25&gt;=(Title_RESULTS!$H$7+Title_RESULTS!$C$17),0,(SUM(B25:F25)))</f>
        <v>22587.61520878581</v>
      </c>
      <c r="H25" s="5">
        <f>IF(A25&gt;=(Title_RESULTS!$H$7+Title_RESULTS!$C$17),0,(+'Sheet3(F_21)'!$J25+'Sheet4(F_22)'!$H25))</f>
        <v>33088.53227461015</v>
      </c>
      <c r="I25" s="5">
        <f>IF(A25&gt;=(Title_RESULTS!$H$7+Title_RESULTS!$C$17),0,(+'Sheet4(F_22)'!$D25+'Sheet4(F_22)'!$G25))</f>
        <v>2497.178786378636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35585.71106098879</v>
      </c>
      <c r="M25" s="23">
        <f>IF(A25&gt;=(Title_RESULTS!$H$7+Title_RESULTS!$C$17),0,(+L25-G25))</f>
        <v>12998.09585220298</v>
      </c>
      <c r="N25" s="24">
        <f>(IF(A24&gt;=(Title_RESULTS!$H$7+Title_RESULTS!$C$17),0,(+$M25/((1+Title_RESULTS!$C$37)^('Sheet9(F_25)'!$A25-Title_RESULTS!$H$7))+N24)))</f>
        <v>-15592.325978188777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76.8144</v>
      </c>
      <c r="D27" s="5">
        <f t="shared" si="1"/>
        <v>54448.86</v>
      </c>
      <c r="E27" s="5">
        <f t="shared" si="1"/>
        <v>184921.93939376416</v>
      </c>
      <c r="F27" s="5">
        <f t="shared" si="1"/>
        <v>0</v>
      </c>
      <c r="G27" s="5">
        <f t="shared" si="1"/>
        <v>239447.61379376415</v>
      </c>
      <c r="H27" s="5">
        <f t="shared" si="1"/>
        <v>220705.18275128247</v>
      </c>
      <c r="I27" s="5">
        <f t="shared" si="1"/>
        <v>20478.883295025706</v>
      </c>
      <c r="J27" s="5">
        <f t="shared" si="1"/>
        <v>0</v>
      </c>
      <c r="K27" s="9">
        <f t="shared" si="1"/>
        <v>0</v>
      </c>
      <c r="L27" s="5">
        <f t="shared" si="1"/>
        <v>241184.06604630814</v>
      </c>
      <c r="M27" s="5">
        <f t="shared" si="1"/>
        <v>1736.4522525439825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71.76983152741104</v>
      </c>
      <c r="D29" s="5">
        <f>NPV(Title_RESULTS!$C$37,'Sheet9(F_25)'!D17:D26)+'Sheet9(F_25)'!D16</f>
        <v>50928.1118680122</v>
      </c>
      <c r="E29" s="5">
        <f>NPV(Title_RESULTS!$C$37,'Sheet9(F_25)'!E17:E26)+'Sheet9(F_25)'!E16</f>
        <v>130992.45185902389</v>
      </c>
      <c r="F29" s="5">
        <f>NPV(Title_RESULTS!$C$37,'Sheet9(F_25)'!F17:F26)+'Sheet9(F_25)'!F16</f>
        <v>0</v>
      </c>
      <c r="G29" s="5">
        <f>NPV(Title_RESULTS!$C$37,'Sheet9(F_25)'!G17:G26)+'Sheet9(F_25)'!G16</f>
        <v>181992.3335585635</v>
      </c>
      <c r="H29" s="5">
        <f>NPV(Title_RESULTS!$C$37,'Sheet9(F_25)'!H17:H26)+'Sheet9(F_25)'!H16</f>
        <v>151783.69758740565</v>
      </c>
      <c r="I29" s="5">
        <f>NPV(Title_RESULTS!$C$37,'Sheet9(F_25)'!I17:I26)+'Sheet9(F_25)'!I16</f>
        <v>14616.309992969069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166400.00758037475</v>
      </c>
      <c r="M29" s="5">
        <f>NPV(Title_RESULTS!$C$37,'Sheet9(F_25)'!M17:M26)+'Sheet9(F_25)'!M16</f>
        <v>-15592.325978188781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0.9143242702958624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51889.55116124469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3026.8675072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6450.005913600001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299.1220196158275</v>
      </c>
      <c r="P24" s="48">
        <f aca="true" t="shared" si="4" ref="P24:P61">N24*$L$5</f>
        <v>637.4044423222196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306.3009480866074</v>
      </c>
      <c r="P25" s="48">
        <f t="shared" si="4"/>
        <v>652.7021489379528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7139.517708769758</v>
      </c>
      <c r="E26" s="11">
        <f>IF(B26=Title_RESULTS!$H$8,$F$16,+E25*(1+$F$7))</f>
        <v>0.09882230355451863</v>
      </c>
      <c r="F26" s="9">
        <f t="shared" si="1"/>
        <v>5127.844976164248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416.46870489592027</v>
      </c>
      <c r="L26" s="5">
        <f t="shared" si="3"/>
        <v>887.4605852480504</v>
      </c>
      <c r="N26" s="11">
        <f>IF(+B26=Title_RESULTS!$H$9,'Value of Defferal'!$O$16,+'Value of Defferal'!N25*(1+'Value of Defferal'!$F$7))</f>
        <v>0.10362269577198292</v>
      </c>
      <c r="O26" s="5">
        <f t="shared" si="7"/>
        <v>313.6521708406859</v>
      </c>
      <c r="P26" s="48">
        <f t="shared" si="4"/>
        <v>668.3670005124636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6928.688578173555</v>
      </c>
      <c r="E27" s="11">
        <f>IF(B27=Title_RESULTS!$H$8,$F$16,+E26*(1+$F$7))</f>
        <v>0.10119403883982707</v>
      </c>
      <c r="F27" s="9">
        <f t="shared" si="1"/>
        <v>5250.91325559219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404.1704323016972</v>
      </c>
      <c r="L27" s="5">
        <f t="shared" si="3"/>
        <v>861.2539770066536</v>
      </c>
      <c r="N27" s="11">
        <f>IF(+B27=Title_RESULTS!$H$9,'Value of Defferal'!$O$16,+'Value of Defferal'!N26*(1+'Value of Defferal'!$F$7))</f>
        <v>0.10610964047051051</v>
      </c>
      <c r="O27" s="5">
        <f t="shared" si="7"/>
        <v>321.1798229408624</v>
      </c>
      <c r="P27" s="48">
        <f t="shared" si="4"/>
        <v>684.4078085247628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6695.934755591243</v>
      </c>
      <c r="E28" s="11">
        <f>IF(B28=Title_RESULTS!$H$8,$F$16,+E27*(1+$F$7))</f>
        <v>0.10362269577198292</v>
      </c>
      <c r="F28" s="9">
        <f t="shared" si="1"/>
        <v>5376.935173726402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390.593229050088</v>
      </c>
      <c r="L28" s="5">
        <f t="shared" si="3"/>
        <v>832.3220726353129</v>
      </c>
      <c r="N28" s="11">
        <f>IF(+B28=Title_RESULTS!$H$9,'Value of Defferal'!$O$16,+'Value of Defferal'!N27*(1+'Value of Defferal'!$F$7))</f>
        <v>0.10865627184180277</v>
      </c>
      <c r="O28" s="5">
        <f t="shared" si="7"/>
        <v>328.8881386914431</v>
      </c>
      <c r="P28" s="48">
        <f t="shared" si="4"/>
        <v>700.8335959293571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6474.328558089192</v>
      </c>
      <c r="E29" s="11">
        <f>IF(B29=Title_RESULTS!$H$8,$F$16,+E28*(1+$F$7))</f>
        <v>0.10610964047051051</v>
      </c>
      <c r="F29" s="9">
        <f t="shared" si="1"/>
        <v>5505.981617895835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377.6662989918821</v>
      </c>
      <c r="L29" s="5">
        <f t="shared" si="3"/>
        <v>804.7758470004649</v>
      </c>
      <c r="N29" s="11">
        <f>IF(+B29=Title_RESULTS!$H$9,'Value of Defferal'!$O$16,+'Value of Defferal'!N28*(1+'Value of Defferal'!$F$7))</f>
        <v>0.11126402236600604</v>
      </c>
      <c r="O29" s="5">
        <f t="shared" si="7"/>
        <v>336.78145402003776</v>
      </c>
      <c r="P29" s="48">
        <f t="shared" si="4"/>
        <v>717.6536022316617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6262.752135174588</v>
      </c>
      <c r="E30" s="11">
        <f>IF(B30=Title_RESULTS!$H$8,$F$16,+E29*(1+$F$7))</f>
        <v>0.10865627184180277</v>
      </c>
      <c r="F30" s="9">
        <f t="shared" si="1"/>
        <v>5638.125176725336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365.32443467666076</v>
      </c>
      <c r="L30" s="5">
        <f t="shared" si="3"/>
        <v>778.4763483839347</v>
      </c>
      <c r="N30" s="11">
        <f>IF(+B30=Title_RESULTS!$H$9,'Value of Defferal'!$O$16,+'Value of Defferal'!N29*(1+'Value of Defferal'!$F$7))</f>
        <v>0.11393435890279018</v>
      </c>
      <c r="O30" s="5">
        <f t="shared" si="7"/>
        <v>344.86420891651863</v>
      </c>
      <c r="P30" s="48">
        <f t="shared" si="4"/>
        <v>734.8772886852215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6060.211155746089</v>
      </c>
      <c r="E31" s="11">
        <f>IF(B31=Title_RESULTS!$H$8,$F$16,+E30*(1+$F$7))</f>
        <v>0.11126402236600604</v>
      </c>
      <c r="F31" s="9">
        <f t="shared" si="1"/>
        <v>5773.440180966744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353.5096338971452</v>
      </c>
      <c r="L31" s="5">
        <f t="shared" si="3"/>
        <v>753.2999788485614</v>
      </c>
      <c r="N31" s="11">
        <f>IF(+B31=Title_RESULTS!$H$9,'Value of Defferal'!$O$16,+'Value of Defferal'!N30*(1+'Value of Defferal'!$F$7))</f>
        <v>0.11666878351645714</v>
      </c>
      <c r="O31" s="5">
        <f t="shared" si="7"/>
        <v>353.1409499305151</v>
      </c>
      <c r="P31" s="48">
        <f t="shared" si="4"/>
        <v>752.5143436136668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5863.975841252189</v>
      </c>
      <c r="E32" s="11">
        <f>IF(B32=Title_RESULTS!$H$8,$F$16,+E31*(1+$F$7))</f>
        <v>0.11393435890279018</v>
      </c>
      <c r="F32" s="9">
        <f t="shared" si="1"/>
        <v>5912.002745309946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342.0626607799371</v>
      </c>
      <c r="L32" s="5">
        <f t="shared" si="3"/>
        <v>728.9074198339412</v>
      </c>
      <c r="N32" s="11">
        <f>IF(+B32=Title_RESULTS!$H$9,'Value of Defferal'!$O$16,+'Value of Defferal'!N31*(1+'Value of Defferal'!$F$7))</f>
        <v>0.11946883432085212</v>
      </c>
      <c r="O32" s="5">
        <f t="shared" si="7"/>
        <v>361.61633272884745</v>
      </c>
      <c r="P32" s="48">
        <f t="shared" si="4"/>
        <v>770.5746878603949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5669.76006880884</v>
      </c>
      <c r="E33" s="11">
        <f>IF(B33=Title_RESULTS!$H$8,$F$16,+E32*(1+$F$7))</f>
        <v>0.11666878351645714</v>
      </c>
      <c r="F33" s="9">
        <f t="shared" si="1"/>
        <v>6053.890811197384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330.73349338807134</v>
      </c>
      <c r="L33" s="5">
        <f t="shared" si="3"/>
        <v>704.7658951388961</v>
      </c>
      <c r="N33" s="11">
        <f>IF(+B33=Title_RESULTS!$H$9,'Value of Defferal'!$O$16,+'Value of Defferal'!N32*(1+'Value of Defferal'!$F$7))</f>
        <v>0.12233608634455258</v>
      </c>
      <c r="O33" s="5">
        <f t="shared" si="7"/>
        <v>370.2951247143398</v>
      </c>
      <c r="P33" s="48">
        <f t="shared" si="4"/>
        <v>789.0684803690444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5475.544296365489</v>
      </c>
      <c r="E34" s="11">
        <f>IF(B34=Title_RESULTS!$H$8,$F$16,+E33*(1+$F$7))</f>
        <v>0.11946883432085212</v>
      </c>
      <c r="F34" s="9">
        <f t="shared" si="1"/>
        <v>6199.184190666122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319.40432599620556</v>
      </c>
      <c r="L34" s="5">
        <f t="shared" si="3"/>
        <v>680.6243704438508</v>
      </c>
      <c r="N34" s="11">
        <f>IF(+B34=Title_RESULTS!$H$9,'Value of Defferal'!$O$16,+'Value of Defferal'!N33*(1+'Value of Defferal'!$F$7))</f>
        <v>0.12527215241682185</v>
      </c>
      <c r="O34" s="5">
        <f t="shared" si="7"/>
        <v>379.18220770748405</v>
      </c>
      <c r="P34" s="48">
        <f t="shared" si="4"/>
        <v>808.0061238979016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5281.3285239221395</v>
      </c>
      <c r="E35" s="11">
        <f>IF(B35=Title_RESULTS!$H$8,$F$16,+E34*(1+$F$7))</f>
        <v>0.12233608634455258</v>
      </c>
      <c r="F35" s="9">
        <f t="shared" si="1"/>
        <v>6347.96461124211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308.0751586043398</v>
      </c>
      <c r="L35" s="5">
        <f t="shared" si="3"/>
        <v>656.4828457488056</v>
      </c>
      <c r="N35" s="11">
        <f>IF(+B35=Title_RESULTS!$H$9,'Value of Defferal'!$O$16,+'Value of Defferal'!N34*(1+'Value of Defferal'!$F$7))</f>
        <v>0.12827868407482557</v>
      </c>
      <c r="O35" s="5">
        <f t="shared" si="7"/>
        <v>388.2825806924636</v>
      </c>
      <c r="P35" s="48">
        <f t="shared" si="4"/>
        <v>827.3982708714511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5087.11275147879</v>
      </c>
      <c r="E36" s="11">
        <f>IF(B36=Title_RESULTS!$H$8,$F$16,+E35*(1+$F$7))</f>
        <v>0.12527215241682185</v>
      </c>
      <c r="F36" s="9">
        <f t="shared" si="1"/>
        <v>6500.31576191192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296.745991212474</v>
      </c>
      <c r="L36" s="5">
        <f t="shared" si="3"/>
        <v>632.3413210537606</v>
      </c>
      <c r="N36" s="11">
        <f>IF(+B36=Title_RESULTS!$H$9,'Value of Defferal'!$O$16,+'Value of Defferal'!N35*(1+'Value of Defferal'!$F$7))</f>
        <v>0.1313573724926214</v>
      </c>
      <c r="O36" s="5">
        <f t="shared" si="7"/>
        <v>397.60136262908276</v>
      </c>
      <c r="P36" s="48">
        <f t="shared" si="4"/>
        <v>847.2558293723661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4892.8969790354395</v>
      </c>
      <c r="E37" s="11">
        <f>IF(B37&gt;Title_RESULTS!$H$8-1+Title_RESULTS!$C$18,0,+E36*(1+$F$7))</f>
        <v>0.12827868407482557</v>
      </c>
      <c r="F37" s="9">
        <f t="shared" si="1"/>
        <v>6656.323340197806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285.4168238206082</v>
      </c>
      <c r="L37" s="5">
        <f t="shared" si="3"/>
        <v>608.1997963587154</v>
      </c>
      <c r="N37" s="11">
        <f>IF(+B37=Title_RESULTS!$H$9,'Value of Defferal'!$O$16,+'Value of Defferal'!N36*(1+'Value of Defferal'!$F$7))</f>
        <v>0.1345099494324443</v>
      </c>
      <c r="O37" s="5">
        <f t="shared" si="7"/>
        <v>407.14379533218073</v>
      </c>
      <c r="P37" s="48">
        <f t="shared" si="4"/>
        <v>867.5899692773028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4698.681206592089</v>
      </c>
      <c r="E38" s="11">
        <f>IF(B38&gt;Title_RESULTS!$H$8-1+Title_RESULTS!$C$18,0,+E37*(1+$F$7))</f>
        <v>0.1313573724926214</v>
      </c>
      <c r="F38" s="9">
        <f t="shared" si="1"/>
        <v>6816.075100362554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274.0876564287424</v>
      </c>
      <c r="L38" s="5">
        <f t="shared" si="3"/>
        <v>584.0582716636701</v>
      </c>
      <c r="N38" s="11">
        <f>IF(+B38=Title_RESULTS!$H$9,'Value of Defferal'!$O$16,+'Value of Defferal'!N37*(1+'Value of Defferal'!$F$7))</f>
        <v>0.13773818821882297</v>
      </c>
      <c r="O38" s="5">
        <f t="shared" si="7"/>
        <v>416.9152464201531</v>
      </c>
      <c r="P38" s="48">
        <f t="shared" si="4"/>
        <v>888.4121285399582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4504.4654341487385</v>
      </c>
      <c r="E39" s="11">
        <f>IF(B39&gt;Title_RESULTS!$H$8-1+Title_RESULTS!$C$18,0,+E38*(1+$F$7))</f>
        <v>0.1345099494324443</v>
      </c>
      <c r="F39" s="9">
        <f t="shared" si="1"/>
        <v>6979.660902771255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262.75848903687654</v>
      </c>
      <c r="L39" s="5">
        <f t="shared" si="3"/>
        <v>559.9167469686249</v>
      </c>
      <c r="N39" s="11">
        <f>IF(+B39&gt;Title_RESULTS!$H$9+Title_RESULTS!$C$19-1,0,+'Value of Defferal'!N38*(1+'Value of Defferal'!$F$7))</f>
        <v>0.14104390473607473</v>
      </c>
      <c r="O39" s="5">
        <f t="shared" si="7"/>
        <v>426.92121233423677</v>
      </c>
      <c r="P39" s="48">
        <f t="shared" si="4"/>
        <v>909.7340196249172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4310.24966170539</v>
      </c>
      <c r="E40" s="11">
        <f>IF(B40&gt;Title_RESULTS!$H$8-1+Title_RESULTS!$C$18,0,+E39*(1+$F$7))</f>
        <v>0.13773818821882297</v>
      </c>
      <c r="F40" s="9">
        <f t="shared" si="1"/>
        <v>7147.172764437766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251.42932164501087</v>
      </c>
      <c r="L40" s="5">
        <f t="shared" si="3"/>
        <v>535.7752222735799</v>
      </c>
      <c r="N40" s="11">
        <f>IF(+B40&gt;Title_RESULTS!$H$9+Title_RESULTS!$C$19-1,0,+'Value of Defferal'!N39*(1+'Value of Defferal'!$F$7))</f>
        <v>0.14442895844974052</v>
      </c>
      <c r="O40" s="5">
        <f t="shared" si="7"/>
        <v>437.1673214302585</v>
      </c>
      <c r="P40" s="48">
        <f t="shared" si="4"/>
        <v>931.5676360959152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4134.271527412738</v>
      </c>
      <c r="E41" s="11">
        <f>IF(B41&gt;Title_RESULTS!$H$8-1+Title_RESULTS!$C$18,0,+E40*(1+$F$7))</f>
        <v>0.14104390473607473</v>
      </c>
      <c r="F41" s="9">
        <f t="shared" si="1"/>
        <v>7318.704910784272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241.16400840279604</v>
      </c>
      <c r="L41" s="5">
        <f t="shared" si="3"/>
        <v>513.9006833452174</v>
      </c>
      <c r="N41" s="11">
        <f>IF(+B41&gt;Title_RESULTS!$H$9+Title_RESULTS!$C$19-1,0,+'Value of Defferal'!N40*(1+'Value of Defferal'!$F$7))</f>
        <v>0.1478952534525343</v>
      </c>
      <c r="O41" s="5">
        <f t="shared" si="7"/>
        <v>447.6593371445847</v>
      </c>
      <c r="P41" s="48">
        <f t="shared" si="4"/>
        <v>953.9252593622172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3994.7624934519076</v>
      </c>
      <c r="E42" s="11">
        <f>IF(B42&gt;Title_RESULTS!$H$8-1+Title_RESULTS!$C$18,0,+E41*(1+$F$7))</f>
        <v>0.14442895844974052</v>
      </c>
      <c r="F42" s="9">
        <f t="shared" si="1"/>
        <v>7494.353828643095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233.02604319772627</v>
      </c>
      <c r="L42" s="5">
        <f t="shared" si="3"/>
        <v>496.55934826116976</v>
      </c>
      <c r="N42" s="11">
        <f>IF(+B42&gt;Title_RESULTS!$H$9+Title_RESULTS!$C$19-1,0,+'Value of Defferal'!N41*(1+'Value of Defferal'!$F$7))</f>
        <v>0.1514447395353951</v>
      </c>
      <c r="O42" s="5">
        <f t="shared" si="7"/>
        <v>458.4031612360547</v>
      </c>
      <c r="P42" s="48">
        <f t="shared" si="4"/>
        <v>976.8194655869103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3873.4849216722027</v>
      </c>
      <c r="E43" s="11">
        <f>IF(B43&gt;Title_RESULTS!$H$8-1+Title_RESULTS!$C$18,0,+E42*(1+$F$7))</f>
        <v>0.1478952534525343</v>
      </c>
      <c r="F43" s="9">
        <f t="shared" si="1"/>
        <v>7674.218320530529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225.9515718801505</v>
      </c>
      <c r="L43" s="5">
        <f t="shared" si="3"/>
        <v>481.48423125475426</v>
      </c>
      <c r="N43" s="11">
        <f>IF(+B43&gt;Title_RESULTS!$H$9+Title_RESULTS!$C$19-1,0,+'Value of Defferal'!N42*(1+'Value of Defferal'!$F$7))</f>
        <v>0.1550794132842446</v>
      </c>
      <c r="O43" s="5">
        <f t="shared" si="7"/>
        <v>469.40483710572005</v>
      </c>
      <c r="P43" s="48">
        <f t="shared" si="4"/>
        <v>1000.2631327609962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3752.207349892498</v>
      </c>
      <c r="E44" s="11">
        <f>IF(B44&gt;Title_RESULTS!$H$8-1+Title_RESULTS!$C$18,0,+E43*(1+$F$7))</f>
        <v>0.1514447395353951</v>
      </c>
      <c r="F44" s="9">
        <f t="shared" si="1"/>
        <v>7858.399560223262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218.87710056257478</v>
      </c>
      <c r="L44" s="5">
        <f t="shared" si="3"/>
        <v>466.4091142483388</v>
      </c>
      <c r="N44" s="11">
        <f>IF(+B44&gt;Title_RESULTS!$H$9+Title_RESULTS!$C$19-1,0,+'Value of Defferal'!N43*(1+'Value of Defferal'!$F$7))</f>
        <v>0.15880131920306648</v>
      </c>
      <c r="O44" s="5">
        <f t="shared" si="7"/>
        <v>480.67055319625734</v>
      </c>
      <c r="P44" s="48">
        <f t="shared" si="4"/>
        <v>1024.2694479472602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3630.9297781127916</v>
      </c>
      <c r="E45" s="11">
        <f>IF(B45&gt;Title_RESULTS!$H$8-1+Title_RESULTS!$C$18,0,+E44*(1+$F$7))</f>
        <v>0.1550794132842446</v>
      </c>
      <c r="F45" s="9">
        <f t="shared" si="1"/>
        <v>8047.00114966862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211.80262924499894</v>
      </c>
      <c r="L45" s="5">
        <f t="shared" si="3"/>
        <v>451.33399724192316</v>
      </c>
      <c r="N45" s="11">
        <f>IF(+B45&gt;Title_RESULTS!$H$9+Title_RESULTS!$C$19-1,0,+'Value of Defferal'!N44*(1+'Value of Defferal'!$F$7))</f>
        <v>0.16261255086394008</v>
      </c>
      <c r="O45" s="5">
        <f t="shared" si="7"/>
        <v>492.2066464729675</v>
      </c>
      <c r="P45" s="48">
        <f t="shared" si="4"/>
        <v>1048.8519146979945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3509.6522063330863</v>
      </c>
      <c r="E46" s="11">
        <f>IF(B46&gt;Title_RESULTS!$H$8-1+Title_RESULTS!$C$18,0,+E45*(1+$F$7))</f>
        <v>0.15880131920306648</v>
      </c>
      <c r="F46" s="9">
        <f t="shared" si="1"/>
        <v>8240.129177260667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204.72815792742318</v>
      </c>
      <c r="L46" s="5">
        <f t="shared" si="3"/>
        <v>436.25888023550766</v>
      </c>
      <c r="N46" s="11">
        <f>IF(+B46&gt;Title_RESULTS!$H$9+Title_RESULTS!$C$19-1,0,+'Value of Defferal'!N45*(1+'Value of Defferal'!$F$7))</f>
        <v>0.16651525208467466</v>
      </c>
      <c r="O46" s="5">
        <f t="shared" si="7"/>
        <v>504.0196059883188</v>
      </c>
      <c r="P46" s="48">
        <f t="shared" si="4"/>
        <v>1074.0243606507465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3388.374634553382</v>
      </c>
      <c r="E47" s="11">
        <f>IF(B47&gt;Title_RESULTS!$H$8-1+Title_RESULTS!$C$18,0,+E46*(1+$F$7))</f>
        <v>0.16261255086394008</v>
      </c>
      <c r="F47" s="9">
        <f t="shared" si="1"/>
        <v>8437.892277514924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197.65368660984748</v>
      </c>
      <c r="L47" s="5">
        <f t="shared" si="3"/>
        <v>421.1837632290922</v>
      </c>
      <c r="N47" s="11">
        <f>IF(+B47&gt;Title_RESULTS!$H$9+Title_RESULTS!$C$19-1,0,+'Value of Defferal'!N46*(1+'Value of Defferal'!$F$7))</f>
        <v>0.17051161813470686</v>
      </c>
      <c r="O47" s="5">
        <f t="shared" si="7"/>
        <v>516.1160765320385</v>
      </c>
      <c r="P47" s="48">
        <f t="shared" si="4"/>
        <v>1099.8009453063644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3267.0970627736765</v>
      </c>
      <c r="E48" s="11">
        <f>IF(B48&gt;Title_RESULTS!$H$8-1+Title_RESULTS!$C$18,0,+E47*(1+$F$7))</f>
        <v>0.16651525208467466</v>
      </c>
      <c r="F48" s="9">
        <f t="shared" si="1"/>
        <v>8640.401692175283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190.57921529227173</v>
      </c>
      <c r="L48" s="5">
        <f t="shared" si="3"/>
        <v>406.1086462226767</v>
      </c>
      <c r="N48" s="11">
        <f>IF(+B48&gt;Title_RESULTS!$H$9+Title_RESULTS!$C$19-1,0,+'Value of Defferal'!N47*(1+'Value of Defferal'!$F$7))</f>
        <v>0.17460389696993983</v>
      </c>
      <c r="O48" s="5">
        <f t="shared" si="7"/>
        <v>528.5028623688074</v>
      </c>
      <c r="P48" s="48">
        <f t="shared" si="4"/>
        <v>1126.1961679937172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3145.8194909939702</v>
      </c>
      <c r="E49" s="11">
        <f>IF(B49&gt;Title_RESULTS!$H$8-1+Title_RESULTS!$C$18,0,+E48*(1+$F$7))</f>
        <v>0.17051161813470686</v>
      </c>
      <c r="F49" s="9">
        <f t="shared" si="1"/>
        <v>8847.77133278749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183.50474397469588</v>
      </c>
      <c r="L49" s="5">
        <f t="shared" si="3"/>
        <v>391.0335292162611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3024.541919214265</v>
      </c>
      <c r="E50" s="11">
        <f>IF(B50&gt;Title_RESULTS!$H$8-1+Title_RESULTS!$C$18,0,+E49*(1+$F$7))</f>
        <v>0.17460389696993983</v>
      </c>
      <c r="F50" s="9">
        <f t="shared" si="1"/>
        <v>9060.11784477439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176.43027265712013</v>
      </c>
      <c r="L50" s="5">
        <f t="shared" si="3"/>
        <v>375.95841220984556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2903.26434743456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169.3558013395444</v>
      </c>
      <c r="L51" s="5">
        <f t="shared" si="3"/>
        <v>360.8832952034301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123969.85338669864</v>
      </c>
      <c r="F63" s="9">
        <f>SUM(F23:F61)</f>
        <v>172904.82070353013</v>
      </c>
      <c r="J63" t="s">
        <v>87</v>
      </c>
      <c r="K63" s="9">
        <f>SUM(K23:K61)</f>
        <v>7231.519885814807</v>
      </c>
      <c r="O63" s="9">
        <f>SUM(O23:O61)</f>
        <v>10086.03797707629</v>
      </c>
    </row>
    <row r="64" spans="3:15" ht="12.75">
      <c r="C64" t="s">
        <v>89</v>
      </c>
      <c r="D64" s="9">
        <f>NPV(+Title_RESULTS!$C$37,'Value of Defferal'!D24:D61)+'Value of Defferal'!D23</f>
        <v>55353.28929402821</v>
      </c>
      <c r="F64" s="9">
        <f>NPV(+Title_RESULTS!$C$37,'Value of Defferal'!F24:F61)+'Value of Defferal'!F23</f>
        <v>64293.88836850251</v>
      </c>
      <c r="J64" t="s">
        <v>89</v>
      </c>
      <c r="K64" s="9">
        <f>NPV(+Title_RESULTS!$C$37,'Value of Defferal'!K24:K61)+'Value of Defferal'!K23</f>
        <v>3228.917364501571</v>
      </c>
      <c r="O64" s="9">
        <f>NPV(+Title_RESULTS!$C$37,'Value of Defferal'!O24:O61)+'Value of Defferal'!O23</f>
        <v>4300.311485527982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28.323805503628215</v>
      </c>
      <c r="C25" t="s">
        <v>372</v>
      </c>
    </row>
    <row r="26" spans="2:3" ht="18">
      <c r="B26" s="15">
        <f>+((Input!$C$6*'EUE_Line Losses'!C4)+(Input!$C$7*'EUE_Line Losses'!C3))/'EUE_Line Losses'!C22</f>
        <v>28.232438389100384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24.87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25.49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178958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41576.27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18149.62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Recommissioning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43599.324785069446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25.49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28.232438389100384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188774.26160337555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178958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41576.27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18149.62</v>
      </c>
      <c r="D39" s="13" t="s">
        <v>189</v>
      </c>
      <c r="G39" s="20" t="s">
        <v>346</v>
      </c>
      <c r="H39" s="79">
        <f>+'Sheet7(F_23)'!H31</f>
        <v>1.394620788180202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159077.95605095476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0.9143242702958624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2019-05-14T11:47:42Z</dcterms:created>
  <dcterms:modified xsi:type="dcterms:W3CDTF">2019-05-14T11:47:44Z</dcterms:modified>
  <cp:category/>
  <cp:version/>
  <cp:contentType/>
  <cp:contentStatus/>
</cp:coreProperties>
</file>