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<sst xmlns="http://schemas.openxmlformats.org/spreadsheetml/2006/main" count="1258" uniqueCount="468">
  <si>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</si>
  <si>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</si>
  <si>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</si>
  <si>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</si>
  <si>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</si>
  <si>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</si>
  <si>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</si>
  <si>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</si>
  <si>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</si>
  <si>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</si>
  <si>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</si>
  <si>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</si>
  <si>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</si>
  <si>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</si>
  <si>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</si>
  <si>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</si>
  <si>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</si>
  <si>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</si>
  <si>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</si>
  <si>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</si>
  <si>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</si>
  <si>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</si>
  <si>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</si>
  <si>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</si>
  <si>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</si>
  <si>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</si>
  <si>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</si>
  <si>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</si>
  <si>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</si>
  <si>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</si>
  <si>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</si>
  <si>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</si>
  <si>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</si>
  <si>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</si>
  <si>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</si>
  <si>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</si>
  <si>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</si>
  <si>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</si>
  <si>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</si>
  <si>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</si>
  <si>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</si>
  <si>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</si>
  <si>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</si>
  <si>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</si>
  <si>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</si>
  <si>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</si>
  <si>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</si>
  <si>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</si>
  <si>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</si>
  <si>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</si>
  <si>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</si>
  <si>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</si>
  <si>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</si>
  <si>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</si>
  <si>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</si>
  <si>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</si>
  <si>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</si>
  <si>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</si>
  <si>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</si>
  <si>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</si>
  <si>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</si>
  <si>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</si>
  <si>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</si>
  <si>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</si>
  <si>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</si>
  <si>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</si>
  <si>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</si>
  <si>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</si>
  <si>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</si>
  <si>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</si>
  <si>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</si>
  <si>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</si>
  <si>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</si>
  <si>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</si>
  <si>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</si>
  <si>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</si>
  <si>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</si>
  <si>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</si>
  <si>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</si>
  <si>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</si>
  <si>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</si>
  <si>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</si>
  <si>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</si>
  <si>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</si>
  <si>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</si>
  <si>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</si>
  <si>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</si>
  <si>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</si>
  <si>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</si>
  <si>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</si>
  <si>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</si>
  <si>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</si>
  <si>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</si>
  <si>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</si>
  <si>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</si>
  <si>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</si>
  <si>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</si>
  <si>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</si>
  <si>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</si>
  <si>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</si>
  <si>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</si>
  <si>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</si>
  <si>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</si>
  <si>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</si>
  <si>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</si>
  <si>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</si>
  <si>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</si>
  <si>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</si>
  <si>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</si>
  <si>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</si>
  <si>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</si>
  <si>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</si>
  <si>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</si>
  <si>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</si>
  <si>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</si>
  <si>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</si>
  <si>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</si>
  <si>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</si>
  <si>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</si>
  <si>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</si>
  <si>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</si>
  <si>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</si>
  <si>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</si>
  <si>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</si>
  <si>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</si>
  <si>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</si>
  <si>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</si>
  <si>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</si>
  <si>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</si>
  <si>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</si>
  <si>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</si>
  <si>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</si>
  <si>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</si>
  <si>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</si>
  <si>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</si>
  <si>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</si>
  <si>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</si>
  <si>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</si>
  <si>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</si>
  <si>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</si>
  <si>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</si>
  <si>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</si>
  <si>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</si>
  <si>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</si>
  <si>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</si>
  <si>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</si>
  <si>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</si>
  <si>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</si>
  <si>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</si>
  <si>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</si>
  <si>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</si>
  <si>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</si>
  <si>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</si>
  <si>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</si>
  <si>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</si>
  <si>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</si>
  <si>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</si>
  <si>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</si>
  <si>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</si>
  <si>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</si>
  <si>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</si>
  <si>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</si>
  <si>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</si>
  <si>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</si>
  <si>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</si>
  <si>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</si>
  <si>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</si>
  <si>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</si>
  <si>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</si>
  <si>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</si>
  <si>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</si>
  <si>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</si>
  <si>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</si>
  <si>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</si>
  <si>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</si>
  <si>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</si>
  <si>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</si>
  <si>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</si>
  <si>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</si>
  <si>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</si>
  <si>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</si>
  <si>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</si>
  <si>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</si>
  <si>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</si>
  <si>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</si>
  <si>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</si>
  <si>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</si>
  <si>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</si>
  <si>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</si>
  <si>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</si>
  <si>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</si>
  <si>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</si>
  <si>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</si>
  <si>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</si>
  <si>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</si>
  <si>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</si>
  <si>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</si>
  <si>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</si>
  <si>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</si>
  <si>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</si>
  <si>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</si>
  <si>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</si>
  <si>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</si>
  <si>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</si>
  <si>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</si>
  <si>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</si>
  <si>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</si>
  <si>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</si>
  <si>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</si>
  <si>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</si>
  <si>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</si>
  <si>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</si>
  <si>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</si>
  <si>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</si>
  <si>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</si>
  <si>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</si>
  <si>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</si>
  <si>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</si>
  <si>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</si>
  <si>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</si>
  <si>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</si>
  <si>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</si>
  <si>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</si>
  <si>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</si>
  <si>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</si>
  <si>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</si>
  <si>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</si>
  <si>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</si>
  <si>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</si>
  <si>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</si>
  <si>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</si>
  <si>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</si>
  <si>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</si>
  <si>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</si>
  <si>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</si>
  <si>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</si>
  <si>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</si>
  <si>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</si>
  <si>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</si>
  <si>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</si>
  <si>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</si>
  <si>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</si>
  <si>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</si>
  <si>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</si>
  <si>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</si>
  <si>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</si>
  <si>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</si>
  <si>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</si>
  <si>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</si>
  <si>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</si>
  <si>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</si>
  <si>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</si>
  <si>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</si>
  <si>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</si>
  <si>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</si>
  <si>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</si>
  <si>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</si>
  <si>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</si>
  <si>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</si>
  <si>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</si>
  <si>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</si>
  <si>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</si>
  <si>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</si>
  <si>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</si>
  <si>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</si>
  <si>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</si>
  <si>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</si>
  <si>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</si>
  <si>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</si>
  <si>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</si>
  <si>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</si>
  <si>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</si>
  <si>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</si>
  <si>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</si>
  <si>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</si>
  <si>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</si>
  <si>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</si>
  <si>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</si>
  <si>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</si>
  <si>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</si>
  <si>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</si>
  <si>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</si>
  <si>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</si>
  <si>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</si>
  <si>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</si>
  <si>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</si>
  <si>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</si>
  <si>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</si>
  <si>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</si>
  <si>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</si>
  <si>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</si>
  <si>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</si>
  <si>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</si>
  <si>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</si>
  <si>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</si>
  <si>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</si>
  <si>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</si>
  <si>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</si>
  <si>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</si>
  <si>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</si>
  <si>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</si>
  <si>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</si>
  <si>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</si>
  <si>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</si>
  <si>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</si>
  <si>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</si>
  <si>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</si>
  <si>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</si>
  <si>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</si>
  <si>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</si>
  <si>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</si>
  <si>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</si>
  <si>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</si>
  <si>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</si>
  <si>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</si>
  <si>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</si>
  <si>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</si>
  <si>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</si>
  <si>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</si>
  <si>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</si>
  <si>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</si>
  <si>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</si>
  <si>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</si>
  <si>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</si>
  <si>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</si>
  <si>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</si>
  <si>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</si>
  <si>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</si>
  <si>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</si>
  <si>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</si>
  <si>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</si>
  <si>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</si>
  <si>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</si>
  <si>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</si>
  <si>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</si>
  <si>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</si>
  <si>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</si>
  <si>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</si>
  <si>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</si>
  <si>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</si>
  <si>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</si>
  <si>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</si>
  <si>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</si>
  <si>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</si>
  <si>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</si>
  <si>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</si>
  <si>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</si>
  <si>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</si>
  <si>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</si>
  <si>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</si>
  <si>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</si>
  <si>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</si>
  <si>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</si>
  <si>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</si>
  <si>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</si>
  <si>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</si>
  <si>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</si>
  <si>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</si>
  <si>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</si>
  <si>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</si>
  <si>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</si>
  <si>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</si>
  <si>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</si>
  <si>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</si>
  <si>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</si>
  <si>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</si>
  <si>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</si>
  <si>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</si>
  <si>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</si>
  <si>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</si>
  <si>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</si>
  <si>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</si>
  <si>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</si>
  <si>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</si>
  <si>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</si>
  <si>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</si>
  <si>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</si>
  <si>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</si>
  <si>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</si>
  <si>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</si>
  <si>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</si>
  <si>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</si>
  <si>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</si>
  <si>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</si>
  <si>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</si>
  <si>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</si>
  <si>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</si>
  <si>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</si>
  <si>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</si>
  <si>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</si>
  <si>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</si>
  <si>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</si>
  <si>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</si>
  <si>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</si>
  <si>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</si>
  <si>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</si>
  <si>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</si>
  <si>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</si>
  <si>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</si>
  <si>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</si>
  <si>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</si>
  <si>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</si>
  <si>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</si>
  <si>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</si>
  <si>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</si>
  <si>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</si>
  <si>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</si>
  <si>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</si>
  <si>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</si>
  <si>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</si>
  <si>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</si>
  <si>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</si>
  <si>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</si>
  <si>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</si>
  <si>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</si>
  <si>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</si>
  <si>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</si>
  <si>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</si>
  <si>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</si>
  <si>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</si>
  <si>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</si>
  <si>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</si>
  <si>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</si>
  <si>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</si>
  <si>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</si>
  <si>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</si>
  <si>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</si>
  <si>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</si>
  <si>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</si>
  <si>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</si>
  <si>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</si>
  <si>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</si>
  <si>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</si>
  <si>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</si>
  <si>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</si>
  <si>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</si>
  <si>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</si>
  <si>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</si>
  <si>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</si>
  <si>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</si>
  <si>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</si>
  <si>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</si>
  <si>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</si>
  <si>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</si>
  <si>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</si>
  <si>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</si>
  <si>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</si>
  <si>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</si>
  <si>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</si>
  <si>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</si>
  <si>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</si>
  <si>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</si>
  <si>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</si>
  <si>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</si>
  <si>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</si>
  <si>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</si>
  <si>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</si>
  <si>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</si>
  <si>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</si>
  <si>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</si>
  <si>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</si>
  <si>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</si>
  <si>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</si>
  <si>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</si>
  <si>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</si>
  <si>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</si>
  <si>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</si>
  <si>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Pump System Optimization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</si>
</sst>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43599.32649236111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21022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43599.32649236111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Pump System Optimization</v>
      </c>
      <c r="J2" t="s">
        <v>55</v>
      </c>
    </row>
    <row r="3" ht="12.75">
      <c r="J3" s="35">
        <f>+Title_RESULTS!I4</f>
        <v>43599.32649236111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21022</v>
      </c>
      <c r="H5" t="s">
        <v>59</v>
      </c>
    </row>
    <row r="6" spans="3:7" ht="12.75">
      <c r="C6" t="s">
        <v>61</v>
      </c>
      <c r="G6" s="36">
        <f>+'Value of Defferal'!E3</f>
        <v>12879.111946251767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1272.7435102651193</v>
      </c>
      <c r="D19" s="5">
        <f>IF((Title_RESULTS!$H$8-Title_RESULTS!$H$7)&lt;=('Sheet3(F_21)'!A19-Title_RESULTS!$H$7),((Title_RESULTS!$C$8*Partcipation!$C$26*8760*Title_RESULTS!$H$21/100000)),0)</f>
        <v>16758.04361009818</v>
      </c>
      <c r="E19" s="5">
        <f>IF($G19=0,0,((Title_RESULTS!$H$14*((1+Title_RESULTS!$H$15/100)^($A19-Title_RESULTS!$H$7))*'EUE_Line Losses'!$B$25*Partcipation!$C$26))/1000)</f>
        <v>132.0229573583425</v>
      </c>
      <c r="F19" s="5">
        <f>IF($G19=0,0,(Title_RESULTS!$H$19/100*((1+Title_RESULTS!$H$20/100)^($A19-Title_RESULTS!$H$7))*$D19*1000)/1000)</f>
        <v>37.78700585641456</v>
      </c>
      <c r="G19" s="5">
        <f>(+Title_RESULTS!$H$22/100*((1+Title_RESULTS!$H$23/100)^(+'Sheet4(F_22)'!A19-Title_RESULTS!$H$7)))*'Sheet3(F_21)'!D19</f>
        <v>717.9630127166971</v>
      </c>
      <c r="H19" s="5">
        <f>IF($G19=0,0,(($D19))*(Partcipation!$G19/100))</f>
        <v>531.670313094484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1628.8461731020893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1303.289354511482</v>
      </c>
      <c r="D20" s="5">
        <f>IF((Title_RESULTS!$H$8-Title_RESULTS!$H$7)&lt;=('Sheet3(F_21)'!A20-Title_RESULTS!$H$7),((Title_RESULTS!$C$8*Partcipation!$C$26*8760*Title_RESULTS!$H$21/100000)),0)</f>
        <v>16758.04361009818</v>
      </c>
      <c r="E20" s="5">
        <f>IF($G20=0,0,((Title_RESULTS!$H$14*((1+Title_RESULTS!$H$15/100)^($A20-Title_RESULTS!$H$7))*'EUE_Line Losses'!$B$25*Partcipation!$C$26))/1000)</f>
        <v>135.1915083349427</v>
      </c>
      <c r="F20" s="5">
        <f>IF($G20=0,0,(Title_RESULTS!$H$19/100*((1+Title_RESULTS!$H$20/100)^($A20-Title_RESULTS!$H$7))*$D20*1000)/1000)</f>
        <v>38.69389399696851</v>
      </c>
      <c r="G20" s="5">
        <f>(+Title_RESULTS!$H$22/100*((1+Title_RESULTS!$H$23/100)^(+'Sheet4(F_22)'!A20-Title_RESULTS!$H$7)))*'Sheet3(F_21)'!D20</f>
        <v>750.5585334940353</v>
      </c>
      <c r="H20" s="5">
        <f>IF($G20=0,0,(($D20))*(Partcipation!$G20/100))</f>
        <v>555.4542669982008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1672.279023339228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1334.5682990197577</v>
      </c>
      <c r="D21" s="5">
        <f>IF((Title_RESULTS!$H$8-Title_RESULTS!$H$7)&lt;=('Sheet3(F_21)'!A21-Title_RESULTS!$H$7),((Title_RESULTS!$C$8*Partcipation!$C$26*8760*Title_RESULTS!$H$21/100000)),0)</f>
        <v>16758.04361009818</v>
      </c>
      <c r="E21" s="5">
        <f>IF($G21=0,0,((Title_RESULTS!$H$14*((1+Title_RESULTS!$H$15/100)^($A21-Title_RESULTS!$H$7))*'EUE_Line Losses'!$B$25*Partcipation!$C$26))/1000)</f>
        <v>138.43610453498133</v>
      </c>
      <c r="F21" s="5">
        <f>IF($G21=0,0,(Title_RESULTS!$H$19/100*((1+Title_RESULTS!$H$20/100)^($A21-Title_RESULTS!$H$7))*$D21*1000)/1000)</f>
        <v>39.62254745289576</v>
      </c>
      <c r="G21" s="5">
        <f>(+Title_RESULTS!$H$22/100*((1+Title_RESULTS!$H$23/100)^(+'Sheet4(F_22)'!A21-Title_RESULTS!$H$7)))*'Sheet3(F_21)'!D21</f>
        <v>784.6338909146646</v>
      </c>
      <c r="H21" s="5">
        <f>IF($G21=0,0,(($D21))*(Partcipation!$G21/100))</f>
        <v>577.4659827250504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1719.794859197249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1366.597938196232</v>
      </c>
      <c r="D22" s="5">
        <f>IF((Title_RESULTS!$H$8-Title_RESULTS!$H$7)&lt;=('Sheet3(F_21)'!A22-Title_RESULTS!$H$7),((Title_RESULTS!$C$8*Partcipation!$C$26*8760*Title_RESULTS!$H$21/100000)),0)</f>
        <v>16758.04361009818</v>
      </c>
      <c r="E22" s="5">
        <f>IF($G22=0,0,((Title_RESULTS!$H$14*((1+Title_RESULTS!$H$15/100)^($A22-Title_RESULTS!$H$7))*'EUE_Line Losses'!$B$25*Partcipation!$C$26))/1000)</f>
        <v>141.75857104382084</v>
      </c>
      <c r="F22" s="5">
        <f>IF($G22=0,0,(Title_RESULTS!$H$19/100*((1+Title_RESULTS!$H$20/100)^($A22-Title_RESULTS!$H$7))*$D22*1000)/1000)</f>
        <v>40.57348859176525</v>
      </c>
      <c r="G22" s="5">
        <f>(+Title_RESULTS!$H$22/100*((1+Title_RESULTS!$H$23/100)^(+'Sheet4(F_22)'!A22-Title_RESULTS!$H$7)))*'Sheet3(F_21)'!D22</f>
        <v>820.2562695621905</v>
      </c>
      <c r="H22" s="5">
        <f>IF($G22=0,0,(($D22))*(Partcipation!$G22/100))</f>
        <v>596.1760869712848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1773.0101804227238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1399.3962887129414</v>
      </c>
      <c r="D23" s="5">
        <f>IF((Title_RESULTS!$H$8-Title_RESULTS!$H$7)&lt;=('Sheet3(F_21)'!A23-Title_RESULTS!$H$7),((Title_RESULTS!$C$8*Partcipation!$C$26*8760*Title_RESULTS!$H$21/100000)),0)</f>
        <v>16758.04361009818</v>
      </c>
      <c r="E23" s="5">
        <f>IF($G23=0,0,((Title_RESULTS!$H$14*((1+Title_RESULTS!$H$15/100)^($A23-Title_RESULTS!$H$7))*'EUE_Line Losses'!$B$25*Partcipation!$C$26))/1000)</f>
        <v>145.1607767488726</v>
      </c>
      <c r="F23" s="5">
        <f>IF($G23=0,0,(Title_RESULTS!$H$19/100*((1+Title_RESULTS!$H$20/100)^($A23-Title_RESULTS!$H$7))*$D23*1000)/1000)</f>
        <v>41.54725231796762</v>
      </c>
      <c r="G23" s="5">
        <f>(+Title_RESULTS!$H$22/100*((1+Title_RESULTS!$H$23/100)^(+'Sheet4(F_22)'!A23-Title_RESULTS!$H$7)))*'Sheet3(F_21)'!D23</f>
        <v>857.495904200314</v>
      </c>
      <c r="H23" s="5">
        <f>IF($G23=0,0,(($D23))*(Partcipation!$G23/100))</f>
        <v>622.8607312332906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1820.7394907468056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1432.9817996420522</v>
      </c>
      <c r="D24" s="5">
        <f>IF((Title_RESULTS!$H$8-Title_RESULTS!$H$7)&lt;=('Sheet3(F_21)'!A24-Title_RESULTS!$H$7),((Title_RESULTS!$C$8*Partcipation!$C$26*8760*Title_RESULTS!$H$21/100000)),0)</f>
        <v>16758.04361009818</v>
      </c>
      <c r="E24" s="5">
        <f>IF($G24=0,0,((Title_RESULTS!$H$14*((1+Title_RESULTS!$H$15/100)^($A24-Title_RESULTS!$H$7))*'EUE_Line Losses'!$B$25*Partcipation!$C$26))/1000)</f>
        <v>148.6446353908455</v>
      </c>
      <c r="F24" s="5">
        <f>IF($G24=0,0,(Title_RESULTS!$H$19/100*((1+Title_RESULTS!$H$20/100)^($A24-Title_RESULTS!$H$7))*$D24*1000)/1000)</f>
        <v>42.54438637359884</v>
      </c>
      <c r="G24" s="5">
        <f>(+Title_RESULTS!$H$22/100*((1+Title_RESULTS!$H$23/100)^(+'Sheet4(F_22)'!A24-Title_RESULTS!$H$7)))*'Sheet3(F_21)'!D24</f>
        <v>896.4262182510084</v>
      </c>
      <c r="H24" s="5">
        <f>IF($G24=0,0,(($D24))*(Partcipation!$G24/100))</f>
        <v>670.3628250182322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1850.2342146392725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1467.3733628334614</v>
      </c>
      <c r="D25" s="5">
        <f>IF((Title_RESULTS!$H$8-Title_RESULTS!$H$7)&lt;=('Sheet3(F_21)'!A25-Title_RESULTS!$H$7),((Title_RESULTS!$C$8*Partcipation!$C$26*8760*Title_RESULTS!$H$21/100000)),0)</f>
        <v>16758.04361009818</v>
      </c>
      <c r="E25" s="5">
        <f>IF($G25=0,0,((Title_RESULTS!$H$14*((1+Title_RESULTS!$H$15/100)^($A25-Title_RESULTS!$H$7))*'EUE_Line Losses'!$B$25*Partcipation!$C$26))/1000)</f>
        <v>152.2121066402258</v>
      </c>
      <c r="F25" s="5">
        <f>IF($G25=0,0,(Title_RESULTS!$H$19/100*((1+Title_RESULTS!$H$20/100)^($A25-Title_RESULTS!$H$7))*$D25*1000)/1000)</f>
        <v>43.56545164656521</v>
      </c>
      <c r="G25" s="5">
        <f>(+Title_RESULTS!$H$22/100*((1+Title_RESULTS!$H$23/100)^(+'Sheet4(F_22)'!A25-Title_RESULTS!$H$7)))*'Sheet3(F_21)'!D25</f>
        <v>937.1239685596042</v>
      </c>
      <c r="H25" s="5">
        <f>IF($G25=0,0,(($D25))*(Partcipation!$G25/100))</f>
        <v>699.7821357084312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1900.4927539714258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9576.950553181048</v>
      </c>
      <c r="D27" s="9">
        <f t="shared" si="1"/>
        <v>117306.30527068724</v>
      </c>
      <c r="E27" s="9">
        <f t="shared" si="1"/>
        <v>993.4266600520311</v>
      </c>
      <c r="F27" s="9">
        <f t="shared" si="1"/>
        <v>284.33402623617576</v>
      </c>
      <c r="G27" s="9">
        <f t="shared" si="1"/>
        <v>5764.457797698515</v>
      </c>
      <c r="H27" s="9">
        <f t="shared" si="1"/>
        <v>4253.772341748974</v>
      </c>
      <c r="I27" s="9">
        <f t="shared" si="1"/>
        <v>0</v>
      </c>
      <c r="J27" s="9">
        <f t="shared" si="1"/>
        <v>12365.396695418794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6371.2095443618855</v>
      </c>
      <c r="D29" s="5"/>
      <c r="E29" s="5">
        <f>NPV(Title_RESULTS!$C$37,E17:E26)+'Sheet3(F_21)'!E16</f>
        <v>660.8919387230962</v>
      </c>
      <c r="F29" s="5">
        <f>NPV(Title_RESULTS!$C$37,F17:F26)+'Sheet3(F_21)'!F16</f>
        <v>189.15746214655422</v>
      </c>
      <c r="G29" s="5">
        <f>NPV(Title_RESULTS!$C$37,G17:G26)+'Sheet3(F_21)'!G16</f>
        <v>3813.272832533475</v>
      </c>
      <c r="H29" s="5">
        <f>NPV(Title_RESULTS!$C$37,H17:H26)+'Sheet3(F_21)'!H16</f>
        <v>2812.964411037031</v>
      </c>
      <c r="I29" s="5">
        <f>NPV(Title_RESULTS!$C$37,I17:I26)+'Sheet3(F_21)'!I16</f>
        <v>0</v>
      </c>
      <c r="J29" s="5">
        <f>NPV(Title_RESULTS!$C$37,J17:J26)+'Sheet3(F_21)'!J16</f>
        <v>8221.56736672798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Pump System Optimization</v>
      </c>
      <c r="F2" t="s">
        <v>55</v>
      </c>
    </row>
    <row r="3" spans="6:7" ht="12.75">
      <c r="F3" s="35">
        <f>+Title_RESULTS!I4</f>
        <v>43599.32649236111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24773.734177215192</v>
      </c>
      <c r="C16" s="5">
        <f>$B16*'Sheet2(F_12)'!$E16/100</f>
        <v>718.6140913931545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718.6140913931545</v>
      </c>
      <c r="G16" s="5">
        <f>+$F16*'Sheet2(F_12)'!$I16</f>
        <v>718.6140913931545</v>
      </c>
    </row>
    <row r="17" spans="1:7" ht="12.75">
      <c r="A17">
        <f>+A16+1</f>
        <v>2021</v>
      </c>
      <c r="B17" s="5">
        <f>(+Partcipation!$C16+(Partcipation!$C17-Partcipation!$C16)/2)*Title_RESULTS!$C$10/1000</f>
        <v>74321.20253164558</v>
      </c>
      <c r="C17" s="5">
        <f>$B17*'Sheet2(F_12)'!$E17/100</f>
        <v>2138.3069696115836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2138.3069696115836</v>
      </c>
      <c r="G17" s="5">
        <f>+$F17*'Sheet2(F_12)'!$I17</f>
        <v>2138.3069696115836</v>
      </c>
    </row>
    <row r="18" spans="1:7" ht="12.75">
      <c r="A18">
        <f>+A17+1</f>
        <v>2022</v>
      </c>
      <c r="B18" s="5">
        <f>(+Partcipation!$C17+(Partcipation!$C18-Partcipation!$C17)/2)*Title_RESULTS!$C$10/1000</f>
        <v>123868.67088607595</v>
      </c>
      <c r="C18" s="5">
        <f>$B18*'Sheet2(F_12)'!$E18/100</f>
        <v>3678.1265244783544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3678.1265244783544</v>
      </c>
      <c r="G18" s="5">
        <f>+$F18*'Sheet2(F_12)'!$I18</f>
        <v>3678.1265244783544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148642.40506329117</v>
      </c>
      <c r="C19" s="5">
        <f>$B19*'Sheet2(F_12)'!$E19/100</f>
        <v>4594.8206769117405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4594.8206769117405</v>
      </c>
      <c r="G19" s="5">
        <f>+$F19*'Sheet2(F_12)'!$I19</f>
        <v>4594.8206769117405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148642.40506329117</v>
      </c>
      <c r="C20" s="5">
        <f>$B20*'Sheet2(F_12)'!$E20/100</f>
        <v>4775.379810602131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4775.379810602131</v>
      </c>
      <c r="G20" s="5">
        <f>+$F20*'Sheet2(F_12)'!$I20</f>
        <v>4775.379810602131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148642.40506329117</v>
      </c>
      <c r="C21" s="5">
        <f>$B21*'Sheet2(F_12)'!$E21/100</f>
        <v>5127.320215233224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5127.320215233224</v>
      </c>
      <c r="G21" s="5">
        <f>+$F21*'Sheet2(F_12)'!$I21</f>
        <v>5127.320215233224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148642.40506329117</v>
      </c>
      <c r="C22" s="5">
        <f>$B22*'Sheet2(F_12)'!$E22/100</f>
        <v>5291.777086223341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5291.777086223341</v>
      </c>
      <c r="G22" s="5">
        <f>+$F22*'Sheet2(F_12)'!$I22</f>
        <v>5291.777086223341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148642.40506329117</v>
      </c>
      <c r="C23" s="5">
        <f>$B23*'Sheet2(F_12)'!$E23/100</f>
        <v>5622.489469178083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5622.489469178083</v>
      </c>
      <c r="G23" s="5">
        <f>+$F23*'Sheet2(F_12)'!$I23</f>
        <v>5622.489469178083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148642.40506329117</v>
      </c>
      <c r="C24" s="5">
        <f>$B24*'Sheet2(F_12)'!$E24/100</f>
        <v>6230.368519575293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6230.368519575293</v>
      </c>
      <c r="G24" s="5">
        <f>+$F24*'Sheet2(F_12)'!$I24</f>
        <v>6230.368519575293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148642.40506329117</v>
      </c>
      <c r="C25" s="5">
        <f>$B25*'Sheet2(F_12)'!$E25/100</f>
        <v>6674.994212762269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6674.994212762269</v>
      </c>
      <c r="G25" s="5">
        <f>+$F25*'Sheet2(F_12)'!$I25</f>
        <v>6674.994212762269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1263460.4430379749</v>
      </c>
      <c r="C27" s="5">
        <f t="shared" si="2"/>
        <v>44852.19757596918</v>
      </c>
      <c r="D27" s="5">
        <f t="shared" si="2"/>
        <v>0</v>
      </c>
      <c r="E27" s="5">
        <f t="shared" si="2"/>
        <v>0</v>
      </c>
      <c r="F27" s="5">
        <f t="shared" si="2"/>
        <v>44852.19757596918</v>
      </c>
      <c r="G27" s="5">
        <f t="shared" si="2"/>
        <v>44852.19757596918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31144.433241290713</v>
      </c>
      <c r="D29" s="5"/>
      <c r="E29" s="5">
        <f>NPV(+Title_RESULTS!$C$37,E17:E26)+E16</f>
        <v>0</v>
      </c>
      <c r="F29" s="5">
        <f>NPV(+Title_RESULTS!$C$37,F17:F26)+F16</f>
        <v>31144.433241290713</v>
      </c>
      <c r="G29" s="5">
        <f>NPV(+Title_RESULTS!$C$37,G17:G26)+G16</f>
        <v>31144.433241290713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Pump System Optimization</v>
      </c>
      <c r="J2" t="s">
        <v>42</v>
      </c>
    </row>
    <row r="3" spans="9:10" ht="12.75">
      <c r="I3" s="4"/>
      <c r="J3" s="35">
        <f>+Title_RESULTS!I4</f>
        <v>43599.32649236111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Pump System Optimization</v>
      </c>
      <c r="H2" t="s">
        <v>108</v>
      </c>
    </row>
    <row r="3" ht="12.75">
      <c r="H3" s="35">
        <f>+Title_RESULTS!I4</f>
        <v>43599.32649236111</v>
      </c>
    </row>
    <row r="5" spans="3:6" ht="12.75">
      <c r="C5" t="s">
        <v>60</v>
      </c>
      <c r="F5" s="38">
        <f>+'Value of Defferal'!L4</f>
        <v>751.2758272</v>
      </c>
    </row>
    <row r="6" spans="3:6" ht="12.75">
      <c r="C6" t="s">
        <v>62</v>
      </c>
      <c r="F6" s="38">
        <f>+'Value of Defferal'!L5</f>
        <v>1601.7472512000002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718.6140913931545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74.24280784873048</v>
      </c>
      <c r="C17" s="5">
        <f>IF(+Title_RESULTS!$H$9&lt;='Sheet4(F_22)'!$A17,(+Title_RESULTS!$H$16*((1+Title_RESULTS!$H$18/100)^('Sheet4(F_22)'!$A17-Title_RESULTS!$H$7))*Title_RESULTS!$C$8*Partcipation!$C$26/1000),0)</f>
        <v>59.84426953903694</v>
      </c>
      <c r="D17" s="5">
        <f>(+B17+C17)*+Partcipation!$H17</f>
        <v>134.0870773877674</v>
      </c>
      <c r="E17" s="5">
        <f>VLOOKUP(A17,'Value of Defferal'!$I24:$P$58,'Value of Defferal'!$K$13)</f>
        <v>158.28835307570222</v>
      </c>
      <c r="F17" s="5">
        <f>IF(+'Value of Defferal'!P24=0,0,Title_RESULTS!$H$17*Title_RESULTS!$C$7*Partcipation!$C$26*(1+Title_RESULTS!$H$18/100)^('Sheet4(F_22)'!A17-Title_RESULTS!$H$7))/1000</f>
        <v>220.51491840000003</v>
      </c>
      <c r="G17" s="5">
        <f>(+E17+F17)*Partcipation!$H17</f>
        <v>378.8032714757022</v>
      </c>
      <c r="H17" s="5">
        <f>+'Sheet5(p_5)'!$F17*'Sheet2(F_12)'!$I17</f>
        <v>2138.3069696115836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76.02463523710001</v>
      </c>
      <c r="C18" s="5">
        <f>IF(+Title_RESULTS!$H$9&lt;='Sheet4(F_22)'!$A18,(+Title_RESULTS!$H$16*((1+Title_RESULTS!$H$18/100)^('Sheet4(F_22)'!$A18-Title_RESULTS!$H$7))*Title_RESULTS!$C$8*Partcipation!$C$26/1000),0)</f>
        <v>61.280532007973825</v>
      </c>
      <c r="D18" s="5">
        <f>(+B18+C18)*+Partcipation!$H18</f>
        <v>137.30516724507385</v>
      </c>
      <c r="E18" s="5">
        <f>VLOOKUP(A18,'Value of Defferal'!$I25:$P$58,'Value of Defferal'!$K$13)</f>
        <v>162.08727354951907</v>
      </c>
      <c r="F18" s="5">
        <f>IF(+'Value of Defferal'!P25=0,0,Title_RESULTS!$H$17*Title_RESULTS!$C$7*Partcipation!$C$26*(1+Title_RESULTS!$H$18/100)^('Sheet4(F_22)'!A18-Title_RESULTS!$H$7))/1000</f>
        <v>225.8072764416</v>
      </c>
      <c r="G18" s="5">
        <f>(+E18+F18)*Partcipation!$H18</f>
        <v>387.8945499911191</v>
      </c>
      <c r="H18" s="5">
        <f>+'Sheet5(p_5)'!$F18*'Sheet2(F_12)'!$I18</f>
        <v>3678.1265244783544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77.84922648279041</v>
      </c>
      <c r="C19" s="5">
        <f>IF(+Title_RESULTS!$H$9&lt;='Sheet4(F_22)'!$A19,(+Title_RESULTS!$H$16*((1+Title_RESULTS!$H$18/100)^('Sheet4(F_22)'!$A19-Title_RESULTS!$H$7))*Title_RESULTS!$C$8*Partcipation!$C$26/1000),0)</f>
        <v>62.7512647761652</v>
      </c>
      <c r="D19" s="5">
        <f>(+B19+C19)*+Partcipation!$H19</f>
        <v>140.60049125895563</v>
      </c>
      <c r="E19" s="5">
        <f>VLOOKUP(A19,'Value of Defferal'!$I26:$P$58,'Value of Defferal'!$K$13)</f>
        <v>165.97736811470753</v>
      </c>
      <c r="F19" s="5">
        <f>IF(+'Value of Defferal'!P26=0,0,Title_RESULTS!$H$17*Title_RESULTS!$C$7*Partcipation!$C$26*(1+Title_RESULTS!$H$18/100)^('Sheet4(F_22)'!A19-Title_RESULTS!$H$7))/1000</f>
        <v>231.2266510761984</v>
      </c>
      <c r="G19" s="5">
        <f>(+E19+F19)*Partcipation!$H19</f>
        <v>397.2040191909059</v>
      </c>
      <c r="H19" s="5">
        <f>+'Sheet5(p_5)'!$F19*'Sheet2(F_12)'!$I19</f>
        <v>4594.8206769117405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79.71760791837738</v>
      </c>
      <c r="C20" s="5">
        <f>IF(+Title_RESULTS!$H$9&lt;='Sheet4(F_22)'!$A20,(+Title_RESULTS!$H$16*((1+Title_RESULTS!$H$18/100)^('Sheet4(F_22)'!$A20-Title_RESULTS!$H$7))*Title_RESULTS!$C$8*Partcipation!$C$26/1000),0)</f>
        <v>64.25729513079315</v>
      </c>
      <c r="D20" s="5">
        <f>(+B20+C20)*+Partcipation!$H20</f>
        <v>143.97490304917054</v>
      </c>
      <c r="E20" s="5">
        <f>VLOOKUP(A20,'Value of Defferal'!$I27:$P$58,'Value of Defferal'!$K$13)</f>
        <v>169.96082494946052</v>
      </c>
      <c r="F20" s="5">
        <f>IF(+'Value of Defferal'!P27=0,0,Title_RESULTS!$H$17*Title_RESULTS!$C$7*Partcipation!$C$26*(1+Title_RESULTS!$H$18/100)^('Sheet4(F_22)'!A20-Title_RESULTS!$H$7))/1000</f>
        <v>236.77609070202718</v>
      </c>
      <c r="G20" s="5">
        <f>(+E20+F20)*Partcipation!$H20</f>
        <v>406.7369156514877</v>
      </c>
      <c r="H20" s="5">
        <f>+'Sheet5(p_5)'!$F20*'Sheet2(F_12)'!$I20</f>
        <v>4775.379810602131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81.63083050841844</v>
      </c>
      <c r="C21" s="5">
        <f>IF(+Title_RESULTS!$H$9&lt;='Sheet4(F_22)'!$A21,(+Title_RESULTS!$H$16*((1+Title_RESULTS!$H$18/100)^('Sheet4(F_22)'!$A21-Title_RESULTS!$H$7))*Title_RESULTS!$C$8*Partcipation!$C$26/1000),0)</f>
        <v>65.79947021393221</v>
      </c>
      <c r="D21" s="5">
        <f>(+B21+C21)*+Partcipation!$H21</f>
        <v>147.43030072235064</v>
      </c>
      <c r="E21" s="5">
        <f>VLOOKUP(A21,'Value of Defferal'!$I28:$P$58,'Value of Defferal'!$K$13)</f>
        <v>174.03988474824754</v>
      </c>
      <c r="F21" s="5">
        <f>IF(+'Value of Defferal'!P28=0,0,Title_RESULTS!$H$17*Title_RESULTS!$C$7*Partcipation!$C$26*(1+Title_RESULTS!$H$18/100)^('Sheet4(F_22)'!A21-Title_RESULTS!$H$7))/1000</f>
        <v>242.45871687887583</v>
      </c>
      <c r="G21" s="5">
        <f>(+E21+F21)*Partcipation!$H21</f>
        <v>416.4986016271234</v>
      </c>
      <c r="H21" s="5">
        <f>+'Sheet5(p_5)'!$F21*'Sheet2(F_12)'!$I21</f>
        <v>5127.320215233224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83.58997044062048</v>
      </c>
      <c r="C22" s="5">
        <f>IF(+Title_RESULTS!$H$9&lt;='Sheet4(F_22)'!$A22,(+Title_RESULTS!$H$16*((1+Title_RESULTS!$H$18/100)^('Sheet4(F_22)'!$A22-Title_RESULTS!$H$7))*Title_RESULTS!$C$8*Partcipation!$C$26/1000),0)</f>
        <v>67.37865749906656</v>
      </c>
      <c r="D22" s="5">
        <f>(+B22+C22)*+Partcipation!$H22</f>
        <v>150.96862793968705</v>
      </c>
      <c r="E22" s="5">
        <f>VLOOKUP(A22,'Value of Defferal'!$I29:$P$58,'Value of Defferal'!$K$13)</f>
        <v>178.2168419822055</v>
      </c>
      <c r="F22" s="5">
        <f>IF(+'Value of Defferal'!P29=0,0,Title_RESULTS!$H$17*Title_RESULTS!$C$7*Partcipation!$C$26*(1+Title_RESULTS!$H$18/100)^('Sheet4(F_22)'!A22-Title_RESULTS!$H$7))/1000</f>
        <v>248.2777260839688</v>
      </c>
      <c r="G22" s="5">
        <f>(+E22+F22)*Partcipation!$H22</f>
        <v>426.4945680661743</v>
      </c>
      <c r="H22" s="5">
        <f>+'Sheet5(p_5)'!$F22*'Sheet2(F_12)'!$I22</f>
        <v>5291.777086223341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85.59612973119538</v>
      </c>
      <c r="C23" s="5">
        <f>IF(+Title_RESULTS!$H$9&lt;='Sheet4(F_22)'!$A23,(+Title_RESULTS!$H$16*((1+Title_RESULTS!$H$18/100)^('Sheet4(F_22)'!$A23-Title_RESULTS!$H$7))*Title_RESULTS!$C$8*Partcipation!$C$26/1000),0)</f>
        <v>68.99574527904417</v>
      </c>
      <c r="D23" s="5">
        <f>(+B23+C23)*+Partcipation!$H23</f>
        <v>154.59187501023956</v>
      </c>
      <c r="E23" s="5">
        <f>VLOOKUP(A23,'Value of Defferal'!$I30:$P$58,'Value of Defferal'!$K$13)</f>
        <v>182.49404618977843</v>
      </c>
      <c r="F23" s="5">
        <f>IF(+'Value of Defferal'!P30=0,0,Title_RESULTS!$H$17*Title_RESULTS!$C$7*Partcipation!$C$26*(1+Title_RESULTS!$H$18/100)^('Sheet4(F_22)'!A23-Title_RESULTS!$H$7))/1000</f>
        <v>254.23639150998412</v>
      </c>
      <c r="G23" s="5">
        <f>(+E23+F23)*Partcipation!$H23</f>
        <v>436.73043769976255</v>
      </c>
      <c r="H23" s="5">
        <f>+'Sheet5(p_5)'!$F23*'Sheet2(F_12)'!$I23</f>
        <v>5622.489469178083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87.65043684474406</v>
      </c>
      <c r="C24" s="5">
        <f>IF(+Title_RESULTS!$H$9&lt;='Sheet4(F_22)'!$A24,(+Title_RESULTS!$H$16*((1+Title_RESULTS!$H$18/100)^('Sheet4(F_22)'!$A24-Title_RESULTS!$H$7))*Title_RESULTS!$C$8*Partcipation!$C$26/1000),0)</f>
        <v>70.65164316574122</v>
      </c>
      <c r="D24" s="5">
        <f>(+B24+C24)*+Partcipation!$H24</f>
        <v>158.30208001048527</v>
      </c>
      <c r="E24" s="5">
        <f>VLOOKUP(A24,'Value of Defferal'!$I31:$P$58,'Value of Defferal'!$K$13)</f>
        <v>186.87390329833312</v>
      </c>
      <c r="F24" s="5">
        <f>IF(+'Value of Defferal'!P31=0,0,Title_RESULTS!$H$17*Title_RESULTS!$C$7*Partcipation!$C$26*(1+Title_RESULTS!$H$18/100)^('Sheet4(F_22)'!A24-Title_RESULTS!$H$7))/1000</f>
        <v>260.3380649062237</v>
      </c>
      <c r="G24" s="5">
        <f>(+E24+F24)*Partcipation!$H24</f>
        <v>447.2119682045568</v>
      </c>
      <c r="H24" s="5">
        <f>+'Sheet5(p_5)'!$F24*'Sheet2(F_12)'!$I24</f>
        <v>6230.368519575293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89.75404732901792</v>
      </c>
      <c r="C25" s="5">
        <f>IF(+Title_RESULTS!$H$9&lt;='Sheet4(F_22)'!$A25,(+Title_RESULTS!$H$16*((1+Title_RESULTS!$H$18/100)^('Sheet4(F_22)'!$A25-Title_RESULTS!$H$7))*Title_RESULTS!$C$8*Partcipation!$C$26/1000),0)</f>
        <v>72.34728260171902</v>
      </c>
      <c r="D25" s="5">
        <f>(+B25+C25)*+Partcipation!$H25</f>
        <v>162.10132993073694</v>
      </c>
      <c r="E25" s="5">
        <f>VLOOKUP(A25,'Value of Defferal'!$I32:$P$58,'Value of Defferal'!$K$13)</f>
        <v>191.3588769774931</v>
      </c>
      <c r="F25" s="5">
        <f>IF(+'Value of Defferal'!P32=0,0,Title_RESULTS!$H$17*Title_RESULTS!$C$7*Partcipation!$C$26*(1+Title_RESULTS!$H$18/100)^('Sheet4(F_22)'!A25-Title_RESULTS!$H$7))/1000</f>
        <v>266.58617846397306</v>
      </c>
      <c r="G25" s="5">
        <f>(+E25+F25)*Partcipation!$H25</f>
        <v>457.94505544146614</v>
      </c>
      <c r="H25" s="5">
        <f>+'Sheet5(p_5)'!$F25*'Sheet2(F_12)'!$I25</f>
        <v>6674.994212762269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736.0556923409945</v>
      </c>
      <c r="C27" s="5">
        <f t="shared" si="1"/>
        <v>593.3061602134723</v>
      </c>
      <c r="D27" s="5">
        <f t="shared" si="1"/>
        <v>1329.3618525544669</v>
      </c>
      <c r="E27" s="5">
        <f t="shared" si="1"/>
        <v>1569.297372885447</v>
      </c>
      <c r="F27" s="5">
        <f t="shared" si="1"/>
        <v>2186.222014462851</v>
      </c>
      <c r="G27" s="5">
        <f t="shared" si="1"/>
        <v>3755.519387348298</v>
      </c>
      <c r="H27" s="5">
        <f t="shared" si="1"/>
        <v>44852.19757596918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525.342032392882</v>
      </c>
      <c r="C29" s="5">
        <f>NPV(Title_RESULTS!$C$37,'Sheet4(F_22)'!C17:C26)+'Sheet4(F_22)'!C16</f>
        <v>423.45799004209806</v>
      </c>
      <c r="D29" s="5">
        <f>NPV(Title_RESULTS!$C$37,'Sheet4(F_22)'!D17:D26)+'Sheet4(F_22)'!D16</f>
        <v>948.8000224349801</v>
      </c>
      <c r="E29" s="5">
        <f>NPV(Title_RESULTS!$C$37,'Sheet4(F_22)'!E17:E26)+'Sheet4(F_22)'!E16</f>
        <v>1120.048224446746</v>
      </c>
      <c r="F29" s="5">
        <f>NPV(Title_RESULTS!$C$37,'Sheet4(F_22)'!F17:F26)+'Sheet4(F_22)'!F16</f>
        <v>1560.3633370284426</v>
      </c>
      <c r="G29" s="5">
        <f>NPV(Title_RESULTS!$C$37,'Sheet4(F_22)'!G17:G26)+'Sheet4(F_22)'!G16</f>
        <v>2680.4115614751886</v>
      </c>
      <c r="H29" s="5">
        <f>NPV(Title_RESULTS!$C$37,'Sheet4(F_22)'!H17:H26)+'Sheet4(F_22)'!H16</f>
        <v>31144.433241290713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Pump System Optimization</v>
      </c>
      <c r="P2" t="s">
        <v>121</v>
      </c>
    </row>
    <row r="3" ht="12.75">
      <c r="P3" s="35">
        <f>+Title_RESULTS!I4</f>
        <v>43599.32649236111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5482.79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5482.79</v>
      </c>
      <c r="H16" s="5">
        <f>IF(Partcipation!$B17&lt;Partcipation!$B16,0,IF(Partcipation!$B16=0,0,(Partcipation!$B16-Partcipation!$B15)*(+Title_RESULTS!$C$29*(1+Title_RESULTS!$C$30/100)^(+'Sheet8(F_24)'!$A16-Title_RESULTS!$H$7))/1000))</f>
        <v>11528.05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11528.05</v>
      </c>
      <c r="K16" s="5">
        <f>(+Partcipation!$B15+(Partcipation!$B16-Partcipation!$B15)/2)*(+Title_RESULTS!$C$14)/1000</f>
        <v>23485.5</v>
      </c>
      <c r="L16" s="5">
        <f>($K16)*Partcipation!$E73*Title_RESULTS!$C$12/100</f>
        <v>571.7809284484684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877.78899</v>
      </c>
      <c r="N16" s="5">
        <f>'Sheet2(F_12)'!$I16*('Sheet6(p_6)'!$L16+'Sheet6(p_6)'!$M16)</f>
        <v>1449.5699184484683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5482.79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5482.79</v>
      </c>
      <c r="H17" s="5">
        <f>IF(Partcipation!$B18&lt;Partcipation!$B17,0,IF(Partcipation!$B17=0,0,(Partcipation!$B17-Partcipation!$B16)*(+Title_RESULTS!$C$29*(1+Title_RESULTS!$C$30/100)^(+'Sheet8(F_24)'!$A17-Title_RESULTS!$H$7))/1000))</f>
        <v>11793.195149999998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11793.195149999998</v>
      </c>
      <c r="K17" s="5">
        <f>(+Partcipation!$B16+(Partcipation!$B17-Partcipation!$B16)/2)*(+Title_RESULTS!$C$14)/1000</f>
        <v>70456.5</v>
      </c>
      <c r="L17" s="5">
        <f>($K17)*Partcipation!$E74*Title_RESULTS!$C$12/100</f>
        <v>1796.9819244106423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2659.7006397000005</v>
      </c>
      <c r="N17" s="5">
        <f>'Sheet2(F_12)'!$I17*('Sheet6(p_6)'!$L17+'Sheet6(p_6)'!$M17)</f>
        <v>4456.6825641106425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5482.79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5482.79</v>
      </c>
      <c r="H18" s="5">
        <f>IF(Partcipation!$B19&lt;Partcipation!$B18,0,IF(Partcipation!$B18=0,0,(Partcipation!$B18-Partcipation!$B17)*(+Title_RESULTS!$C$29*(1+Title_RESULTS!$C$30/100)^(+'Sheet8(F_24)'!$A18-Title_RESULTS!$H$7))/1000))</f>
        <v>12064.438638449998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12064.438638449998</v>
      </c>
      <c r="K18" s="5">
        <f>(+Partcipation!$B17+(Partcipation!$B18-Partcipation!$B17)/2)*(+Title_RESULTS!$C$14)/1000</f>
        <v>117427.5</v>
      </c>
      <c r="L18" s="5">
        <f>($K18)*Partcipation!$E75*Title_RESULTS!$C$12/100</f>
        <v>3105.2907516144874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4477.1627434950005</v>
      </c>
      <c r="N18" s="5">
        <f>'Sheet2(F_12)'!$I18*('Sheet6(p_6)'!$L18+'Sheet6(p_6)'!$M18)</f>
        <v>7582.453495109488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140913</v>
      </c>
      <c r="L19" s="5">
        <f>($K19)*Partcipation!$E76*Title_RESULTS!$C$12/100</f>
        <v>3695.802572383813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5426.32124511594</v>
      </c>
      <c r="N19" s="5">
        <f>'Sheet2(F_12)'!$I19*('Sheet6(p_6)'!$L19+'Sheet6(p_6)'!$M19)</f>
        <v>9122.123817499752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140913</v>
      </c>
      <c r="L20" s="5">
        <f>($K20)*Partcipation!$E77*Title_RESULTS!$C$12/100</f>
        <v>3905.4275095252074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5480.5844575671</v>
      </c>
      <c r="N20" s="5">
        <f>'Sheet2(F_12)'!$I20*('Sheet6(p_6)'!$L20+'Sheet6(p_6)'!$M20)</f>
        <v>9386.011967092307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140913</v>
      </c>
      <c r="L21" s="5">
        <f>($K21)*Partcipation!$E78*Title_RESULTS!$C$12/100</f>
        <v>4129.593881436929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5535.39030214277</v>
      </c>
      <c r="N21" s="5">
        <f>'Sheet2(F_12)'!$I21*('Sheet6(p_6)'!$L21+'Sheet6(p_6)'!$M21)</f>
        <v>9664.9841835797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140913</v>
      </c>
      <c r="L22" s="5">
        <f>($K22)*Partcipation!$E79*Title_RESULTS!$C$12/100</f>
        <v>4316.310026611597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5590.744205164199</v>
      </c>
      <c r="N22" s="5">
        <f>'Sheet2(F_12)'!$I22*('Sheet6(p_6)'!$L22+'Sheet6(p_6)'!$M22)</f>
        <v>9907.054231775797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140913</v>
      </c>
      <c r="L23" s="5">
        <f>($K23)*Partcipation!$E80*Title_RESULTS!$C$12/100</f>
        <v>4570.458538849068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5646.65164721584</v>
      </c>
      <c r="N23" s="5">
        <f>'Sheet2(F_12)'!$I23*('Sheet6(p_6)'!$L23+'Sheet6(p_6)'!$M23)</f>
        <v>10217.110186064907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140913</v>
      </c>
      <c r="L24" s="5">
        <f>($K24)*Partcipation!$E81*Title_RESULTS!$C$12/100</f>
        <v>5003.258619530493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5703.118163687999</v>
      </c>
      <c r="N24" s="5">
        <f>'Sheet2(F_12)'!$I24*('Sheet6(p_6)'!$L24+'Sheet6(p_6)'!$M24)</f>
        <v>10706.376783218493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140913</v>
      </c>
      <c r="L25" s="5">
        <f>($K25)*Partcipation!$E82*Title_RESULTS!$C$12/100</f>
        <v>5258.163380169968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5760.14934532488</v>
      </c>
      <c r="N25" s="5">
        <f>'Sheet2(F_12)'!$I25*('Sheet6(p_6)'!$L25+'Sheet6(p_6)'!$M25)</f>
        <v>11018.312725494849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16448.37</v>
      </c>
      <c r="F27" s="5">
        <f t="shared" si="4"/>
        <v>0</v>
      </c>
      <c r="G27" s="5">
        <f t="shared" si="4"/>
        <v>16448.37</v>
      </c>
      <c r="H27" s="5">
        <f t="shared" si="4"/>
        <v>35385.68378844999</v>
      </c>
      <c r="I27" s="5">
        <f t="shared" si="4"/>
        <v>0</v>
      </c>
      <c r="J27" s="5">
        <f t="shared" si="4"/>
        <v>35385.68378844999</v>
      </c>
      <c r="K27" s="5">
        <f t="shared" si="4"/>
        <v>1197760.5</v>
      </c>
      <c r="L27" s="5">
        <f t="shared" si="4"/>
        <v>36353.06813298067</v>
      </c>
      <c r="M27" s="5">
        <f t="shared" si="4"/>
        <v>47157.611739413725</v>
      </c>
      <c r="N27" s="5">
        <f t="shared" si="4"/>
        <v>83510.67987239441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15384.792765293081</v>
      </c>
      <c r="F29" s="5">
        <f>NPV(Title_RESULTS!$C$37,'Sheet6(p_6)'!F17:F26)+'Sheet6(p_6)'!F16</f>
        <v>0</v>
      </c>
      <c r="G29" s="5">
        <f>NPV(Title_RESULTS!$C$37,'Sheet6(p_6)'!G17:G26)+'Sheet6(p_6)'!G16</f>
        <v>15384.792765293081</v>
      </c>
      <c r="H29" s="5">
        <f>NPV(Title_RESULTS!$C$37,'Sheet6(p_6)'!H17:H26)+'Sheet6(p_6)'!H16</f>
        <v>33063.301874660996</v>
      </c>
      <c r="I29" s="5">
        <f>NPV(Title_RESULTS!$C$37,'Sheet6(p_6)'!I17:I26)+'Sheet6(p_6)'!I16</f>
        <v>0</v>
      </c>
      <c r="J29" s="5">
        <f>NPV(Title_RESULTS!$C$37,'Sheet6(p_6)'!J17:J26)+'Sheet6(p_6)'!J16</f>
        <v>33063.301874660996</v>
      </c>
      <c r="K29" s="5"/>
      <c r="L29" s="5">
        <f>NPV(Title_RESULTS!$C$37,'Sheet6(p_6)'!L17:L26)+'Sheet6(p_6)'!L16</f>
        <v>25302.370021290106</v>
      </c>
      <c r="M29" s="5">
        <f>NPV(Title_RESULTS!$C$37,'Sheet6(p_6)'!M17:M26)+'Sheet6(p_6)'!M16</f>
        <v>33404.858319207095</v>
      </c>
      <c r="N29" s="5">
        <f>NPV(Title_RESULTS!$C$37,'Sheet6(p_6)'!N17:N26)+'Sheet6(p_6)'!N16</f>
        <v>58707.22834049721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Pump System Optimization</v>
      </c>
      <c r="M2" t="s">
        <v>55</v>
      </c>
    </row>
    <row r="3" ht="12.75">
      <c r="M3" s="35">
        <f>+Title_RESULTS!I4</f>
        <v>43599.32649236111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11528.05</v>
      </c>
      <c r="E16" s="5">
        <f>IF(A16&gt;=(Title_RESULTS!$H$7+Title_RESULTS!$C$17),0,(+'f-11B'!$N15))</f>
        <v>0</v>
      </c>
      <c r="F16" s="5">
        <f>IF(A16&gt;=(Title_RESULTS!$H$7+Title_RESULTS!$C$17),0,(SUM(B16:E16)))</f>
        <v>11653.05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718.6140913931545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718.6140913931545</v>
      </c>
      <c r="L16" s="23">
        <f>IF(A16&gt;=(Title_RESULTS!$H$7+Title_RESULTS!$C$17),0,(+$K16-$F16))</f>
        <v>-10934.435908606845</v>
      </c>
      <c r="M16" s="23">
        <f>IF(A16&gt;=(Title_RESULTS!$H$7+Title_RESULTS!$C$17),0,(+$L16/(1+Title_RESULTS!$C$37)^('Sheet7(F_23)'!$A16-Title_RESULTS!$H$7)))</f>
        <v>-10934.435908606845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11793.195149999998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11921.195149999998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512.8903488634696</v>
      </c>
      <c r="I17" s="5">
        <f>IF(A17&gt;=(Title_RESULTS!$H$7+Title_RESULTS!$C$17),0,(+'Sheet4(F_22)'!$H17))</f>
        <v>2138.3069696115836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2651.197318475053</v>
      </c>
      <c r="L17" s="23">
        <f>IF(A17&gt;=(Title_RESULTS!$H$7+Title_RESULTS!$C$17),0,(+$K17-$F17))</f>
        <v>-9269.997831524945</v>
      </c>
      <c r="M17" s="23">
        <f>IF(A17&gt;=(Title_RESULTS!$H$7+Title_RESULTS!$C$17),0,(+M16+$L17/(1+Title_RESULTS!$C$37)^('Sheet7(F_23)'!$A17-Title_RESULTS!$H$7)))</f>
        <v>-19591.512703082888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12064.438638449998</v>
      </c>
      <c r="E18" s="5">
        <f>IF(A18&gt;=(Title_RESULTS!$H$7+Title_RESULTS!$C$17),0,(+'f-11B'!$N17))</f>
        <v>0</v>
      </c>
      <c r="F18" s="5">
        <f>IF(A18&gt;=(Title_RESULTS!$H$7+Title_RESULTS!$C$17),0,(SUM(B18:E18)))</f>
        <v>12195.510638449998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525.199717236193</v>
      </c>
      <c r="I18" s="5">
        <f>IF(A18&gt;=(Title_RESULTS!$H$7+Title_RESULTS!$C$17),0,(+'Sheet4(F_22)'!$H18))</f>
        <v>3678.1265244783544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4203.326241714547</v>
      </c>
      <c r="L18" s="23">
        <f>IF(A18&gt;=(Title_RESULTS!$H$7+Title_RESULTS!$C$17),0,(+$K18-$F18))</f>
        <v>-7992.184396735451</v>
      </c>
      <c r="M18" s="23">
        <f>IF(A18&gt;=(Title_RESULTS!$H$7+Title_RESULTS!$C$17),0,(+M17+$L18/(1+Title_RESULTS!$C$37)^('Sheet7(F_23)'!$A18-Title_RESULTS!$H$7)))</f>
        <v>-26561.769368608093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1628.8461731020893</v>
      </c>
      <c r="H19" s="5">
        <f>IF(A19&gt;=(Title_RESULTS!$H$7+Title_RESULTS!$C$17),0,(+'Sheet4(F_22)'!$D19+'Sheet4(F_22)'!$G19))</f>
        <v>537.8045104498615</v>
      </c>
      <c r="I19" s="5">
        <f>IF(A19&gt;=(Title_RESULTS!$H$7+Title_RESULTS!$C$17),0,(+'Sheet4(F_22)'!$H19))</f>
        <v>4594.8206769117405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6761.471360463691</v>
      </c>
      <c r="L19" s="23">
        <f>IF(A19&gt;=(Title_RESULTS!$H$7+Title_RESULTS!$C$17),0,(+$K19-$F19))</f>
        <v>6761.471360463691</v>
      </c>
      <c r="M19" s="23">
        <f>IF(A19&gt;=(Title_RESULTS!$H$7+Title_RESULTS!$C$17),0,(+M18+$L19/(1+Title_RESULTS!$C$37)^('Sheet7(F_23)'!$A19-Title_RESULTS!$H$7)))</f>
        <v>-21054.75606934204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1672.279023339228</v>
      </c>
      <c r="H20" s="5">
        <f>IF(A20&gt;=(Title_RESULTS!$H$7+Title_RESULTS!$C$17),0,(+'Sheet4(F_22)'!$D20+'Sheet4(F_22)'!$G20))</f>
        <v>550.7118187006582</v>
      </c>
      <c r="I20" s="5">
        <f>IF(A20&gt;=(Title_RESULTS!$H$7+Title_RESULTS!$C$17),0,(+'Sheet4(F_22)'!$H20))</f>
        <v>4775.379810602131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6998.370652642017</v>
      </c>
      <c r="L20" s="23">
        <f>IF(A20&gt;=(Title_RESULTS!$H$7+Title_RESULTS!$C$17),0,(+$K20-$F20))</f>
        <v>6998.370652642017</v>
      </c>
      <c r="M20" s="23">
        <f>IF(A20&gt;=(Title_RESULTS!$H$7+Title_RESULTS!$C$17),0,(+M19+$L20/(1+Title_RESULTS!$C$37)^('Sheet7(F_23)'!$A20-Title_RESULTS!$H$7)))</f>
        <v>-15731.66997866795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1719.794859197249</v>
      </c>
      <c r="H21" s="5">
        <f>IF(A21&gt;=(Title_RESULTS!$H$7+Title_RESULTS!$C$17),0,(+'Sheet4(F_22)'!$D21+'Sheet4(F_22)'!$G21))</f>
        <v>563.928902349474</v>
      </c>
      <c r="I21" s="5">
        <f>IF(A21&gt;=(Title_RESULTS!$H$7+Title_RESULTS!$C$17),0,(+'Sheet4(F_22)'!$H21))</f>
        <v>5127.320215233224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7411.043976779947</v>
      </c>
      <c r="L21" s="23">
        <f>IF(A21&gt;=(Title_RESULTS!$H$7+Title_RESULTS!$C$17),0,(+$K21-$F21))</f>
        <v>7411.043976779947</v>
      </c>
      <c r="M21" s="23">
        <f>IF(A21&gt;=(Title_RESULTS!$H$7+Title_RESULTS!$C$17),0,(+M20+$L21/(1+Title_RESULTS!$C$37)^('Sheet7(F_23)'!$A21-Title_RESULTS!$H$7)))</f>
        <v>-10467.406984787194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1773.0101804227238</v>
      </c>
      <c r="H22" s="5">
        <f>IF(A22&gt;=(Title_RESULTS!$H$7+Title_RESULTS!$C$17),0,(+'Sheet4(F_22)'!$D22+'Sheet4(F_22)'!$G22))</f>
        <v>577.4631960058614</v>
      </c>
      <c r="I22" s="5">
        <f>IF(A22&gt;=(Title_RESULTS!$H$7+Title_RESULTS!$C$17),0,(+'Sheet4(F_22)'!$H22))</f>
        <v>5291.777086223341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7642.250462651926</v>
      </c>
      <c r="L22" s="23">
        <f>IF(A22&gt;=(Title_RESULTS!$H$7+Title_RESULTS!$C$17),0,(+$K22-$F22))</f>
        <v>7642.250462651926</v>
      </c>
      <c r="M22" s="23">
        <f>IF(A22&gt;=(Title_RESULTS!$H$7+Title_RESULTS!$C$17),0,(+M21+$L22/(1+Title_RESULTS!$C$37)^('Sheet7(F_23)'!$A22-Title_RESULTS!$H$7)))</f>
        <v>-5397.837361911656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1820.7394907468056</v>
      </c>
      <c r="H23" s="5">
        <f>IF(A23&gt;=(Title_RESULTS!$H$7+Title_RESULTS!$C$17),0,(+'Sheet4(F_22)'!$D23+'Sheet4(F_22)'!$G23))</f>
        <v>591.322312710002</v>
      </c>
      <c r="I23" s="5">
        <f>IF(A23&gt;=(Title_RESULTS!$H$7+Title_RESULTS!$C$17),0,(+'Sheet4(F_22)'!$H23))</f>
        <v>5622.489469178083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8034.551272634891</v>
      </c>
      <c r="L23" s="23">
        <f>IF(A23&gt;=(Title_RESULTS!$H$7+Title_RESULTS!$C$17),0,(+$K23-$F23))</f>
        <v>8034.551272634891</v>
      </c>
      <c r="M23" s="23">
        <f>IF(A23&gt;=(Title_RESULTS!$H$7+Title_RESULTS!$C$17),0,(+M22+$L23/(1+Title_RESULTS!$C$37)^('Sheet7(F_23)'!$A23-Title_RESULTS!$H$7)))</f>
        <v>-420.43111008325286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1850.2342146392725</v>
      </c>
      <c r="H24" s="5">
        <f>IF(A24&gt;=(Title_RESULTS!$H$7+Title_RESULTS!$C$17),0,(+'Sheet4(F_22)'!$D24+'Sheet4(F_22)'!$G24))</f>
        <v>605.5140482150421</v>
      </c>
      <c r="I24" s="5">
        <f>IF(A24&gt;=(Title_RESULTS!$H$7+Title_RESULTS!$C$17),0,(+'Sheet4(F_22)'!$H24))</f>
        <v>6230.368519575293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8686.116782429608</v>
      </c>
      <c r="L24" s="23">
        <f>IF(A24&gt;=(Title_RESULTS!$H$7+Title_RESULTS!$C$17),0,(+$K24-$F24))</f>
        <v>8686.116782429608</v>
      </c>
      <c r="M24" s="23">
        <f>IF(A24&gt;=(Title_RESULTS!$H$7+Title_RESULTS!$C$17),0,(+M23+$L24/(1+Title_RESULTS!$C$37)^('Sheet7(F_23)'!$A24-Title_RESULTS!$H$7)))</f>
        <v>4604.831521710803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1900.4927539714258</v>
      </c>
      <c r="H25" s="5">
        <f>IF(A25&gt;=(Title_RESULTS!$H$7+Title_RESULTS!$C$17),0,(+'Sheet4(F_22)'!$D25+'Sheet4(F_22)'!$G25))</f>
        <v>620.0463853722031</v>
      </c>
      <c r="I25" s="5">
        <f>IF(A25&gt;=(Title_RESULTS!$H$7+Title_RESULTS!$C$17),0,(+'Sheet4(F_22)'!$H25))</f>
        <v>6674.994212762269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9195.533352105898</v>
      </c>
      <c r="L25" s="23">
        <f>IF(A25&gt;=(Title_RESULTS!$H$7+Title_RESULTS!$C$17),0,(+$K25-$F25))</f>
        <v>9195.533352105898</v>
      </c>
      <c r="M25" s="23">
        <f>IF(A25&gt;=(Title_RESULTS!$H$7+Title_RESULTS!$C$17),0,(+M24+$L25/(1+Title_RESULTS!$C$37)^('Sheet7(F_23)'!$A25-Title_RESULTS!$H$7)))</f>
        <v>9573.061159630804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35385.68378844999</v>
      </c>
      <c r="E27" s="5">
        <f t="shared" si="1"/>
        <v>0</v>
      </c>
      <c r="F27" s="5">
        <f t="shared" si="1"/>
        <v>35769.75578844999</v>
      </c>
      <c r="G27" s="5">
        <f t="shared" si="1"/>
        <v>12365.396695418794</v>
      </c>
      <c r="H27" s="5">
        <f t="shared" si="1"/>
        <v>5084.881239902765</v>
      </c>
      <c r="I27" s="5">
        <f t="shared" si="1"/>
        <v>44852.19757596918</v>
      </c>
      <c r="J27" s="5">
        <f t="shared" si="1"/>
        <v>0</v>
      </c>
      <c r="K27" s="5">
        <f t="shared" si="1"/>
        <v>62302.47551129074</v>
      </c>
      <c r="L27" s="5">
        <f t="shared" si="1"/>
        <v>26532.71972284074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33063.301874660996</v>
      </c>
      <c r="E29" s="5">
        <f>NPV(Title_RESULTS!$C$37,'Sheet7(F_23)'!E17:E26)+'Sheet7(F_23)'!E16</f>
        <v>0</v>
      </c>
      <c r="F29" s="5">
        <f>NPV(Title_RESULTS!$C$37,'Sheet7(F_23)'!F17:F26)+'Sheet7(F_23)'!F16</f>
        <v>33422.151032298054</v>
      </c>
      <c r="G29" s="5">
        <f>NPV(Title_RESULTS!$C$37,'Sheet7(F_23)'!G17:G26)+'Sheet7(F_23)'!G16</f>
        <v>8221.56736672798</v>
      </c>
      <c r="H29" s="5">
        <f>NPV(Title_RESULTS!$C$37,'Sheet7(F_23)'!H17:H26)+'Sheet7(F_23)'!H16</f>
        <v>3629.2115839101684</v>
      </c>
      <c r="I29" s="5">
        <f>NPV(Title_RESULTS!$C$37,'Sheet7(F_23)'!I17:I26)+'Sheet7(F_23)'!I16</f>
        <v>31144.433241290713</v>
      </c>
      <c r="J29" s="5">
        <f>NPV(Title_RESULTS!$C$37,'Sheet7(F_23)'!J17:J26)+'Sheet7(F_23)'!J16</f>
        <v>0</v>
      </c>
      <c r="K29" s="5">
        <f>NPV(Title_RESULTS!$C$37,'Sheet7(F_23)'!K17:K26)+'Sheet7(F_23)'!K16</f>
        <v>42995.21219192886</v>
      </c>
      <c r="L29" s="5">
        <f>NPV(Title_RESULTS!$C$37,'Sheet7(F_23)'!L17:L26)+'Sheet7(F_23)'!L16</f>
        <v>9573.061159630806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1.286428636815737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Pump System Optimization</v>
      </c>
      <c r="L2" t="s">
        <v>55</v>
      </c>
    </row>
    <row r="3" ht="12.75">
      <c r="L3" s="35">
        <f>+Title_RESULTS!I4</f>
        <v>43599.32649236111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1449.5699184484683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5482.79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6932.359918448468</v>
      </c>
      <c r="G16" s="5">
        <f>IF(A16&gt;=(Title_RESULTS!$H$7+Title_RESULTS!$C$17),0,(+'Sheet6(p_6)'!$H16))</f>
        <v>11528.05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11528.05</v>
      </c>
      <c r="K16" s="23">
        <f>IF(A16&gt;=(Title_RESULTS!$H$7+Title_RESULTS!$C$17),0,(+F16-J16))</f>
        <v>-4595.690081551531</v>
      </c>
      <c r="L16" s="23">
        <f>IF(A16&gt;=(Title_RESULTS!$H$7+Title_RESULTS!$C$17),0,(+$K16/((1+Title_RESULTS!$C$37)^('Sheet8(F_24)'!$A16-Title_RESULTS!$H$7))))</f>
        <v>-4595.690081551531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4456.6825641106425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5482.79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9939.472564110642</v>
      </c>
      <c r="G17" s="5">
        <f>IF(A17&gt;=(Title_RESULTS!$H$7+Title_RESULTS!$C$17),0,(+'Sheet6(p_6)'!$H17))</f>
        <v>11793.195149999998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11793.195149999998</v>
      </c>
      <c r="K17" s="23">
        <f>IF(A17&gt;=(Title_RESULTS!$H$7+Title_RESULTS!$C$17),0,(+F17-J17))</f>
        <v>-1853.7225858893562</v>
      </c>
      <c r="L17" s="23">
        <f>IF(A16&gt;=(Title_RESULTS!$H$7+Title_RESULTS!$C$17),0,(+$K17/((1+Title_RESULTS!$C$37)^('Sheet8(F_24)'!$A17-Title_RESULTS!$H$7))+L16))</f>
        <v>-6326.846773640956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7582.453495109488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5482.79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13065.243495109487</v>
      </c>
      <c r="G18" s="5">
        <f>IF(A18&gt;=(Title_RESULTS!$H$7+Title_RESULTS!$C$17),0,(+'Sheet6(p_6)'!$H18))</f>
        <v>12064.438638449998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12064.438638449998</v>
      </c>
      <c r="K18" s="23">
        <f>IF(A18&gt;=(Title_RESULTS!$H$7+Title_RESULTS!$C$17),0,(+F18-J18))</f>
        <v>1000.8048566594898</v>
      </c>
      <c r="L18" s="23">
        <f>IF(A17&gt;=(Title_RESULTS!$H$7+Title_RESULTS!$C$17),0,(+$K18/((1+Title_RESULTS!$C$37)^('Sheet8(F_24)'!$A18-Title_RESULTS!$H$7))+L17))</f>
        <v>-5454.010715720393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9122.123817499752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9122.123817499752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9122.123817499752</v>
      </c>
      <c r="L19" s="23">
        <f>IF(A18&gt;=(Title_RESULTS!$H$7+Title_RESULTS!$C$17),0,(+$K19/((1+Title_RESULTS!$C$37)^('Sheet8(F_24)'!$A19-Title_RESULTS!$H$7))+L18))</f>
        <v>1975.6823943126437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9386.011967092307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9386.011967092307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9386.011967092307</v>
      </c>
      <c r="L20" s="23">
        <f>IF(A19&gt;=(Title_RESULTS!$H$7+Title_RESULTS!$C$17),0,(+$K20/((1+Title_RESULTS!$C$37)^('Sheet8(F_24)'!$A20-Title_RESULTS!$H$7))+L19))</f>
        <v>9114.851242145502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9664.9841835797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9664.9841835797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9664.9841835797</v>
      </c>
      <c r="L21" s="23">
        <f>IF(A20&gt;=(Title_RESULTS!$H$7+Title_RESULTS!$C$17),0,(+$K21/((1+Title_RESULTS!$C$37)^('Sheet8(F_24)'!$A21-Title_RESULTS!$H$7))+L20))</f>
        <v>15980.148322215999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9907.054231775797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9907.054231775797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9907.054231775797</v>
      </c>
      <c r="L22" s="23">
        <f>IF(A21&gt;=(Title_RESULTS!$H$7+Title_RESULTS!$C$17),0,(+$K22/((1+Title_RESULTS!$C$37)^('Sheet8(F_24)'!$A22-Title_RESULTS!$H$7))+L21))</f>
        <v>22552.10005698848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10217.110186064907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10217.110186064907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10217.110186064907</v>
      </c>
      <c r="L23" s="23">
        <f>IF(A22&gt;=(Title_RESULTS!$H$7+Title_RESULTS!$C$17),0,(+$K23/((1+Title_RESULTS!$C$37)^('Sheet8(F_24)'!$A23-Title_RESULTS!$H$7))+L22))</f>
        <v>28881.602027925757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10706.376783218493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10706.376783218493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10706.376783218493</v>
      </c>
      <c r="L24" s="23">
        <f>IF(A23&gt;=(Title_RESULTS!$H$7+Title_RESULTS!$C$17),0,(+$K24/((1+Title_RESULTS!$C$37)^('Sheet8(F_24)'!$A24-Title_RESULTS!$H$7))+L23))</f>
        <v>35075.6650964131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11018.312725494849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11018.312725494849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11018.312725494849</v>
      </c>
      <c r="L25" s="23">
        <f>IF(A24&gt;=(Title_RESULTS!$H$7+Title_RESULTS!$C$17),0,(+$K25/((1+Title_RESULTS!$C$37)^('Sheet8(F_24)'!$A25-Title_RESULTS!$H$7))+L24))</f>
        <v>41028.71923112928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83510.67987239441</v>
      </c>
      <c r="C27" s="5">
        <f t="shared" si="1"/>
        <v>0</v>
      </c>
      <c r="D27" s="5">
        <f t="shared" si="1"/>
        <v>16448.37</v>
      </c>
      <c r="E27" s="5">
        <f t="shared" si="1"/>
        <v>0</v>
      </c>
      <c r="F27" s="5">
        <f t="shared" si="1"/>
        <v>99959.0498723944</v>
      </c>
      <c r="G27" s="5">
        <f t="shared" si="1"/>
        <v>35385.68378844999</v>
      </c>
      <c r="H27" s="5">
        <f t="shared" si="1"/>
        <v>0</v>
      </c>
      <c r="I27" s="5">
        <f t="shared" si="1"/>
        <v>0</v>
      </c>
      <c r="J27" s="5">
        <f t="shared" si="1"/>
        <v>35385.68378844999</v>
      </c>
      <c r="K27" s="5">
        <f t="shared" si="1"/>
        <v>64573.366083944406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58707.22834049721</v>
      </c>
      <c r="C29" s="5">
        <f>NPV(Title_RESULTS!$C$37,'Sheet8(F_24)'!C17:C26)+'Sheet8(F_24)'!C16</f>
        <v>0</v>
      </c>
      <c r="D29" s="5">
        <f>NPV(Title_RESULTS!$C$37,'Sheet8(F_24)'!D17:D26)+'Sheet8(F_24)'!D16</f>
        <v>15384.792765293081</v>
      </c>
      <c r="E29" s="5">
        <f>NPV(Title_RESULTS!$C$37,'Sheet8(F_24)'!E17:E26)+'Sheet8(F_24)'!E16</f>
        <v>0</v>
      </c>
      <c r="F29" s="5">
        <f>NPV(Title_RESULTS!$C$37,'Sheet8(F_24)'!F17:F26)+'Sheet8(F_24)'!F16</f>
        <v>74092.02110579028</v>
      </c>
      <c r="G29" s="5">
        <f>NPV(Title_RESULTS!$C$37,'Sheet8(F_24)'!G17:G26)+'Sheet8(F_24)'!G16</f>
        <v>33063.301874660996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33063.301874660996</v>
      </c>
      <c r="K29" s="5">
        <f>NPV(Title_RESULTS!$C$37,'Sheet8(F_24)'!K17:K26)+'Sheet8(F_24)'!K16</f>
        <v>41028.71923112928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2.2409141526960683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Pump System Optimization</v>
      </c>
      <c r="N2" t="s">
        <v>55</v>
      </c>
    </row>
    <row r="3" ht="12.75">
      <c r="N3" s="35">
        <f>+Title_RESULTS!I4</f>
        <v>43599.32649236111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5482.79</v>
      </c>
      <c r="E16" s="5">
        <f>+'Sheet6(p_6)'!M16</f>
        <v>877.78899</v>
      </c>
      <c r="F16">
        <f>IF(A16&gt;=(Title_RESULTS!$H$7+Title_RESULTS!$C$17),0,(+'f-11B'!$R15))</f>
        <v>0</v>
      </c>
      <c r="G16" s="5">
        <f>IF(A16&gt;=(Title_RESULTS!$H$7+Title_RESULTS!$C$17),0,(SUM(B16:F16)))</f>
        <v>6485.57899</v>
      </c>
      <c r="H16" s="5">
        <f>IF(A16&gt;=(Title_RESULTS!$H$7+Title_RESULTS!$C$17),0,(+'Sheet3(F_21)'!$J16+'Sheet4(F_22)'!$H16))</f>
        <v>718.6140913931545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718.6140913931545</v>
      </c>
      <c r="M16" s="23">
        <f>IF(A16&gt;=(Title_RESULTS!$H$7+Title_RESULTS!$C$17),0,(+L16-G16))</f>
        <v>-5766.964898606846</v>
      </c>
      <c r="N16" s="24">
        <f>IF(A16&gt;=(Title_RESULTS!$H$7+Title_RESULTS!$C$17),0,(+$M16/((1+Title_RESULTS!$C$37)^('Sheet9(F_25)'!$A16-Title_RESULTS!$H$7))))</f>
        <v>-5766.964898606846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5482.79</v>
      </c>
      <c r="E17" s="5">
        <f>+'Sheet6(p_6)'!M17</f>
        <v>2659.7006397000005</v>
      </c>
      <c r="F17">
        <f>IF(A17&gt;=(Title_RESULTS!$H$7+Title_RESULTS!$C$17),0,(+'f-11B'!$R16))</f>
        <v>0</v>
      </c>
      <c r="G17" s="5">
        <f>IF(A17&gt;=(Title_RESULTS!$H$7+Title_RESULTS!$C$17),0,(SUM(B17:F17)))</f>
        <v>8270.490639700001</v>
      </c>
      <c r="H17" s="5">
        <f>IF(A17&gt;=(Title_RESULTS!$H$7+Title_RESULTS!$C$17),0,(+'Sheet3(F_21)'!$J17+'Sheet4(F_22)'!$H17))</f>
        <v>2138.3069696115836</v>
      </c>
      <c r="I17" s="5">
        <f>IF(A17&gt;=(Title_RESULTS!$H$7+Title_RESULTS!$C$17),0,(+'Sheet4(F_22)'!$D17+'Sheet4(F_22)'!$G17))</f>
        <v>512.8903488634696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2651.197318475053</v>
      </c>
      <c r="M17" s="23">
        <f>IF(A17&gt;=(Title_RESULTS!$H$7+Title_RESULTS!$C$17),0,(+L17-G17))</f>
        <v>-5619.293321224948</v>
      </c>
      <c r="N17" s="24">
        <f>(IF(A16&gt;=(Title_RESULTS!$H$7+Title_RESULTS!$C$17),0,(+$M17/((1+Title_RESULTS!$C$37)^('Sheet9(F_25)'!$A17-Title_RESULTS!$H$7))+N16)))</f>
        <v>-11014.717346519574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5482.79</v>
      </c>
      <c r="E18" s="5">
        <f>+'Sheet6(p_6)'!M18</f>
        <v>4477.1627434950005</v>
      </c>
      <c r="F18">
        <f>IF(A18&gt;=(Title_RESULTS!$H$7+Title_RESULTS!$C$17),0,(+'f-11B'!$R17))</f>
        <v>0</v>
      </c>
      <c r="G18" s="5">
        <f>IF(A18&gt;=(Title_RESULTS!$H$7+Title_RESULTS!$C$17),0,(SUM(B18:F18)))</f>
        <v>10091.024743495</v>
      </c>
      <c r="H18" s="5">
        <f>IF(A18&gt;=(Title_RESULTS!$H$7+Title_RESULTS!$C$17),0,(+'Sheet3(F_21)'!$J18+'Sheet4(F_22)'!$H18))</f>
        <v>3678.1265244783544</v>
      </c>
      <c r="I18" s="5">
        <f>IF(A18&gt;=(Title_RESULTS!$H$7+Title_RESULTS!$C$17),0,(+'Sheet4(F_22)'!$D18+'Sheet4(F_22)'!$G18))</f>
        <v>525.199717236193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4203.326241714547</v>
      </c>
      <c r="M18" s="23">
        <f>IF(A18&gt;=(Title_RESULTS!$H$7+Title_RESULTS!$C$17),0,(+L18-G18))</f>
        <v>-5887.698501780453</v>
      </c>
      <c r="N18" s="24">
        <f>(IF(A17&gt;=(Title_RESULTS!$H$7+Title_RESULTS!$C$17),0,(+$M18/((1+Title_RESULTS!$C$37)^('Sheet9(F_25)'!$A18-Title_RESULTS!$H$7))+N17)))</f>
        <v>-16149.580068581014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5426.32124511594</v>
      </c>
      <c r="F19">
        <f>IF(A19&gt;=(Title_RESULTS!$H$7+Title_RESULTS!$C$17),0,(+'f-11B'!$R18))</f>
        <v>0</v>
      </c>
      <c r="G19" s="5">
        <f>IF(A19&gt;=(Title_RESULTS!$H$7+Title_RESULTS!$C$17),0,(SUM(B19:F19)))</f>
        <v>5426.32124511594</v>
      </c>
      <c r="H19" s="5">
        <f>IF(A19&gt;=(Title_RESULTS!$H$7+Title_RESULTS!$C$17),0,(+'Sheet3(F_21)'!$J19+'Sheet4(F_22)'!$H19))</f>
        <v>6223.666850013829</v>
      </c>
      <c r="I19" s="5">
        <f>IF(A19&gt;=(Title_RESULTS!$H$7+Title_RESULTS!$C$17),0,(+'Sheet4(F_22)'!$D19+'Sheet4(F_22)'!$G19))</f>
        <v>537.8045104498615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6761.471360463691</v>
      </c>
      <c r="M19" s="23">
        <f>IF(A19&gt;=(Title_RESULTS!$H$7+Title_RESULTS!$C$17),0,(+L19-G19))</f>
        <v>1335.1501153477511</v>
      </c>
      <c r="N19" s="24">
        <f>(IF(A18&gt;=(Title_RESULTS!$H$7+Title_RESULTS!$C$17),0,(+$M19/((1+Title_RESULTS!$C$37)^('Sheet9(F_25)'!$A19-Title_RESULTS!$H$7))+N18)))</f>
        <v>-15062.140804291586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5480.5844575671</v>
      </c>
      <c r="F20">
        <f>IF(A20&gt;=(Title_RESULTS!$H$7+Title_RESULTS!$C$17),0,(+'f-11B'!$R19))</f>
        <v>0</v>
      </c>
      <c r="G20" s="5">
        <f>IF(A20&gt;=(Title_RESULTS!$H$7+Title_RESULTS!$C$17),0,(SUM(B20:F20)))</f>
        <v>5480.5844575671</v>
      </c>
      <c r="H20" s="5">
        <f>IF(A20&gt;=(Title_RESULTS!$H$7+Title_RESULTS!$C$17),0,(+'Sheet3(F_21)'!$J20+'Sheet4(F_22)'!$H20))</f>
        <v>6447.658833941359</v>
      </c>
      <c r="I20" s="5">
        <f>IF(A20&gt;=(Title_RESULTS!$H$7+Title_RESULTS!$C$17),0,(+'Sheet4(F_22)'!$D20+'Sheet4(F_22)'!$G20))</f>
        <v>550.7118187006582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6998.370652642017</v>
      </c>
      <c r="M20" s="23">
        <f>IF(A20&gt;=(Title_RESULTS!$H$7+Title_RESULTS!$C$17),0,(+L20-G20))</f>
        <v>1517.7861950749175</v>
      </c>
      <c r="N20" s="24">
        <f>(IF(A19&gt;=(Title_RESULTS!$H$7+Title_RESULTS!$C$17),0,(+$M20/((1+Title_RESULTS!$C$37)^('Sheet9(F_25)'!$A20-Title_RESULTS!$H$7))+N19)))</f>
        <v>-13907.685433944725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5535.39030214277</v>
      </c>
      <c r="F21">
        <f>IF(A21&gt;=(Title_RESULTS!$H$7+Title_RESULTS!$C$17),0,(+'f-11B'!$R20))</f>
        <v>0</v>
      </c>
      <c r="G21" s="5">
        <f>IF(A21&gt;=(Title_RESULTS!$H$7+Title_RESULTS!$C$17),0,(SUM(B21:F21)))</f>
        <v>5535.39030214277</v>
      </c>
      <c r="H21" s="5">
        <f>IF(A21&gt;=(Title_RESULTS!$H$7+Title_RESULTS!$C$17),0,(+'Sheet3(F_21)'!$J21+'Sheet4(F_22)'!$H21))</f>
        <v>6847.115074430473</v>
      </c>
      <c r="I21" s="5">
        <f>IF(A21&gt;=(Title_RESULTS!$H$7+Title_RESULTS!$C$17),0,(+'Sheet4(F_22)'!$D21+'Sheet4(F_22)'!$G21))</f>
        <v>563.928902349474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7411.043976779947</v>
      </c>
      <c r="M21" s="23">
        <f>IF(A21&gt;=(Title_RESULTS!$H$7+Title_RESULTS!$C$17),0,(+L21-G21))</f>
        <v>1875.6536746371767</v>
      </c>
      <c r="N21" s="24">
        <f>(IF(A20&gt;=(Title_RESULTS!$H$7+Title_RESULTS!$C$17),0,(+$M21/((1+Title_RESULTS!$C$37)^('Sheet9(F_25)'!$A21-Title_RESULTS!$H$7))+N20)))</f>
        <v>-12575.35840152316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5590.744205164199</v>
      </c>
      <c r="F22">
        <f>IF(A22&gt;=(Title_RESULTS!$H$7+Title_RESULTS!$C$17),0,(+'f-11B'!$R21))</f>
        <v>0</v>
      </c>
      <c r="G22" s="5">
        <f>IF(A22&gt;=(Title_RESULTS!$H$7+Title_RESULTS!$C$17),0,(SUM(B22:F22)))</f>
        <v>5590.744205164199</v>
      </c>
      <c r="H22" s="5">
        <f>IF(A22&gt;=(Title_RESULTS!$H$7+Title_RESULTS!$C$17),0,(+'Sheet3(F_21)'!$J22+'Sheet4(F_22)'!$H22))</f>
        <v>7064.787266646064</v>
      </c>
      <c r="I22" s="5">
        <f>IF(A22&gt;=(Title_RESULTS!$H$7+Title_RESULTS!$C$17),0,(+'Sheet4(F_22)'!$D22+'Sheet4(F_22)'!$G22))</f>
        <v>577.4631960058614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7642.250462651926</v>
      </c>
      <c r="M22" s="23">
        <f>IF(A22&gt;=(Title_RESULTS!$H$7+Title_RESULTS!$C$17),0,(+L22-G22))</f>
        <v>2051.5062574877265</v>
      </c>
      <c r="N22" s="24">
        <f>(IF(A21&gt;=(Title_RESULTS!$H$7+Title_RESULTS!$C$17),0,(+$M22/((1+Title_RESULTS!$C$37)^('Sheet9(F_25)'!$A22-Title_RESULTS!$H$7))+N21)))</f>
        <v>-11214.469504342227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5646.65164721584</v>
      </c>
      <c r="F23">
        <f>IF(A23&gt;=(Title_RESULTS!$H$7+Title_RESULTS!$C$17),0,(+'f-11B'!$R22))</f>
        <v>0</v>
      </c>
      <c r="G23" s="5">
        <f>IF(A23&gt;=(Title_RESULTS!$H$7+Title_RESULTS!$C$17),0,(SUM(B23:F23)))</f>
        <v>5646.65164721584</v>
      </c>
      <c r="H23" s="5">
        <f>IF(A23&gt;=(Title_RESULTS!$H$7+Title_RESULTS!$C$17),0,(+'Sheet3(F_21)'!$J23+'Sheet4(F_22)'!$H23))</f>
        <v>7443.228959924889</v>
      </c>
      <c r="I23" s="5">
        <f>IF(A23&gt;=(Title_RESULTS!$H$7+Title_RESULTS!$C$17),0,(+'Sheet4(F_22)'!$D23+'Sheet4(F_22)'!$G23))</f>
        <v>591.322312710002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8034.551272634891</v>
      </c>
      <c r="M23" s="23">
        <f>IF(A23&gt;=(Title_RESULTS!$H$7+Title_RESULTS!$C$17),0,(+L23-G23))</f>
        <v>2387.8996254190506</v>
      </c>
      <c r="N23" s="24">
        <f>(IF(A22&gt;=(Title_RESULTS!$H$7+Title_RESULTS!$C$17),0,(+$M23/((1+Title_RESULTS!$C$37)^('Sheet9(F_25)'!$A23-Title_RESULTS!$H$7))+N22)))</f>
        <v>-9735.1651697267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5703.118163687999</v>
      </c>
      <c r="F24">
        <f>IF(A24&gt;=(Title_RESULTS!$H$7+Title_RESULTS!$C$17),0,(+'f-11B'!$R23))</f>
        <v>0</v>
      </c>
      <c r="G24" s="5">
        <f>IF(A24&gt;=(Title_RESULTS!$H$7+Title_RESULTS!$C$17),0,(SUM(B24:F24)))</f>
        <v>5703.118163687999</v>
      </c>
      <c r="H24" s="5">
        <f>IF(A24&gt;=(Title_RESULTS!$H$7+Title_RESULTS!$C$17),0,(+'Sheet3(F_21)'!$J24+'Sheet4(F_22)'!$H24))</f>
        <v>8080.602734214566</v>
      </c>
      <c r="I24" s="5">
        <f>IF(A24&gt;=(Title_RESULTS!$H$7+Title_RESULTS!$C$17),0,(+'Sheet4(F_22)'!$D24+'Sheet4(F_22)'!$G24))</f>
        <v>605.5140482150421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8686.116782429608</v>
      </c>
      <c r="M24" s="23">
        <f>IF(A24&gt;=(Title_RESULTS!$H$7+Title_RESULTS!$C$17),0,(+L24-G24))</f>
        <v>2982.998618741609</v>
      </c>
      <c r="N24" s="24">
        <f>(IF(A23&gt;=(Title_RESULTS!$H$7+Title_RESULTS!$C$17),0,(+$M24/((1+Title_RESULTS!$C$37)^('Sheet9(F_25)'!$A24-Title_RESULTS!$H$7))+N23)))</f>
        <v>-8009.382306689657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5760.14934532488</v>
      </c>
      <c r="F25">
        <f>IF(A25&gt;=(Title_RESULTS!$H$7+Title_RESULTS!$C$17),0,(+'f-11B'!$R24))</f>
        <v>0</v>
      </c>
      <c r="G25" s="5">
        <f>IF(A25&gt;=(Title_RESULTS!$H$7+Title_RESULTS!$C$17),0,(SUM(B25:F25)))</f>
        <v>5760.14934532488</v>
      </c>
      <c r="H25" s="5">
        <f>IF(A25&gt;=(Title_RESULTS!$H$7+Title_RESULTS!$C$17),0,(+'Sheet3(F_21)'!$J25+'Sheet4(F_22)'!$H25))</f>
        <v>8575.486966733695</v>
      </c>
      <c r="I25" s="5">
        <f>IF(A25&gt;=(Title_RESULTS!$H$7+Title_RESULTS!$C$17),0,(+'Sheet4(F_22)'!$D25+'Sheet4(F_22)'!$G25))</f>
        <v>620.0463853722031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9195.533352105898</v>
      </c>
      <c r="M25" s="23">
        <f>IF(A25&gt;=(Title_RESULTS!$H$7+Title_RESULTS!$C$17),0,(+L25-G25))</f>
        <v>3435.384006781018</v>
      </c>
      <c r="N25" s="24">
        <f>(IF(A24&gt;=(Title_RESULTS!$H$7+Title_RESULTS!$C$17),0,(+$M25/((1+Title_RESULTS!$C$37)^('Sheet9(F_25)'!$A25-Title_RESULTS!$H$7))+N24)))</f>
        <v>-6153.288050208375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16448.37</v>
      </c>
      <c r="E27" s="5">
        <f t="shared" si="1"/>
        <v>47157.611739413725</v>
      </c>
      <c r="F27" s="5">
        <f t="shared" si="1"/>
        <v>0</v>
      </c>
      <c r="G27" s="5">
        <f t="shared" si="1"/>
        <v>63990.053739413735</v>
      </c>
      <c r="H27" s="5">
        <f t="shared" si="1"/>
        <v>57217.59427138797</v>
      </c>
      <c r="I27" s="5">
        <f t="shared" si="1"/>
        <v>5084.881239902765</v>
      </c>
      <c r="J27" s="5">
        <f t="shared" si="1"/>
        <v>0</v>
      </c>
      <c r="K27" s="9">
        <f t="shared" si="1"/>
        <v>0</v>
      </c>
      <c r="L27" s="5">
        <f t="shared" si="1"/>
        <v>62302.47551129074</v>
      </c>
      <c r="M27" s="5">
        <f t="shared" si="1"/>
        <v>-1687.5782281229958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15384.792765293081</v>
      </c>
      <c r="E29" s="5">
        <f>NPV(Title_RESULTS!$C$37,'Sheet9(F_25)'!E17:E26)+'Sheet9(F_25)'!E16</f>
        <v>33404.858319207095</v>
      </c>
      <c r="F29" s="5">
        <f>NPV(Title_RESULTS!$C$37,'Sheet9(F_25)'!F17:F26)+'Sheet9(F_25)'!F16</f>
        <v>0</v>
      </c>
      <c r="G29" s="5">
        <f>NPV(Title_RESULTS!$C$37,'Sheet9(F_25)'!G17:G26)+'Sheet9(F_25)'!G16</f>
        <v>49148.500242137234</v>
      </c>
      <c r="H29" s="5">
        <f>NPV(Title_RESULTS!$C$37,'Sheet9(F_25)'!H17:H26)+'Sheet9(F_25)'!H16</f>
        <v>39366.000608018694</v>
      </c>
      <c r="I29" s="5">
        <f>NPV(Title_RESULTS!$C$37,'Sheet9(F_25)'!I17:I26)+'Sheet9(F_25)'!I16</f>
        <v>3629.2115839101684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42995.21219192886</v>
      </c>
      <c r="M29" s="5">
        <f>NPV(Title_RESULTS!$C$37,'Sheet9(F_25)'!M17:M26)+'Sheet9(F_25)'!M16</f>
        <v>-6153.2880502083735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0.8748021197006358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12879.111946251767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751.2758272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1601.7472512000002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74.24280784873048</v>
      </c>
      <c r="P24" s="48">
        <f aca="true" t="shared" si="4" ref="P24:P61">N24*$L$5</f>
        <v>158.28835307570222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76.02463523710001</v>
      </c>
      <c r="P25" s="48">
        <f t="shared" si="4"/>
        <v>162.08727354951907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1772.0455420352298</v>
      </c>
      <c r="E26" s="11">
        <f>IF(B26=Title_RESULTS!$H$8,$F$16,+E25*(1+$F$7))</f>
        <v>0.09882230355451863</v>
      </c>
      <c r="F26" s="9">
        <f t="shared" si="1"/>
        <v>1272.7435102651193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103.36853860611399</v>
      </c>
      <c r="L26" s="5">
        <f t="shared" si="3"/>
        <v>220.38546506944525</v>
      </c>
      <c r="N26" s="11">
        <f>IF(+B26=Title_RESULTS!$H$9,'Value of Defferal'!$O$16,+'Value of Defferal'!N25*(1+'Value of Defferal'!$F$7))</f>
        <v>0.10362269577198292</v>
      </c>
      <c r="O26" s="5">
        <f t="shared" si="7"/>
        <v>77.84922648279041</v>
      </c>
      <c r="P26" s="48">
        <f t="shared" si="4"/>
        <v>165.97736811470753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1719.717242527651</v>
      </c>
      <c r="E27" s="11">
        <f>IF(B27=Title_RESULTS!$H$8,$F$16,+E26*(1+$F$7))</f>
        <v>0.10119403883982707</v>
      </c>
      <c r="F27" s="9">
        <f t="shared" si="1"/>
        <v>1303.289354511482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100.31607763965994</v>
      </c>
      <c r="L27" s="5">
        <f t="shared" si="3"/>
        <v>213.87750782472017</v>
      </c>
      <c r="N27" s="11">
        <f>IF(+B27=Title_RESULTS!$H$9,'Value of Defferal'!$O$16,+'Value of Defferal'!N26*(1+'Value of Defferal'!$F$7))</f>
        <v>0.10610964047051051</v>
      </c>
      <c r="O27" s="5">
        <f t="shared" si="7"/>
        <v>79.71760791837738</v>
      </c>
      <c r="P27" s="48">
        <f t="shared" si="4"/>
        <v>169.96082494946052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1661.9471815063</v>
      </c>
      <c r="E28" s="11">
        <f>IF(B28=Title_RESULTS!$H$8,$F$16,+E27*(1+$F$7))</f>
        <v>0.10362269577198292</v>
      </c>
      <c r="F28" s="9">
        <f t="shared" si="1"/>
        <v>1334.5682990197577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96.94618299456828</v>
      </c>
      <c r="L28" s="5">
        <f t="shared" si="3"/>
        <v>206.69277048966381</v>
      </c>
      <c r="N28" s="11">
        <f>IF(+B28=Title_RESULTS!$H$9,'Value of Defferal'!$O$16,+'Value of Defferal'!N27*(1+'Value of Defferal'!$F$7))</f>
        <v>0.10865627184180277</v>
      </c>
      <c r="O28" s="5">
        <f t="shared" si="7"/>
        <v>81.63083050841844</v>
      </c>
      <c r="P28" s="48">
        <f t="shared" si="4"/>
        <v>174.03988474824754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1606.943987958853</v>
      </c>
      <c r="E29" s="11">
        <f>IF(B29=Title_RESULTS!$H$8,$F$16,+E28*(1+$F$7))</f>
        <v>0.10610964047051051</v>
      </c>
      <c r="F29" s="9">
        <f t="shared" si="1"/>
        <v>1366.597938196232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93.73768772692475</v>
      </c>
      <c r="L29" s="5">
        <f t="shared" si="3"/>
        <v>199.85214246814212</v>
      </c>
      <c r="N29" s="11">
        <f>IF(+B29=Title_RESULTS!$H$9,'Value of Defferal'!$O$16,+'Value of Defferal'!N28*(1+'Value of Defferal'!$F$7))</f>
        <v>0.11126402236600604</v>
      </c>
      <c r="O29" s="5">
        <f t="shared" si="7"/>
        <v>83.58997044062048</v>
      </c>
      <c r="P29" s="48">
        <f t="shared" si="4"/>
        <v>178.2168419822055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1554.430208692636</v>
      </c>
      <c r="E30" s="11">
        <f>IF(B30=Title_RESULTS!$H$8,$F$16,+E29*(1+$F$7))</f>
        <v>0.10865627184180277</v>
      </c>
      <c r="F30" s="9">
        <f t="shared" si="1"/>
        <v>1399.3962887129414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90.67440719001573</v>
      </c>
      <c r="L30" s="5">
        <f t="shared" si="3"/>
        <v>193.32111750766208</v>
      </c>
      <c r="N30" s="11">
        <f>IF(+B30=Title_RESULTS!$H$9,'Value of Defferal'!$O$16,+'Value of Defferal'!N29*(1+'Value of Defferal'!$F$7))</f>
        <v>0.11393435890279018</v>
      </c>
      <c r="O30" s="5">
        <f t="shared" si="7"/>
        <v>85.59612973119538</v>
      </c>
      <c r="P30" s="48">
        <f t="shared" si="4"/>
        <v>182.49404618977843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1504.1590483263196</v>
      </c>
      <c r="E31" s="11">
        <f>IF(B31=Title_RESULTS!$H$8,$F$16,+E30*(1+$F$7))</f>
        <v>0.11126402236600604</v>
      </c>
      <c r="F31" s="9">
        <f t="shared" si="1"/>
        <v>1432.9817996420522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87.74194509588045</v>
      </c>
      <c r="L31" s="5">
        <f t="shared" si="3"/>
        <v>187.06900220131007</v>
      </c>
      <c r="N31" s="11">
        <f>IF(+B31=Title_RESULTS!$H$9,'Value of Defferal'!$O$16,+'Value of Defferal'!N30*(1+'Value of Defferal'!$F$7))</f>
        <v>0.11666878351645714</v>
      </c>
      <c r="O31" s="5">
        <f t="shared" si="7"/>
        <v>87.65043684474406</v>
      </c>
      <c r="P31" s="48">
        <f t="shared" si="4"/>
        <v>186.87390329833312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1455.4529692291758</v>
      </c>
      <c r="E32" s="11">
        <f>IF(B32=Title_RESULTS!$H$8,$F$16,+E31*(1+$F$7))</f>
        <v>0.11393435890279018</v>
      </c>
      <c r="F32" s="9">
        <f t="shared" si="1"/>
        <v>1467.3733628334614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84.90077871608011</v>
      </c>
      <c r="L32" s="5">
        <f t="shared" si="3"/>
        <v>181.01153266178295</v>
      </c>
      <c r="N32" s="11">
        <f>IF(+B32=Title_RESULTS!$H$9,'Value of Defferal'!$O$16,+'Value of Defferal'!N31*(1+'Value of Defferal'!$F$7))</f>
        <v>0.11946883432085212</v>
      </c>
      <c r="O32" s="5">
        <f t="shared" si="7"/>
        <v>89.75404732901792</v>
      </c>
      <c r="P32" s="48">
        <f t="shared" si="4"/>
        <v>191.3588769774931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1407.2481453475261</v>
      </c>
      <c r="E33" s="11">
        <f>IF(B33=Title_RESULTS!$H$8,$F$16,+E32*(1+$F$7))</f>
        <v>0.11666878351645714</v>
      </c>
      <c r="F33" s="9">
        <f t="shared" si="1"/>
        <v>1502.5903235414644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82.0888520018895</v>
      </c>
      <c r="L33" s="5">
        <f t="shared" si="3"/>
        <v>175.01640314747792</v>
      </c>
      <c r="N33" s="11">
        <f>IF(+B33=Title_RESULTS!$H$9,'Value of Defferal'!$O$16,+'Value of Defferal'!N32*(1+'Value of Defferal'!$F$7))</f>
        <v>0.12233608634455258</v>
      </c>
      <c r="O33" s="5">
        <f t="shared" si="7"/>
        <v>91.90814446491436</v>
      </c>
      <c r="P33" s="48">
        <f t="shared" si="4"/>
        <v>195.95149002495296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1359.043321465876</v>
      </c>
      <c r="E34" s="11">
        <f>IF(B34=Title_RESULTS!$H$8,$F$16,+E33*(1+$F$7))</f>
        <v>0.11946883432085212</v>
      </c>
      <c r="F34" s="9">
        <f t="shared" si="1"/>
        <v>1538.6524913064598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79.27692528769889</v>
      </c>
      <c r="L34" s="5">
        <f t="shared" si="3"/>
        <v>169.02127363317283</v>
      </c>
      <c r="N34" s="11">
        <f>IF(+B34=Title_RESULTS!$H$9,'Value of Defferal'!$O$16,+'Value of Defferal'!N33*(1+'Value of Defferal'!$F$7))</f>
        <v>0.12527215241682185</v>
      </c>
      <c r="O34" s="5">
        <f t="shared" si="7"/>
        <v>94.11393993207231</v>
      </c>
      <c r="P34" s="48">
        <f t="shared" si="4"/>
        <v>200.65432578555186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1310.8384975842262</v>
      </c>
      <c r="E35" s="11">
        <f>IF(B35=Title_RESULTS!$H$8,$F$16,+E34*(1+$F$7))</f>
        <v>0.12233608634455258</v>
      </c>
      <c r="F35" s="9">
        <f t="shared" si="1"/>
        <v>1575.5801510978147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76.46499857350827</v>
      </c>
      <c r="L35" s="5">
        <f t="shared" si="3"/>
        <v>163.0261441188678</v>
      </c>
      <c r="N35" s="11">
        <f>IF(+B35=Title_RESULTS!$H$9,'Value of Defferal'!$O$16,+'Value of Defferal'!N34*(1+'Value of Defferal'!$F$7))</f>
        <v>0.12827868407482557</v>
      </c>
      <c r="O35" s="5">
        <f t="shared" si="7"/>
        <v>96.37267449044204</v>
      </c>
      <c r="P35" s="48">
        <f t="shared" si="4"/>
        <v>205.47002960440508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1262.6336737025765</v>
      </c>
      <c r="E36" s="11">
        <f>IF(B36=Title_RESULTS!$H$8,$F$16,+E35*(1+$F$7))</f>
        <v>0.12527215241682185</v>
      </c>
      <c r="F36" s="9">
        <f t="shared" si="1"/>
        <v>1613.3940747241625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73.65307185931766</v>
      </c>
      <c r="L36" s="5">
        <f t="shared" si="3"/>
        <v>157.03101460456276</v>
      </c>
      <c r="N36" s="11">
        <f>IF(+B36=Title_RESULTS!$H$9,'Value of Defferal'!$O$16,+'Value of Defferal'!N35*(1+'Value of Defferal'!$F$7))</f>
        <v>0.1313573724926214</v>
      </c>
      <c r="O36" s="5">
        <f t="shared" si="7"/>
        <v>98.68561867821266</v>
      </c>
      <c r="P36" s="48">
        <f t="shared" si="4"/>
        <v>210.40131031491083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1214.4288498209264</v>
      </c>
      <c r="E37" s="11">
        <f>IF(B37&gt;Title_RESULTS!$H$8-1+Title_RESULTS!$C$18,0,+E36*(1+$F$7))</f>
        <v>0.12827868407482557</v>
      </c>
      <c r="F37" s="9">
        <f t="shared" si="1"/>
        <v>1652.1155325175423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70.84114514512704</v>
      </c>
      <c r="L37" s="5">
        <f t="shared" si="3"/>
        <v>151.03588509025766</v>
      </c>
      <c r="N37" s="11">
        <f>IF(+B37=Title_RESULTS!$H$9,'Value of Defferal'!$O$16,+'Value of Defferal'!N36*(1+'Value of Defferal'!$F$7))</f>
        <v>0.1345099494324443</v>
      </c>
      <c r="O37" s="5">
        <f t="shared" si="7"/>
        <v>101.05407352648976</v>
      </c>
      <c r="P37" s="48">
        <f t="shared" si="4"/>
        <v>215.45094176246866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1166.2240259392765</v>
      </c>
      <c r="E38" s="11">
        <f>IF(B38&gt;Title_RESULTS!$H$8-1+Title_RESULTS!$C$18,0,+E37*(1+$F$7))</f>
        <v>0.1313573724926214</v>
      </c>
      <c r="F38" s="9">
        <f t="shared" si="1"/>
        <v>1691.7663052979633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68.02921843093642</v>
      </c>
      <c r="L38" s="5">
        <f t="shared" si="3"/>
        <v>145.0407555759526</v>
      </c>
      <c r="N38" s="11">
        <f>IF(+B38=Title_RESULTS!$H$9,'Value of Defferal'!$O$16,+'Value of Defferal'!N37*(1+'Value of Defferal'!$F$7))</f>
        <v>0.13773818821882297</v>
      </c>
      <c r="O38" s="5">
        <f t="shared" si="7"/>
        <v>103.47937129112552</v>
      </c>
      <c r="P38" s="48">
        <f t="shared" si="4"/>
        <v>220.62176436476793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1118.0192020576264</v>
      </c>
      <c r="E39" s="11">
        <f>IF(B39&gt;Title_RESULTS!$H$8-1+Title_RESULTS!$C$18,0,+E38*(1+$F$7))</f>
        <v>0.1345099494324443</v>
      </c>
      <c r="F39" s="9">
        <f t="shared" si="1"/>
        <v>1732.3686966251144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65.21729171674579</v>
      </c>
      <c r="L39" s="5">
        <f t="shared" si="3"/>
        <v>139.0456260616475</v>
      </c>
      <c r="N39" s="11">
        <f>IF(+B39&gt;Title_RESULTS!$H$9+Title_RESULTS!$C$19-1,0,+'Value of Defferal'!N38*(1+'Value of Defferal'!$F$7))</f>
        <v>0.14104390473607473</v>
      </c>
      <c r="O39" s="5">
        <f t="shared" si="7"/>
        <v>105.96287620211254</v>
      </c>
      <c r="P39" s="48">
        <f t="shared" si="4"/>
        <v>225.91668670952237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1069.814378175977</v>
      </c>
      <c r="E40" s="11">
        <f>IF(B40&gt;Title_RESULTS!$H$8-1+Title_RESULTS!$C$18,0,+E39*(1+$F$7))</f>
        <v>0.13773818821882297</v>
      </c>
      <c r="F40" s="9">
        <f t="shared" si="1"/>
        <v>1773.9455453441174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62.4053650025552</v>
      </c>
      <c r="L40" s="5">
        <f t="shared" si="3"/>
        <v>133.0504965473425</v>
      </c>
      <c r="N40" s="11">
        <f>IF(+B40&gt;Title_RESULTS!$H$9+Title_RESULTS!$C$19-1,0,+'Value of Defferal'!N39*(1+'Value of Defferal'!$F$7))</f>
        <v>0.14442895844974052</v>
      </c>
      <c r="O40" s="5">
        <f t="shared" si="7"/>
        <v>108.50598523096323</v>
      </c>
      <c r="P40" s="48">
        <f t="shared" si="4"/>
        <v>231.3386871905509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1026.136180139445</v>
      </c>
      <c r="E41" s="11">
        <f>IF(B41&gt;Title_RESULTS!$H$8-1+Title_RESULTS!$C$18,0,+E40*(1+$F$7))</f>
        <v>0.14104390473607473</v>
      </c>
      <c r="F41" s="9">
        <f t="shared" si="1"/>
        <v>1816.5202384323761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59.857489458228486</v>
      </c>
      <c r="L41" s="5">
        <f t="shared" si="3"/>
        <v>127.61833368282565</v>
      </c>
      <c r="N41" s="11">
        <f>IF(+B41&gt;Title_RESULTS!$H$9+Title_RESULTS!$C$19-1,0,+'Value of Defferal'!N40*(1+'Value of Defferal'!$F$7))</f>
        <v>0.1478952534525343</v>
      </c>
      <c r="O41" s="5">
        <f t="shared" si="7"/>
        <v>111.11012887650635</v>
      </c>
      <c r="P41" s="48">
        <f t="shared" si="4"/>
        <v>236.89081568312415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991.5097009025822</v>
      </c>
      <c r="E42" s="11">
        <f>IF(B42&gt;Title_RESULTS!$H$8-1+Title_RESULTS!$C$18,0,+E41*(1+$F$7))</f>
        <v>0.14442895844974052</v>
      </c>
      <c r="F42" s="9">
        <f t="shared" si="1"/>
        <v>1860.1167241547532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57.83762683569195</v>
      </c>
      <c r="L42" s="5">
        <f t="shared" si="3"/>
        <v>123.3119134756063</v>
      </c>
      <c r="N42" s="11">
        <f>IF(+B42&gt;Title_RESULTS!$H$9+Title_RESULTS!$C$19-1,0,+'Value of Defferal'!N41*(1+'Value of Defferal'!$F$7))</f>
        <v>0.1514447395353951</v>
      </c>
      <c r="O42" s="5">
        <f t="shared" si="7"/>
        <v>113.77677196954251</v>
      </c>
      <c r="P42" s="48">
        <f t="shared" si="4"/>
        <v>242.57619525951912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961.4083146202704</v>
      </c>
      <c r="E43" s="11">
        <f>IF(B43&gt;Title_RESULTS!$H$8-1+Title_RESULTS!$C$18,0,+E42*(1+$F$7))</f>
        <v>0.1478952534525343</v>
      </c>
      <c r="F43" s="9">
        <f t="shared" si="1"/>
        <v>1904.7595255344672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56.08172596508169</v>
      </c>
      <c r="L43" s="5">
        <f t="shared" si="3"/>
        <v>119.56826927589621</v>
      </c>
      <c r="N43" s="11">
        <f>IF(+B43&gt;Title_RESULTS!$H$9+Title_RESULTS!$C$19-1,0,+'Value of Defferal'!N42*(1+'Value of Defferal'!$F$7))</f>
        <v>0.1550794132842446</v>
      </c>
      <c r="O43" s="5">
        <f t="shared" si="7"/>
        <v>116.50741449681152</v>
      </c>
      <c r="P43" s="48">
        <f t="shared" si="4"/>
        <v>248.39802394574758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931.3069283379588</v>
      </c>
      <c r="E44" s="11">
        <f>IF(B44&gt;Title_RESULTS!$H$8-1+Title_RESULTS!$C$18,0,+E43*(1+$F$7))</f>
        <v>0.1514447395353951</v>
      </c>
      <c r="F44" s="9">
        <f t="shared" si="1"/>
        <v>1950.4737541472946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54.32582509447143</v>
      </c>
      <c r="L44" s="5">
        <f t="shared" si="3"/>
        <v>115.82462507618615</v>
      </c>
      <c r="N44" s="11">
        <f>IF(+B44&gt;Title_RESULTS!$H$9+Title_RESULTS!$C$19-1,0,+'Value of Defferal'!N43*(1+'Value of Defferal'!$F$7))</f>
        <v>0.15880131920306648</v>
      </c>
      <c r="O44" s="5">
        <f t="shared" si="7"/>
        <v>119.303592444735</v>
      </c>
      <c r="P44" s="48">
        <f t="shared" si="4"/>
        <v>254.35957652044553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901.2055420556466</v>
      </c>
      <c r="E45" s="11">
        <f>IF(B45&gt;Title_RESULTS!$H$8-1+Title_RESULTS!$C$18,0,+E44*(1+$F$7))</f>
        <v>0.1550794132842446</v>
      </c>
      <c r="F45" s="9">
        <f t="shared" si="1"/>
        <v>1997.2851242468296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52.56992422386115</v>
      </c>
      <c r="L45" s="5">
        <f t="shared" si="3"/>
        <v>112.080980876476</v>
      </c>
      <c r="N45" s="11">
        <f>IF(+B45&gt;Title_RESULTS!$H$9+Title_RESULTS!$C$19-1,0,+'Value of Defferal'!N44*(1+'Value of Defferal'!$F$7))</f>
        <v>0.16261255086394008</v>
      </c>
      <c r="O45" s="5">
        <f t="shared" si="7"/>
        <v>122.16687866340865</v>
      </c>
      <c r="P45" s="48">
        <f t="shared" si="4"/>
        <v>260.46420635693624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871.1041557733348</v>
      </c>
      <c r="E46" s="11">
        <f>IF(B46&gt;Title_RESULTS!$H$8-1+Title_RESULTS!$C$18,0,+E45*(1+$F$7))</f>
        <v>0.15880131920306648</v>
      </c>
      <c r="F46" s="9">
        <f t="shared" si="1"/>
        <v>2045.2199672287536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50.81402335325088</v>
      </c>
      <c r="L46" s="5">
        <f t="shared" si="3"/>
        <v>108.33733667676593</v>
      </c>
      <c r="N46" s="11">
        <f>IF(+B46&gt;Title_RESULTS!$H$9+Title_RESULTS!$C$19-1,0,+'Value of Defferal'!N45*(1+'Value of Defferal'!$F$7))</f>
        <v>0.16651525208467466</v>
      </c>
      <c r="O46" s="5">
        <f t="shared" si="7"/>
        <v>125.09888375133048</v>
      </c>
      <c r="P46" s="48">
        <f t="shared" si="4"/>
        <v>266.7153473095027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841.0027694910232</v>
      </c>
      <c r="E47" s="11">
        <f>IF(B47&gt;Title_RESULTS!$H$8-1+Title_RESULTS!$C$18,0,+E46*(1+$F$7))</f>
        <v>0.16261255086394008</v>
      </c>
      <c r="F47" s="9">
        <f t="shared" si="1"/>
        <v>2094.305246442244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49.05812248264063</v>
      </c>
      <c r="L47" s="5">
        <f t="shared" si="3"/>
        <v>104.59369247705585</v>
      </c>
      <c r="N47" s="11">
        <f>IF(+B47&gt;Title_RESULTS!$H$9+Title_RESULTS!$C$19-1,0,+'Value of Defferal'!N46*(1+'Value of Defferal'!$F$7))</f>
        <v>0.17051161813470686</v>
      </c>
      <c r="O47" s="5">
        <f t="shared" si="7"/>
        <v>128.10125696136242</v>
      </c>
      <c r="P47" s="48">
        <f t="shared" si="4"/>
        <v>273.1165156449308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810.9013832087113</v>
      </c>
      <c r="E48" s="11">
        <f>IF(B48&gt;Title_RESULTS!$H$8-1+Title_RESULTS!$C$18,0,+E47*(1+$F$7))</f>
        <v>0.16651525208467466</v>
      </c>
      <c r="F48" s="9">
        <f t="shared" si="1"/>
        <v>2144.5685723568577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47.302221612030365</v>
      </c>
      <c r="L48" s="5">
        <f t="shared" si="3"/>
        <v>100.85004827734576</v>
      </c>
      <c r="N48" s="11">
        <f>IF(+B48&gt;Title_RESULTS!$H$9+Title_RESULTS!$C$19-1,0,+'Value of Defferal'!N47*(1+'Value of Defferal'!$F$7))</f>
        <v>0.17460389696993983</v>
      </c>
      <c r="O48" s="5">
        <f t="shared" si="7"/>
        <v>131.17568712843513</v>
      </c>
      <c r="P48" s="48">
        <f t="shared" si="4"/>
        <v>279.6713120204092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780.7999969263992</v>
      </c>
      <c r="E49" s="11">
        <f>IF(B49&gt;Title_RESULTS!$H$8-1+Title_RESULTS!$C$18,0,+E48*(1+$F$7))</f>
        <v>0.17051161813470686</v>
      </c>
      <c r="F49" s="9">
        <f t="shared" si="1"/>
        <v>2196.0382180934225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45.54632074142008</v>
      </c>
      <c r="L49" s="5">
        <f t="shared" si="3"/>
        <v>97.10640407763564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750.6986106440875</v>
      </c>
      <c r="E50" s="11">
        <f>IF(B50&gt;Title_RESULTS!$H$8-1+Title_RESULTS!$C$18,0,+E49*(1+$F$7))</f>
        <v>0.17460389696993983</v>
      </c>
      <c r="F50" s="9">
        <f t="shared" si="1"/>
        <v>2248.7431353276647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43.79041987080982</v>
      </c>
      <c r="L50" s="5">
        <f t="shared" si="3"/>
        <v>93.36275987792555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720.5972243617757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42.03451900019956</v>
      </c>
      <c r="L51" s="5">
        <f t="shared" si="3"/>
        <v>89.61911567821548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30769.61708083141</v>
      </c>
      <c r="F63" s="9">
        <f>SUM(F23:F61)</f>
        <v>42915.39417960035</v>
      </c>
      <c r="J63" t="s">
        <v>87</v>
      </c>
      <c r="K63" s="9">
        <f>SUM(K23:K61)</f>
        <v>1794.8807046247075</v>
      </c>
      <c r="O63" s="9">
        <f>SUM(O23:O61)</f>
        <v>2503.378990449459</v>
      </c>
    </row>
    <row r="64" spans="3:15" ht="12.75">
      <c r="C64" t="s">
        <v>89</v>
      </c>
      <c r="D64" s="9">
        <f>NPV(+Title_RESULTS!$C$37,'Value of Defferal'!D24:D61)+'Value of Defferal'!D23</f>
        <v>13738.820118056849</v>
      </c>
      <c r="F64" s="9">
        <f>NPV(+Title_RESULTS!$C$37,'Value of Defferal'!F24:F61)+'Value of Defferal'!F23</f>
        <v>15957.898405878124</v>
      </c>
      <c r="J64" t="s">
        <v>89</v>
      </c>
      <c r="K64" s="9">
        <f>NPV(+Title_RESULTS!$C$37,'Value of Defferal'!K24:K61)+'Value of Defferal'!K23</f>
        <v>801.4250898680239</v>
      </c>
      <c r="O64" s="9">
        <f>NPV(+Title_RESULTS!$C$37,'Value of Defferal'!O24:O61)+'Value of Defferal'!O23</f>
        <v>1067.34769884139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7.0300720729171555</v>
      </c>
      <c r="C25" t="s">
        <v>372</v>
      </c>
    </row>
    <row r="26" spans="2:3" ht="18">
      <c r="B26" s="15">
        <f>+((Input!$C$6*'EUE_Line Losses'!C4)+(Input!$C$7*'EUE_Line Losses'!C3))/'EUE_Line Losses'!C22</f>
        <v>7.007394421069036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E38" sqref="E38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6.16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6.33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46971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11528.05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5482.79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Pump System Optimization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43599.32649236111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6.33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7.007394421069036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49547.468354430384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46971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11528.05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5482.79</v>
      </c>
      <c r="D39" s="13" t="s">
        <v>189</v>
      </c>
      <c r="G39" s="20" t="s">
        <v>346</v>
      </c>
      <c r="H39" s="79">
        <f>+'Sheet7(F_23)'!H31</f>
        <v>1.286428636815737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41028.71923112928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0.8748021197006358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2019-05-14T11:50:10Z</dcterms:created>
  <dcterms:modified xsi:type="dcterms:W3CDTF">2019-05-14T11:50:11Z</dcterms:modified>
  <cp:category/>
  <cp:version/>
  <cp:contentType/>
  <cp:contentStatus/>
</cp:coreProperties>
</file>