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'Sheet2(F_12)'!$A$1:$K$57</definedName>
    <definedName name="_xlnm.Print_Area" localSheetId="11">'Sheet3(F_21)'!$A$1:$J$46</definedName>
    <definedName name="_xlnm.Print_Area" localSheetId="14">'Sheet4(F_22)'!$A$1:$J$46</definedName>
    <definedName name="_xlnm.Print_Area" localSheetId="12">'Sheet5(p_5)'!$A$1:$H$46</definedName>
    <definedName name="_xlnm.Print_Area" localSheetId="15">'Sheet6(p_6)'!$A$1:$R$46</definedName>
    <definedName name="_xlnm.Print_Area" localSheetId="16">'Sheet7(F_23)'!$A$1:$M$46</definedName>
    <definedName name="_xlnm.Print_Area" localSheetId="17">'Sheet8(F_24)'!$A$1:$M$46</definedName>
    <definedName name="_xlnm.Print_Area" localSheetId="18">'Sheet9(F_25)'!$A$1:$N$46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<sst xmlns="http://schemas.openxmlformats.org/spreadsheetml/2006/main" count="1258" uniqueCount="468">
  <si>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</si>
  <si>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</si>
  <si>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</si>
  <si>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</si>
  <si>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</si>
  <si>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</si>
  <si>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</si>
  <si>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</si>
  <si>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</si>
  <si>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</si>
  <si>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</si>
  <si>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</si>
  <si>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</si>
  <si>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</si>
  <si>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</si>
  <si>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</si>
  <si>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</si>
  <si>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</si>
  <si>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</si>
  <si>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</si>
  <si>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</si>
  <si>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</si>
  <si>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</si>
  <si>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</si>
  <si>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</si>
  <si>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</si>
  <si>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</si>
  <si>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</si>
  <si>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</si>
  <si>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</si>
  <si>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</si>
  <si>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</si>
  <si>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</si>
  <si>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</si>
  <si>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</si>
  <si>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</si>
  <si>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</si>
  <si>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</si>
  <si>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</si>
  <si>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</si>
  <si>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</si>
  <si>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</si>
  <si>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</si>
  <si>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</si>
  <si>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</si>
  <si>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</si>
  <si>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</si>
  <si>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</si>
  <si>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</si>
  <si>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</si>
  <si>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</si>
  <si>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</si>
  <si>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</si>
  <si>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</si>
  <si>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</si>
  <si>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</si>
  <si>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</si>
  <si>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</si>
  <si>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</si>
  <si>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</si>
  <si>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</si>
  <si>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</si>
  <si>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</si>
  <si>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</si>
  <si>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</si>
  <si>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</si>
  <si>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</si>
  <si>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</si>
  <si>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</si>
  <si>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</si>
  <si>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</si>
  <si>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</si>
  <si>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</si>
  <si>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</si>
  <si>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</si>
  <si>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</si>
  <si>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</si>
  <si>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</si>
  <si>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</si>
  <si>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</si>
  <si>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</si>
  <si>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</si>
  <si>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</si>
  <si>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</si>
  <si>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</si>
  <si>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</si>
  <si>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</si>
  <si>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</si>
  <si>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</si>
  <si>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</si>
  <si>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</si>
  <si>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</si>
  <si>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</si>
  <si>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</si>
  <si>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</si>
  <si>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</si>
  <si>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</si>
  <si>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</si>
  <si>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</si>
  <si>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</si>
  <si>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</si>
  <si>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</si>
  <si>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</si>
  <si>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</si>
  <si>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</si>
  <si>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</si>
  <si>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</si>
  <si>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</si>
  <si>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</si>
  <si>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</si>
  <si>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</si>
  <si>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</si>
  <si>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</si>
  <si>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</si>
  <si>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</si>
  <si>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</si>
  <si>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</si>
  <si>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</si>
  <si>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</si>
  <si>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</si>
  <si>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</si>
  <si>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</si>
  <si>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</si>
  <si>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</si>
  <si>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</si>
  <si>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</si>
  <si>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</si>
  <si>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</si>
  <si>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</si>
  <si>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</si>
  <si>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</si>
  <si>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</si>
  <si>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</si>
  <si>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</si>
  <si>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</si>
  <si>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</si>
  <si>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</si>
  <si>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</si>
  <si>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</si>
  <si>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</si>
  <si>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</si>
  <si>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</si>
  <si>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</si>
  <si>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</si>
  <si>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</si>
  <si>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</si>
  <si>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</si>
  <si>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</si>
  <si>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</si>
  <si>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</si>
  <si>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</si>
  <si>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</si>
  <si>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</si>
  <si>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</si>
  <si>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</si>
  <si>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</si>
  <si>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</si>
  <si>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</si>
  <si>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</si>
  <si>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</si>
  <si>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</si>
  <si>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</si>
  <si>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</si>
  <si>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</si>
  <si>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</si>
  <si>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</si>
  <si>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</si>
  <si>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</si>
  <si>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</si>
  <si>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</si>
  <si>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</si>
  <si>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</si>
  <si>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</si>
  <si>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</si>
  <si>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</si>
  <si>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</si>
  <si>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</si>
  <si>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</si>
  <si>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</si>
  <si>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</si>
  <si>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</si>
  <si>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</si>
  <si>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</si>
  <si>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</si>
  <si>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</si>
  <si>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</si>
  <si>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</si>
  <si>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</si>
  <si>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</si>
  <si>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</si>
  <si>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</si>
  <si>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</si>
  <si>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</si>
  <si>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</si>
  <si>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</si>
  <si>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</si>
  <si>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</si>
  <si>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</si>
  <si>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</si>
  <si>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</si>
  <si>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</si>
  <si>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</si>
  <si>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</si>
  <si>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</si>
  <si>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</si>
  <si>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</si>
  <si>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</si>
  <si>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</si>
  <si>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</si>
  <si>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</si>
  <si>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</si>
  <si>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</si>
  <si>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</si>
  <si>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</si>
  <si>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</si>
  <si>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</si>
  <si>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</si>
  <si>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</si>
  <si>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</si>
  <si>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</si>
  <si>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</si>
  <si>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</si>
  <si>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</si>
  <si>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</si>
  <si>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</si>
  <si>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</si>
  <si>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</si>
  <si>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</si>
  <si>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</si>
  <si>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</si>
  <si>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</si>
  <si>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</si>
  <si>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</si>
  <si>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</si>
  <si>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</si>
  <si>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</si>
  <si>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</si>
  <si>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</si>
  <si>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</si>
  <si>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</si>
  <si>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</si>
  <si>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</si>
  <si>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</si>
  <si>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</si>
  <si>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</si>
  <si>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</si>
  <si>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</si>
  <si>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</si>
  <si>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</si>
  <si>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</si>
  <si>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</si>
  <si>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</si>
  <si>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</si>
  <si>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</si>
  <si>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</si>
  <si>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</si>
  <si>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</si>
  <si>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</si>
  <si>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</si>
  <si>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</si>
  <si>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</si>
  <si>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</si>
  <si>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</si>
  <si>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</si>
  <si>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</si>
  <si>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</si>
  <si>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</si>
  <si>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</si>
  <si>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</si>
  <si>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</si>
  <si>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</si>
  <si>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</si>
  <si>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</si>
  <si>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</si>
  <si>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</si>
  <si>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</si>
  <si>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</si>
  <si>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</si>
  <si>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</si>
  <si>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</si>
  <si>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</si>
  <si>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</si>
  <si>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</si>
  <si>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</si>
  <si>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</si>
  <si>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</si>
  <si>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</si>
  <si>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</si>
  <si>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</si>
  <si>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</si>
  <si>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</si>
  <si>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</si>
  <si>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</si>
  <si>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</si>
  <si>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</si>
  <si>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</si>
  <si>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</si>
  <si>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</si>
  <si>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</si>
  <si>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</si>
  <si>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</si>
  <si>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</si>
  <si>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</si>
  <si>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</si>
  <si>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</si>
  <si>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</si>
  <si>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</si>
  <si>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</si>
  <si>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</si>
  <si>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</si>
  <si>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</si>
  <si>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</si>
  <si>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</si>
  <si>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</si>
  <si>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</si>
  <si>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</si>
  <si>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</si>
  <si>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</si>
  <si>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</si>
  <si>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</si>
  <si>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</si>
  <si>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</si>
  <si>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</si>
  <si>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</si>
  <si>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</si>
  <si>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</si>
  <si>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</si>
  <si>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</si>
  <si>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</si>
  <si>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</si>
  <si>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</si>
  <si>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</si>
  <si>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</si>
  <si>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</si>
  <si>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</si>
  <si>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</si>
  <si>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</si>
  <si>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</si>
  <si>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</si>
  <si>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</si>
  <si>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</si>
  <si>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</si>
  <si>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</si>
  <si>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</si>
  <si>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</si>
  <si>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</si>
  <si>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</si>
  <si>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</si>
  <si>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</si>
  <si>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</si>
  <si>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</si>
  <si>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</si>
  <si>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</si>
  <si>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</si>
  <si>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</si>
  <si>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</si>
  <si>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</si>
  <si>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</si>
  <si>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</si>
  <si>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</si>
  <si>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</si>
  <si>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</si>
  <si>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</si>
  <si>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</si>
  <si>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</si>
  <si>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</si>
  <si>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</si>
  <si>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</si>
  <si>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</si>
  <si>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</si>
  <si>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</si>
  <si>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</si>
  <si>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</si>
  <si>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</si>
  <si>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</si>
  <si>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</si>
  <si>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</si>
  <si>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</si>
  <si>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</si>
  <si>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</si>
  <si>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</si>
  <si>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</si>
  <si>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</si>
  <si>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</si>
  <si>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</si>
  <si>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</si>
  <si>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</si>
  <si>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</si>
  <si>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</si>
  <si>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</si>
  <si>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</si>
  <si>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</si>
  <si>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</si>
  <si>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</si>
  <si>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</si>
  <si>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</si>
  <si>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</si>
  <si>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</si>
  <si>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</si>
  <si>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</si>
  <si>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</si>
  <si>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</si>
  <si>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</si>
  <si>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</si>
  <si>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</si>
  <si>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</si>
  <si>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</si>
  <si>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</si>
  <si>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</si>
  <si>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</si>
  <si>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</si>
  <si>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</si>
  <si>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</si>
  <si>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</si>
  <si>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</si>
  <si>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</si>
  <si>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</si>
  <si>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</si>
  <si>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</si>
  <si>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</si>
  <si>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</si>
  <si>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</si>
  <si>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</si>
  <si>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</si>
  <si>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</si>
  <si>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</si>
  <si>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</si>
  <si>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</si>
  <si>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</si>
  <si>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</si>
  <si>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</si>
  <si>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</si>
  <si>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</si>
  <si>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</si>
  <si>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</si>
  <si>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</si>
  <si>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</si>
  <si>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</si>
  <si>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</si>
  <si>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</si>
  <si>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</si>
  <si>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</si>
  <si>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</si>
  <si>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</si>
  <si>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</si>
  <si>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</si>
  <si>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</si>
  <si>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</si>
  <si>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</si>
  <si>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</si>
  <si>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</si>
  <si>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</si>
  <si>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</si>
  <si>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</si>
  <si>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</si>
  <si>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</si>
  <si>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</si>
  <si>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</si>
  <si>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</si>
  <si>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</si>
  <si>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</si>
  <si>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</si>
  <si>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</si>
  <si>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</si>
  <si>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</si>
  <si>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</si>
  <si>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</si>
  <si>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ENERGY STAR Certified Home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</si>
</sst>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43599.32860648148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2</v>
      </c>
    </row>
    <row r="58" ht="12.75">
      <c r="A58">
        <f>IF(Title_RESULTS!C22=1,3,1)</f>
        <v>1</v>
      </c>
    </row>
    <row r="60" spans="1:3" ht="12.75">
      <c r="A60" t="s">
        <v>254</v>
      </c>
      <c r="C60">
        <f>ROUND(+Title_RESULTS!C8*Partcipation!C26,0)</f>
        <v>5690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43599.32860648148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ENERGY STAR Certified Home</v>
      </c>
      <c r="J2" t="s">
        <v>55</v>
      </c>
    </row>
    <row r="3" ht="12.75">
      <c r="J3" s="35">
        <f>+Title_RESULTS!I4</f>
        <v>43599.32860648148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5690</v>
      </c>
      <c r="H5" t="s">
        <v>59</v>
      </c>
    </row>
    <row r="6" spans="3:7" ht="12.75">
      <c r="C6" t="s">
        <v>61</v>
      </c>
      <c r="G6" s="36">
        <f>+'Value of Defferal'!E3</f>
        <v>3485.974073550212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40">+A18+1</f>
        <v>2023</v>
      </c>
      <c r="B19" s="43">
        <f>VLOOKUP(A19,'Value of Defferal'!$B26:$F$61,'Value of Defferal'!$C$10)</f>
        <v>0.13759066226231162</v>
      </c>
      <c r="C19" s="44">
        <f>VLOOKUP(A19,'Value of Defferal'!$B26:$F$61,'Value of Defferal'!$C$9)</f>
        <v>479.63748140902186</v>
      </c>
      <c r="D19" s="5">
        <f>IF((Title_RESULTS!$H$8-Title_RESULTS!$H$7)&lt;=('Sheet3(F_21)'!A19-Title_RESULTS!$H$7),((Title_RESULTS!$C$8*Partcipation!$C$26*8760*Title_RESULTS!$H$21/100000)),0)</f>
        <v>4536.043652111721</v>
      </c>
      <c r="E19" s="5">
        <f>IF($G19=0,0,((Title_RESULTS!$H$14*((1+Title_RESULTS!$H$15/100)^($A19-Title_RESULTS!$H$7))*'EUE_Line Losses'!$B$25*Partcipation!$C$26))/1000)</f>
        <v>35.62051149726882</v>
      </c>
      <c r="F19" s="5">
        <f>IF($G19=0,0,(Title_RESULTS!$H$19/100*((1+Title_RESULTS!$H$20/100)^($A19-Title_RESULTS!$H$7))*$D19*1000)/1000)</f>
        <v>10.228133548000327</v>
      </c>
      <c r="G19" s="5">
        <f>(+Title_RESULTS!$H$22/100*((1+Title_RESULTS!$H$23/100)^(+'Sheet4(F_22)'!A19-Title_RESULTS!$H$7)))*'Sheet3(F_21)'!D19</f>
        <v>194.3372175211508</v>
      </c>
      <c r="H19" s="5">
        <f>IF($G19=0,0,(($D19))*(Partcipation!$G19/100))</f>
        <v>143.91177185356162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575.9115721218801</v>
      </c>
    </row>
    <row r="20" spans="1:10" ht="12.75">
      <c r="A20">
        <f t="shared" si="0"/>
        <v>2024</v>
      </c>
      <c r="B20" s="43">
        <f>VLOOKUP(A20,'Value of Defferal'!$B27:$F$61,'Value of Defferal'!$C$10)</f>
        <v>0.13352762595002862</v>
      </c>
      <c r="C20" s="44">
        <f>VLOOKUP(A20,'Value of Defferal'!$B27:$F$61,'Value of Defferal'!$C$9)</f>
        <v>465.47384216451024</v>
      </c>
      <c r="D20" s="5">
        <f>IF((Title_RESULTS!$H$8-Title_RESULTS!$H$7)&lt;=('Sheet3(F_21)'!A20-Title_RESULTS!$H$7),((Title_RESULTS!$C$8*Partcipation!$C$26*8760*Title_RESULTS!$H$21/100000)),0)</f>
        <v>4536.043652111721</v>
      </c>
      <c r="E20" s="5">
        <f>IF($G20=0,0,((Title_RESULTS!$H$14*((1+Title_RESULTS!$H$15/100)^($A20-Title_RESULTS!$H$7))*'EUE_Line Losses'!$B$25*Partcipation!$C$26))/1000)</f>
        <v>36.475403773203276</v>
      </c>
      <c r="F20" s="5">
        <f>IF($G20=0,0,(Title_RESULTS!$H$19/100*((1+Title_RESULTS!$H$20/100)^($A20-Title_RESULTS!$H$7))*$D20*1000)/1000)</f>
        <v>10.473608753152334</v>
      </c>
      <c r="G20" s="5">
        <f>(+Title_RESULTS!$H$22/100*((1+Title_RESULTS!$H$23/100)^(+'Sheet4(F_22)'!A20-Title_RESULTS!$H$7)))*'Sheet3(F_21)'!D20</f>
        <v>203.16012719661106</v>
      </c>
      <c r="H20" s="5">
        <f>IF($G20=0,0,(($D20))*(Partcipation!$G20/100))</f>
        <v>150.34957901274944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565.2334028747275</v>
      </c>
    </row>
    <row r="21" spans="1:10" ht="12.75">
      <c r="A21">
        <f t="shared" si="0"/>
        <v>2025</v>
      </c>
      <c r="B21" s="43">
        <f>VLOOKUP(A21,'Value of Defferal'!$B28:$F$61,'Value of Defferal'!$C$10)</f>
        <v>0.1290420634933591</v>
      </c>
      <c r="C21" s="44">
        <f>VLOOKUP(A21,'Value of Defferal'!$B28:$F$61,'Value of Defferal'!$C$9)</f>
        <v>449.8372877352701</v>
      </c>
      <c r="D21" s="5">
        <f>IF((Title_RESULTS!$H$8-Title_RESULTS!$H$7)&lt;=('Sheet3(F_21)'!A21-Title_RESULTS!$H$7),((Title_RESULTS!$C$8*Partcipation!$C$26*8760*Title_RESULTS!$H$21/100000)),0)</f>
        <v>4536.043652111721</v>
      </c>
      <c r="E21" s="5">
        <f>IF($G21=0,0,((Title_RESULTS!$H$14*((1+Title_RESULTS!$H$15/100)^($A21-Title_RESULTS!$H$7))*'EUE_Line Losses'!$B$25*Partcipation!$C$26))/1000)</f>
        <v>37.350813463760154</v>
      </c>
      <c r="F21" s="5">
        <f>IF($G21=0,0,(Title_RESULTS!$H$19/100*((1+Title_RESULTS!$H$20/100)^($A21-Title_RESULTS!$H$7))*$D21*1000)/1000)</f>
        <v>10.72497536322799</v>
      </c>
      <c r="G21" s="5">
        <f>(+Title_RESULTS!$H$22/100*((1+Title_RESULTS!$H$23/100)^(+'Sheet4(F_22)'!A21-Title_RESULTS!$H$7)))*'Sheet3(F_21)'!D21</f>
        <v>212.38359697133723</v>
      </c>
      <c r="H21" s="5">
        <f>IF($G21=0,0,(($D21))*(Partcipation!$G21/100))</f>
        <v>156.3076792372111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553.9889942963842</v>
      </c>
    </row>
    <row r="22" spans="1:10" ht="12.75">
      <c r="A22">
        <f t="shared" si="0"/>
        <v>2026</v>
      </c>
      <c r="B22" s="43">
        <f>VLOOKUP(A22,'Value of Defferal'!$B29:$F$61,'Value of Defferal'!$C$10)</f>
        <v>0.12477133475235652</v>
      </c>
      <c r="C22" s="44">
        <f>VLOOKUP(A22,'Value of Defferal'!$B29:$F$61,'Value of Defferal'!$C$9)</f>
        <v>434.94963806896936</v>
      </c>
      <c r="D22" s="5">
        <f>IF((Title_RESULTS!$H$8-Title_RESULTS!$H$7)&lt;=('Sheet3(F_21)'!A22-Title_RESULTS!$H$7),((Title_RESULTS!$C$8*Partcipation!$C$26*8760*Title_RESULTS!$H$21/100000)),0)</f>
        <v>4536.043652111721</v>
      </c>
      <c r="E22" s="5">
        <f>IF($G22=0,0,((Title_RESULTS!$H$14*((1+Title_RESULTS!$H$15/100)^($A22-Title_RESULTS!$H$7))*'EUE_Line Losses'!$B$25*Partcipation!$C$26))/1000)</f>
        <v>38.24723298689039</v>
      </c>
      <c r="F22" s="5">
        <f>IF($G22=0,0,(Title_RESULTS!$H$19/100*((1+Title_RESULTS!$H$20/100)^($A22-Title_RESULTS!$H$7))*$D22*1000)/1000)</f>
        <v>10.982374771945462</v>
      </c>
      <c r="G22" s="5">
        <f>(+Title_RESULTS!$H$22/100*((1+Title_RESULTS!$H$23/100)^(+'Sheet4(F_22)'!A22-Title_RESULTS!$H$7)))*'Sheet3(F_21)'!D22</f>
        <v>222.02581227383595</v>
      </c>
      <c r="H22" s="5">
        <f>IF($G22=0,0,(($D22))*(Partcipation!$G22/100))</f>
        <v>161.37210391416676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544.8329541874743</v>
      </c>
    </row>
    <row r="23" spans="1:10" ht="12.75">
      <c r="A23">
        <f t="shared" si="0"/>
        <v>2027</v>
      </c>
      <c r="B23" s="43">
        <f>VLOOKUP(A23,'Value of Defferal'!$B30:$F$61,'Value of Defferal'!$C$10)</f>
        <v>0.12069389684472964</v>
      </c>
      <c r="C23" s="44">
        <f>VLOOKUP(A23,'Value of Defferal'!$B30:$F$61,'Value of Defferal'!$C$9)</f>
        <v>420.73579523647123</v>
      </c>
      <c r="D23" s="5">
        <f>IF((Title_RESULTS!$H$8-Title_RESULTS!$H$7)&lt;=('Sheet3(F_21)'!A23-Title_RESULTS!$H$7),((Title_RESULTS!$C$8*Partcipation!$C$26*8760*Title_RESULTS!$H$21/100000)),0)</f>
        <v>4536.043652111721</v>
      </c>
      <c r="E23" s="5">
        <f>IF($G23=0,0,((Title_RESULTS!$H$14*((1+Title_RESULTS!$H$15/100)^($A23-Title_RESULTS!$H$7))*'EUE_Line Losses'!$B$25*Partcipation!$C$26))/1000)</f>
        <v>39.16516657857577</v>
      </c>
      <c r="F23" s="5">
        <f>IF($G23=0,0,(Title_RESULTS!$H$19/100*((1+Title_RESULTS!$H$20/100)^($A23-Title_RESULTS!$H$7))*$D23*1000)/1000)</f>
        <v>11.245951766472153</v>
      </c>
      <c r="G23" s="5">
        <f>(+Title_RESULTS!$H$22/100*((1+Title_RESULTS!$H$23/100)^(+'Sheet4(F_22)'!A23-Title_RESULTS!$H$7)))*'Sheet3(F_21)'!D23</f>
        <v>232.10578415106815</v>
      </c>
      <c r="H23" s="5">
        <f>IF($G23=0,0,(($D23))*(Partcipation!$G23/100))</f>
        <v>168.59506585589318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534.657631876694</v>
      </c>
    </row>
    <row r="24" spans="1:10" ht="12.75">
      <c r="A24">
        <f t="shared" si="0"/>
        <v>2028</v>
      </c>
      <c r="B24" s="43">
        <f>VLOOKUP(A24,'Value of Defferal'!$B31:$F$61,'Value of Defferal'!$C$10)</f>
        <v>0.11679058731716964</v>
      </c>
      <c r="C24" s="44">
        <f>VLOOKUP(A24,'Value of Defferal'!$B31:$F$61,'Value of Defferal'!$C$9)</f>
        <v>407.12895942235554</v>
      </c>
      <c r="D24" s="5">
        <f>IF((Title_RESULTS!$H$8-Title_RESULTS!$H$7)&lt;=('Sheet3(F_21)'!A24-Title_RESULTS!$H$7),((Title_RESULTS!$C$8*Partcipation!$C$26*8760*Title_RESULTS!$H$21/100000)),0)</f>
        <v>4536.043652111721</v>
      </c>
      <c r="E24" s="5">
        <f>IF($G24=0,0,((Title_RESULTS!$H$14*((1+Title_RESULTS!$H$15/100)^($A24-Title_RESULTS!$H$7))*'EUE_Line Losses'!$B$25*Partcipation!$C$26))/1000)</f>
        <v>40.10513057646158</v>
      </c>
      <c r="F24" s="5">
        <f>IF($G24=0,0,(Title_RESULTS!$H$19/100*((1+Title_RESULTS!$H$20/100)^($A24-Title_RESULTS!$H$7))*$D24*1000)/1000)</f>
        <v>11.515854608867485</v>
      </c>
      <c r="G24" s="5">
        <f>(+Title_RESULTS!$H$22/100*((1+Title_RESULTS!$H$23/100)^(+'Sheet4(F_22)'!A24-Title_RESULTS!$H$7)))*'Sheet3(F_21)'!D24</f>
        <v>242.64338675152666</v>
      </c>
      <c r="H24" s="5">
        <f>IF($G24=0,0,(($D24))*(Partcipation!$G24/100))</f>
        <v>181.45286572731493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519.9404656318962</v>
      </c>
    </row>
    <row r="25" spans="1:10" ht="12.75">
      <c r="A25">
        <f t="shared" si="0"/>
        <v>2029</v>
      </c>
      <c r="B25" s="43">
        <f>VLOOKUP(A25,'Value of Defferal'!$B32:$F$61,'Value of Defferal'!$C$10)</f>
        <v>0.1130087986891642</v>
      </c>
      <c r="C25" s="44">
        <f>VLOOKUP(A25,'Value of Defferal'!$B32:$F$61,'Value of Defferal'!$C$9)</f>
        <v>393.9457423134816</v>
      </c>
      <c r="D25" s="5">
        <f>IF((Title_RESULTS!$H$8-Title_RESULTS!$H$7)&lt;=('Sheet3(F_21)'!A25-Title_RESULTS!$H$7),((Title_RESULTS!$C$8*Partcipation!$C$26*8760*Title_RESULTS!$H$21/100000)),0)</f>
        <v>4536.043652111721</v>
      </c>
      <c r="E25" s="5">
        <f>IF($G25=0,0,((Title_RESULTS!$H$14*((1+Title_RESULTS!$H$15/100)^($A25-Title_RESULTS!$H$7))*'EUE_Line Losses'!$B$25*Partcipation!$C$26))/1000)</f>
        <v>41.06765371029665</v>
      </c>
      <c r="F25" s="5">
        <f>IF($G25=0,0,(Title_RESULTS!$H$19/100*((1+Title_RESULTS!$H$20/100)^($A25-Title_RESULTS!$H$7))*$D25*1000)/1000)</f>
        <v>11.792235119480303</v>
      </c>
      <c r="G25" s="5">
        <f>(+Title_RESULTS!$H$22/100*((1+Title_RESULTS!$H$23/100)^(+'Sheet4(F_22)'!A25-Title_RESULTS!$H$7)))*'Sheet3(F_21)'!D25</f>
        <v>253.659396510046</v>
      </c>
      <c r="H25" s="5">
        <f>IF($G25=0,0,(($D25))*(Partcipation!$G25/100))</f>
        <v>189.41604332791297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511.0489843253916</v>
      </c>
    </row>
    <row r="26" spans="1:10" ht="12.75">
      <c r="A26">
        <f t="shared" si="0"/>
        <v>2030</v>
      </c>
      <c r="B26" s="43">
        <f>VLOOKUP(A26,'Value of Defferal'!$B33:$F$61,'Value of Defferal'!$C$10)</f>
        <v>0.109265930075022</v>
      </c>
      <c r="C26" s="44">
        <f>VLOOKUP(A26,'Value of Defferal'!$B33:$F$61,'Value of Defferal'!$C$9)</f>
        <v>380.89819936387704</v>
      </c>
      <c r="D26" s="5">
        <f>IF((Title_RESULTS!$H$8-Title_RESULTS!$H$7)&lt;=('Sheet3(F_21)'!A26-Title_RESULTS!$H$7),((Title_RESULTS!$C$8*Partcipation!$C$26*8760*Title_RESULTS!$H$21/100000)),0)</f>
        <v>4536.043652111721</v>
      </c>
      <c r="E26" s="5">
        <f>IF($G26=0,0,((Title_RESULTS!$H$14*((1+Title_RESULTS!$H$15/100)^($A26-Title_RESULTS!$H$7))*'EUE_Line Losses'!$B$25*Partcipation!$C$26))/1000)</f>
        <v>42.05327739934378</v>
      </c>
      <c r="F26" s="5">
        <f>IF($G26=0,0,(Title_RESULTS!$H$19/100*((1+Title_RESULTS!$H$20/100)^($A26-Title_RESULTS!$H$7))*$D26*1000)/1000)</f>
        <v>12.07524876234783</v>
      </c>
      <c r="G26" s="5">
        <f>(+Title_RESULTS!$H$22/100*((1+Title_RESULTS!$H$23/100)^(+'Sheet4(F_22)'!A26-Title_RESULTS!$H$7)))*'Sheet3(F_21)'!D26</f>
        <v>265.17553311160214</v>
      </c>
      <c r="H26" s="5">
        <f>IF($G26=0,0,(($D26))*(Partcipation!$G26/100))</f>
        <v>203.4996767230177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496.70258191415303</v>
      </c>
    </row>
    <row r="27" spans="1:10" ht="12.75">
      <c r="A27">
        <f t="shared" si="0"/>
        <v>2031</v>
      </c>
      <c r="B27" s="43">
        <f>VLOOKUP(A27,'Value of Defferal'!$B34:$F$61,'Value of Defferal'!$C$10)</f>
        <v>0.10552306146087977</v>
      </c>
      <c r="C27" s="44">
        <f>VLOOKUP(A27,'Value of Defferal'!$B34:$F$61,'Value of Defferal'!$C$9)</f>
        <v>367.8506564142724</v>
      </c>
      <c r="D27" s="5">
        <f>IF((Title_RESULTS!$H$8-Title_RESULTS!$H$7)&lt;=('Sheet3(F_21)'!A27-Title_RESULTS!$H$7),((Title_RESULTS!$C$8*Partcipation!$C$26*8760*Title_RESULTS!$H$21/100000)),0)</f>
        <v>4536.043652111721</v>
      </c>
      <c r="E27" s="5">
        <f>IF($G27=0,0,((Title_RESULTS!$H$14*((1+Title_RESULTS!$H$15/100)^($A27-Title_RESULTS!$H$7))*'EUE_Line Losses'!$B$25*Partcipation!$C$26))/1000)</f>
        <v>43.06255605692804</v>
      </c>
      <c r="F27" s="5">
        <f>IF($G27=0,0,(Title_RESULTS!$H$19/100*((1+Title_RESULTS!$H$20/100)^($A27-Title_RESULTS!$H$7))*$D27*1000)/1000)</f>
        <v>12.36505473264418</v>
      </c>
      <c r="G27" s="5">
        <f>(+Title_RESULTS!$H$22/100*((1+Title_RESULTS!$H$23/100)^(+'Sheet4(F_22)'!A27-Title_RESULTS!$H$7)))*'Sheet3(F_21)'!D27</f>
        <v>277.21450231486887</v>
      </c>
      <c r="H27" s="5">
        <f>IF($G27=0,0,(($D27))*(Partcipation!$G27/100))</f>
        <v>208.5601147192547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491.9326547994589</v>
      </c>
    </row>
    <row r="28" spans="1:10" ht="12.75">
      <c r="A28">
        <f t="shared" si="0"/>
        <v>2032</v>
      </c>
      <c r="B28" s="43">
        <f>VLOOKUP(A28,'Value of Defferal'!$B35:$F$61,'Value of Defferal'!$C$10)</f>
        <v>0.10178019284673755</v>
      </c>
      <c r="C28" s="44">
        <f>VLOOKUP(A28,'Value of Defferal'!$B35:$F$61,'Value of Defferal'!$C$9)</f>
        <v>354.80311346466783</v>
      </c>
      <c r="D28" s="5">
        <f>IF((Title_RESULTS!$H$8-Title_RESULTS!$H$7)&lt;=('Sheet3(F_21)'!A28-Title_RESULTS!$H$7),((Title_RESULTS!$C$8*Partcipation!$C$26*8760*Title_RESULTS!$H$21/100000)),0)</f>
        <v>4536.043652111721</v>
      </c>
      <c r="E28" s="5">
        <f>IF($G28=0,0,((Title_RESULTS!$H$14*((1+Title_RESULTS!$H$15/100)^($A28-Title_RESULTS!$H$7))*'EUE_Line Losses'!$B$25*Partcipation!$C$26))/1000)</f>
        <v>44.09605740229431</v>
      </c>
      <c r="F28" s="5">
        <f>IF($G28=0,0,(Title_RESULTS!$H$19/100*((1+Title_RESULTS!$H$20/100)^($A28-Title_RESULTS!$H$7))*$D28*1000)/1000)</f>
        <v>12.661816046227639</v>
      </c>
      <c r="G28" s="5">
        <f>(+Title_RESULTS!$H$22/100*((1+Title_RESULTS!$H$23/100)^(+'Sheet4(F_22)'!A28-Title_RESULTS!$H$7)))*'Sheet3(F_21)'!D28</f>
        <v>289.80004071996393</v>
      </c>
      <c r="H28" s="5">
        <f>IF($G28=0,0,(($D28))*(Partcipation!$G28/100))</f>
        <v>221.0757887431906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480.285238889963</v>
      </c>
    </row>
    <row r="29" spans="1:10" ht="12.75">
      <c r="A29">
        <f t="shared" si="0"/>
        <v>2033</v>
      </c>
      <c r="B29" s="43">
        <f>VLOOKUP(A29,'Value of Defferal'!$B36:$F$61,'Value of Defferal'!$C$10)</f>
        <v>0.09803732423259534</v>
      </c>
      <c r="C29" s="44">
        <f>VLOOKUP(A29,'Value of Defferal'!$B36:$F$61,'Value of Defferal'!$C$9)</f>
        <v>341.75557051506325</v>
      </c>
      <c r="D29" s="5">
        <f>IF((Title_RESULTS!$H$8-Title_RESULTS!$H$7)&lt;=('Sheet3(F_21)'!A29-Title_RESULTS!$H$7),((Title_RESULTS!$C$8*Partcipation!$C$26*8760*Title_RESULTS!$H$21/100000)),0)</f>
        <v>4536.043652111721</v>
      </c>
      <c r="E29" s="5">
        <f>IF($G29=0,0,((Title_RESULTS!$H$14*((1+Title_RESULTS!$H$15/100)^($A29-Title_RESULTS!$H$7))*'EUE_Line Losses'!$B$25*Partcipation!$C$26))/1000)</f>
        <v>45.154362779949366</v>
      </c>
      <c r="F29" s="5">
        <f>IF($G29=0,0,(Title_RESULTS!$H$19/100*((1+Title_RESULTS!$H$20/100)^($A29-Title_RESULTS!$H$7))*$D29*1000)/1000)</f>
        <v>12.965699631337102</v>
      </c>
      <c r="G29" s="5">
        <f>(+Title_RESULTS!$H$22/100*((1+Title_RESULTS!$H$23/100)^(+'Sheet4(F_22)'!A29-Title_RESULTS!$H$7)))*'Sheet3(F_21)'!D29</f>
        <v>302.95696256865034</v>
      </c>
      <c r="H29" s="5">
        <f>IF($G29=0,0,(($D29))*(Partcipation!$G29/100))</f>
        <v>226.1179656948249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476.7146298001752</v>
      </c>
    </row>
    <row r="30" spans="1:10" ht="12.75">
      <c r="A30">
        <f t="shared" si="0"/>
        <v>2034</v>
      </c>
      <c r="B30" s="43">
        <f>VLOOKUP(A30,'Value of Defferal'!$B37:$F$61,'Value of Defferal'!$C$10)</f>
        <v>0.09429445561845311</v>
      </c>
      <c r="C30" s="44">
        <f>VLOOKUP(A30,'Value of Defferal'!$B37:$F$61,'Value of Defferal'!$C$9)</f>
        <v>328.7080275654586</v>
      </c>
      <c r="D30" s="5">
        <f>IF((Title_RESULTS!$H$8-Title_RESULTS!$H$7)&lt;=('Sheet3(F_21)'!A30-Title_RESULTS!$H$7),((Title_RESULTS!$C$8*Partcipation!$C$26*8760*Title_RESULTS!$H$21/100000)),0)</f>
        <v>4536.043652111721</v>
      </c>
      <c r="E30" s="5">
        <f>IF($G30=0,0,((Title_RESULTS!$H$14*((1+Title_RESULTS!$H$15/100)^($A30-Title_RESULTS!$H$7))*'EUE_Line Losses'!$B$25*Partcipation!$C$26))/1000)</f>
        <v>46.23806748666814</v>
      </c>
      <c r="F30" s="5">
        <f>IF($G30=0,0,(Title_RESULTS!$H$19/100*((1+Title_RESULTS!$H$20/100)^($A30-Title_RESULTS!$H$7))*$D30*1000)/1000)</f>
        <v>13.276876422489192</v>
      </c>
      <c r="G30" s="5">
        <f>(+Title_RESULTS!$H$22/100*((1+Title_RESULTS!$H$23/100)^(+'Sheet4(F_22)'!A30-Title_RESULTS!$H$7)))*'Sheet3(F_21)'!D30</f>
        <v>316.7112086692671</v>
      </c>
      <c r="H30" s="5">
        <f>IF($G30=0,0,(($D30))*(Partcipation!$G30/100))</f>
        <v>240.70870184226638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464.2254783016167</v>
      </c>
    </row>
    <row r="31" spans="1:10" ht="12.75">
      <c r="A31">
        <f t="shared" si="0"/>
        <v>2035</v>
      </c>
      <c r="B31" s="43">
        <f>VLOOKUP(A31,'Value of Defferal'!$B38:$F$61,'Value of Defferal'!$C$10)</f>
        <v>0.09055158700431087</v>
      </c>
      <c r="C31" s="44">
        <f>VLOOKUP(A31,'Value of Defferal'!$B38:$F$61,'Value of Defferal'!$C$9)</f>
        <v>315.660484615854</v>
      </c>
      <c r="D31" s="5">
        <f>IF((Title_RESULTS!$H$8-Title_RESULTS!$H$7)&lt;=('Sheet3(F_21)'!A31-Title_RESULTS!$H$7),((Title_RESULTS!$C$8*Partcipation!$C$26*8760*Title_RESULTS!$H$21/100000)),0)</f>
        <v>4536.043652111721</v>
      </c>
      <c r="E31" s="5">
        <f>IF($G31=0,0,((Title_RESULTS!$H$14*((1+Title_RESULTS!$H$15/100)^($A31-Title_RESULTS!$H$7))*'EUE_Line Losses'!$B$25*Partcipation!$C$26))/1000)</f>
        <v>47.347781106348194</v>
      </c>
      <c r="F31" s="5">
        <f>IF($G31=0,0,(Title_RESULTS!$H$19/100*((1+Title_RESULTS!$H$20/100)^($A31-Title_RESULTS!$H$7))*$D31*1000)/1000)</f>
        <v>13.595521456628935</v>
      </c>
      <c r="G31" s="5">
        <f>(+Title_RESULTS!$H$22/100*((1+Title_RESULTS!$H$23/100)^(+'Sheet4(F_22)'!A31-Title_RESULTS!$H$7)))*'Sheet3(F_21)'!D31</f>
        <v>331.0898975428518</v>
      </c>
      <c r="H31" s="5">
        <f>IF($G31=0,0,(($D31))*(Partcipation!$G31/100))</f>
        <v>249.93824872744267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457.7554359942403</v>
      </c>
    </row>
    <row r="32" spans="1:10" ht="12.75">
      <c r="A32">
        <f t="shared" si="0"/>
        <v>2036</v>
      </c>
      <c r="B32" s="43">
        <f>VLOOKUP(A32,'Value of Defferal'!$B39:$F$61,'Value of Defferal'!$C$10)</f>
        <v>0.08680871839016864</v>
      </c>
      <c r="C32" s="44">
        <f>VLOOKUP(A32,'Value of Defferal'!$B39:$F$61,'Value of Defferal'!$C$9)</f>
        <v>302.61294166624936</v>
      </c>
      <c r="D32" s="5">
        <f>IF((Title_RESULTS!$H$8-Title_RESULTS!$H$7)&lt;=('Sheet3(F_21)'!A32-Title_RESULTS!$H$7),((Title_RESULTS!$C$8*Partcipation!$C$26*8760*Title_RESULTS!$H$21/100000)),0)</f>
        <v>4536.043652111721</v>
      </c>
      <c r="E32" s="5">
        <f>IF($G32=0,0,((Title_RESULTS!$H$14*((1+Title_RESULTS!$H$15/100)^($A32-Title_RESULTS!$H$7))*'EUE_Line Losses'!$B$25*Partcipation!$C$26))/1000)</f>
        <v>48.484127852900535</v>
      </c>
      <c r="F32" s="5">
        <f>IF($G32=0,0,(Title_RESULTS!$H$19/100*((1+Title_RESULTS!$H$20/100)^($A32-Title_RESULTS!$H$7))*$D32*1000)/1000)</f>
        <v>13.921813971588026</v>
      </c>
      <c r="G32" s="5">
        <f>(+Title_RESULTS!$H$22/100*((1+Title_RESULTS!$H$23/100)^(+'Sheet4(F_22)'!A32-Title_RESULTS!$H$7)))*'Sheet3(F_21)'!D32</f>
        <v>346.12137889129735</v>
      </c>
      <c r="H32" s="5">
        <f>IF($G32=0,0,(($D32))*(Partcipation!$G32/100))</f>
        <v>254.9774175037121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456.1628448783231</v>
      </c>
    </row>
    <row r="33" spans="1:10" ht="12.75">
      <c r="A33">
        <f t="shared" si="0"/>
        <v>2037</v>
      </c>
      <c r="B33" s="43">
        <f>VLOOKUP(A33,'Value of Defferal'!$B40:$F$61,'Value of Defferal'!$C$10)</f>
        <v>0.08306584977602645</v>
      </c>
      <c r="C33" s="44">
        <f>VLOOKUP(A33,'Value of Defferal'!$B40:$F$61,'Value of Defferal'!$C$9)</f>
        <v>289.5653987166449</v>
      </c>
      <c r="D33" s="5">
        <f>IF((Title_RESULTS!$H$8-Title_RESULTS!$H$7)&lt;=('Sheet3(F_21)'!A33-Title_RESULTS!$H$7),((Title_RESULTS!$C$8*Partcipation!$C$26*8760*Title_RESULTS!$H$21/100000)),0)</f>
        <v>4536.043652111721</v>
      </c>
      <c r="E33" s="5">
        <f>IF($G33=0,0,((Title_RESULTS!$H$14*((1+Title_RESULTS!$H$15/100)^($A33-Title_RESULTS!$H$7))*'EUE_Line Losses'!$B$25*Partcipation!$C$26))/1000)</f>
        <v>49.647746921370164</v>
      </c>
      <c r="F33" s="5">
        <f>IF($G33=0,0,(Title_RESULTS!$H$19/100*((1+Title_RESULTS!$H$20/100)^($A33-Title_RESULTS!$H$7))*$D33*1000)/1000)</f>
        <v>14.255937506906141</v>
      </c>
      <c r="G33" s="5">
        <f>(+Title_RESULTS!$H$22/100*((1+Title_RESULTS!$H$23/100)^(+'Sheet4(F_22)'!A33-Title_RESULTS!$H$7)))*'Sheet3(F_21)'!D33</f>
        <v>361.8352894929624</v>
      </c>
      <c r="H33" s="5">
        <f>IF($G33=0,0,(($D33))*(Partcipation!$G33/100))</f>
        <v>268.7969838366559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446.5073888012277</v>
      </c>
    </row>
    <row r="34" spans="1:10" ht="12.75">
      <c r="A34">
        <f t="shared" si="0"/>
        <v>2038</v>
      </c>
      <c r="B34" s="43">
        <f>VLOOKUP(A34,'Value of Defferal'!$B41:$F$61,'Value of Defferal'!$C$10)</f>
        <v>0.07967445150114433</v>
      </c>
      <c r="C34" s="44">
        <f>VLOOKUP(A34,'Value of Defferal'!$B41:$F$61,'Value of Defferal'!$C$9)</f>
        <v>277.74307225732286</v>
      </c>
      <c r="D34" s="5">
        <f>IF((Title_RESULTS!$H$8-Title_RESULTS!$H$7)&lt;=('Sheet3(F_21)'!A34-Title_RESULTS!$H$7),((Title_RESULTS!$C$8*Partcipation!$C$26*8760*Title_RESULTS!$H$21/100000)),0)</f>
        <v>4536.043652111721</v>
      </c>
      <c r="E34" s="5">
        <f>IF($G34=0,0,((Title_RESULTS!$H$14*((1+Title_RESULTS!$H$15/100)^($A34-Title_RESULTS!$H$7))*'EUE_Line Losses'!$B$25*Partcipation!$C$26))/1000)</f>
        <v>50.83929284748302</v>
      </c>
      <c r="F34" s="5">
        <f>IF($G34=0,0,(Title_RESULTS!$H$19/100*((1+Title_RESULTS!$H$20/100)^($A34-Title_RESULTS!$H$7))*$D34*1000)/1000)</f>
        <v>14.598080007071886</v>
      </c>
      <c r="G34" s="5">
        <f>(+Title_RESULTS!$H$22/100*((1+Title_RESULTS!$H$23/100)^(+'Sheet4(F_22)'!A34-Title_RESULTS!$H$7)))*'Sheet3(F_21)'!D34</f>
        <v>378.2626116359428</v>
      </c>
      <c r="H34" s="5">
        <f>IF($G34=0,0,(($D34))*(Partcipation!$G34/100))</f>
        <v>274.3652358833598</v>
      </c>
      <c r="I34" s="5">
        <f>IF($A34&gt;=+Title_RESULTS!$H$8,+Partcipation!$C$60*Title_RESULTS!$H$24/1000*(1+Title_RESULTS!$H$25/100)^($A34-Title_RESULTS!$H$7),0)</f>
        <v>0</v>
      </c>
      <c r="J34" s="5">
        <f>(+C34+G34+E34+F34-H34+I34)*Partcipation!H34</f>
        <v>447.0778208644608</v>
      </c>
    </row>
    <row r="35" spans="1:10" ht="12.75">
      <c r="A35">
        <f t="shared" si="0"/>
        <v>2039</v>
      </c>
      <c r="B35" s="43">
        <f>VLOOKUP(A35,'Value of Defferal'!$B42:$F$61,'Value of Defferal'!$C$10)</f>
        <v>0.07698587488333333</v>
      </c>
      <c r="C35" s="44">
        <f>VLOOKUP(A35,'Value of Defferal'!$B42:$F$61,'Value of Defferal'!$C$9)</f>
        <v>268.37076387288045</v>
      </c>
      <c r="D35" s="5">
        <f>IF((Title_RESULTS!$H$8-Title_RESULTS!$H$7)&lt;=('Sheet3(F_21)'!A35-Title_RESULTS!$H$7),((Title_RESULTS!$C$8*Partcipation!$C$26*8760*Title_RESULTS!$H$21/100000)),0)</f>
        <v>4536.043652111721</v>
      </c>
      <c r="E35" s="5">
        <f>IF($G35=0,0,((Title_RESULTS!$H$14*((1+Title_RESULTS!$H$15/100)^($A35-Title_RESULTS!$H$7))*'EUE_Line Losses'!$B$25*Partcipation!$C$26))/1000)</f>
        <v>52.05943587582263</v>
      </c>
      <c r="F35" s="5">
        <f>IF($G35=0,0,(Title_RESULTS!$H$19/100*((1+Title_RESULTS!$H$20/100)^($A35-Title_RESULTS!$H$7))*$D35*1000)/1000)</f>
        <v>14.948433927241615</v>
      </c>
      <c r="G35" s="5">
        <f>(+Title_RESULTS!$H$22/100*((1+Title_RESULTS!$H$23/100)^(+'Sheet4(F_22)'!A35-Title_RESULTS!$H$7)))*'Sheet3(F_21)'!D35</f>
        <v>395.43573420421467</v>
      </c>
      <c r="H35" s="5">
        <f>IF($G35=0,0,(($D35))*(Partcipation!$G35/100))</f>
        <v>285.77051645857216</v>
      </c>
      <c r="I35" s="5">
        <f>IF($A35&gt;=+Title_RESULTS!$H$8,+Partcipation!$C$60*Title_RESULTS!$H$24/1000*(1+Title_RESULTS!$H$25/100)^($A35-Title_RESULTS!$H$7),0)</f>
        <v>0</v>
      </c>
      <c r="J35" s="5">
        <f>(+C35+G35+E35+F35-H35+I35)*Partcipation!H35</f>
        <v>445.0438514215871</v>
      </c>
    </row>
    <row r="36" spans="1:10" ht="12.75">
      <c r="A36">
        <f t="shared" si="0"/>
        <v>2040</v>
      </c>
      <c r="B36" s="43">
        <f>VLOOKUP(A36,'Value of Defferal'!$B43:$F$61,'Value of Defferal'!$C$10)</f>
        <v>0.07464864958333334</v>
      </c>
      <c r="C36" s="44">
        <f>VLOOKUP(A36,'Value of Defferal'!$B43:$F$61,'Value of Defferal'!$C$9)</f>
        <v>260.22325707303486</v>
      </c>
      <c r="D36" s="5">
        <f>IF((Title_RESULTS!$H$8-Title_RESULTS!$H$7)&lt;=('Sheet3(F_21)'!A36-Title_RESULTS!$H$7),((Title_RESULTS!$C$8*Partcipation!$C$26*8760*Title_RESULTS!$H$21/100000)),0)</f>
        <v>4536.043652111721</v>
      </c>
      <c r="E36" s="5">
        <f>IF($G36=0,0,((Title_RESULTS!$H$14*((1+Title_RESULTS!$H$15/100)^($A36-Title_RESULTS!$H$7))*'EUE_Line Losses'!$B$25*Partcipation!$C$26))/1000)</f>
        <v>53.30886233684237</v>
      </c>
      <c r="F36" s="5">
        <f>IF($G36=0,0,(Title_RESULTS!$H$19/100*((1+Title_RESULTS!$H$20/100)^($A36-Title_RESULTS!$H$7))*$D36*1000)/1000)</f>
        <v>15.30719634149541</v>
      </c>
      <c r="G36" s="5">
        <f>(+Title_RESULTS!$H$22/100*((1+Title_RESULTS!$H$23/100)^(+'Sheet4(F_22)'!A36-Title_RESULTS!$H$7)))*'Sheet3(F_21)'!D36</f>
        <v>413.3885165370861</v>
      </c>
      <c r="H36" s="5">
        <f>IF($G36=0,0,(($D36))*(Partcipation!$G36/100))</f>
        <v>285.4438746040171</v>
      </c>
      <c r="I36" s="5">
        <f>IF($A36&gt;=+Title_RESULTS!$H$8,+Partcipation!$C$60*Title_RESULTS!$H$24/1000*(1+Title_RESULTS!$H$25/100)^($A36-Title_RESULTS!$H$7),0)</f>
        <v>0</v>
      </c>
      <c r="J36" s="5">
        <f>(+C36+G36+E36+F36-H36+I36)*Partcipation!H36</f>
        <v>456.7839576844417</v>
      </c>
    </row>
    <row r="37" spans="1:10" ht="12.75">
      <c r="A37">
        <f t="shared" si="0"/>
        <v>2041</v>
      </c>
      <c r="B37" s="43">
        <f>VLOOKUP(A37,'Value of Defferal'!$B44:$F$61,'Value of Defferal'!$C$10)</f>
        <v>0.07231142428333336</v>
      </c>
      <c r="C37" s="44">
        <f>VLOOKUP(A37,'Value of Defferal'!$B44:$F$61,'Value of Defferal'!$C$9)</f>
        <v>252.0757502731893</v>
      </c>
      <c r="D37" s="5">
        <f>IF((Title_RESULTS!$H$8-Title_RESULTS!$H$7)&lt;=('Sheet3(F_21)'!A37-Title_RESULTS!$H$7),((Title_RESULTS!$C$8*Partcipation!$C$26*8760*Title_RESULTS!$H$21/100000)),0)</f>
        <v>4536.043652111721</v>
      </c>
      <c r="E37" s="5">
        <f>IF($G37=0,0,((Title_RESULTS!$H$14*((1+Title_RESULTS!$H$15/100)^($A37-Title_RESULTS!$H$7))*'EUE_Line Losses'!$B$25*Partcipation!$C$26))/1000)</f>
        <v>54.58827503292659</v>
      </c>
      <c r="F37" s="5">
        <f>IF($G37=0,0,(Title_RESULTS!$H$19/100*((1+Title_RESULTS!$H$20/100)^($A37-Title_RESULTS!$H$7))*$D37*1000)/1000)</f>
        <v>15.674569053691302</v>
      </c>
      <c r="G37" s="5">
        <f>(+Title_RESULTS!$H$22/100*((1+Title_RESULTS!$H$23/100)^(+'Sheet4(F_22)'!A37-Title_RESULTS!$H$7)))*'Sheet3(F_21)'!D37</f>
        <v>432.15635518786985</v>
      </c>
      <c r="H37" s="5">
        <f>IF($G37=0,0,(($D37))*(Partcipation!$G37/100))</f>
        <v>303.5106824835613</v>
      </c>
      <c r="I37" s="5">
        <f>IF($A37&gt;=+Title_RESULTS!$H$8,+Partcipation!$C$60*Title_RESULTS!$H$24/1000*(1+Title_RESULTS!$H$25/100)^($A37-Title_RESULTS!$H$7),0)</f>
        <v>0</v>
      </c>
      <c r="J37" s="5">
        <f>(+C37+G37+E37+F37-H37+I37)*Partcipation!H37</f>
        <v>450.98426706411584</v>
      </c>
    </row>
    <row r="38" spans="1:10" ht="12.75">
      <c r="A38">
        <f t="shared" si="0"/>
        <v>2042</v>
      </c>
      <c r="B38" s="43">
        <f>VLOOKUP(A38,'Value of Defferal'!$B45:$F$61,'Value of Defferal'!$C$10)</f>
        <v>0.06997419898333333</v>
      </c>
      <c r="C38" s="44">
        <f>VLOOKUP(A38,'Value of Defferal'!$B45:$F$61,'Value of Defferal'!$C$9)</f>
        <v>243.9282434733436</v>
      </c>
      <c r="D38" s="5">
        <f>IF((Title_RESULTS!$H$8-Title_RESULTS!$H$7)&lt;=('Sheet3(F_21)'!A38-Title_RESULTS!$H$7),((Title_RESULTS!$C$8*Partcipation!$C$26*8760*Title_RESULTS!$H$21/100000)),0)</f>
        <v>4536.043652111721</v>
      </c>
      <c r="E38" s="5">
        <f>IF($G38=0,0,((Title_RESULTS!$H$14*((1+Title_RESULTS!$H$15/100)^($A38-Title_RESULTS!$H$7))*'EUE_Line Losses'!$B$25*Partcipation!$C$26))/1000)</f>
        <v>55.89839363371682</v>
      </c>
      <c r="F38" s="5">
        <f>IF($G38=0,0,(Title_RESULTS!$H$19/100*((1+Title_RESULTS!$H$20/100)^($A38-Title_RESULTS!$H$7))*$D38*1000)/1000)</f>
        <v>16.05075871097989</v>
      </c>
      <c r="G38" s="5">
        <f>(+Title_RESULTS!$H$22/100*((1+Title_RESULTS!$H$23/100)^(+'Sheet4(F_22)'!A38-Title_RESULTS!$H$7)))*'Sheet3(F_21)'!D38</f>
        <v>451.77625371339917</v>
      </c>
      <c r="H38" s="5">
        <f>IF($G38=0,0,(($D38))*(Partcipation!$G38/100))</f>
        <v>319.5749027451516</v>
      </c>
      <c r="I38" s="5">
        <f>IF($A38&gt;=+Title_RESULTS!$H$8,+Partcipation!$C$60*Title_RESULTS!$H$24/1000*(1+Title_RESULTS!$H$25/100)^($A38-Title_RESULTS!$H$7),0)</f>
        <v>0</v>
      </c>
      <c r="J38" s="5">
        <f>(+C38+G38+E38+F38-H38+I38)*Partcipation!H38</f>
        <v>448.07874678628787</v>
      </c>
    </row>
    <row r="39" spans="1:10" ht="12.75">
      <c r="A39">
        <f t="shared" si="0"/>
        <v>2043</v>
      </c>
      <c r="B39" s="43">
        <f>VLOOKUP(A39,'Value of Defferal'!$B46:$F$61,'Value of Defferal'!$C$10)</f>
        <v>0.06763697368333334</v>
      </c>
      <c r="C39" s="44">
        <f>VLOOKUP(A39,'Value of Defferal'!$B46:$F$61,'Value of Defferal'!$C$9)</f>
        <v>235.78073667349798</v>
      </c>
      <c r="D39" s="5">
        <f>IF((Title_RESULTS!$H$8-Title_RESULTS!$H$7)&lt;=('Sheet3(F_21)'!A39-Title_RESULTS!$H$7),((Title_RESULTS!$C$8*Partcipation!$C$26*8760*Title_RESULTS!$H$21/100000)),0)</f>
        <v>4536.043652111721</v>
      </c>
      <c r="E39" s="5">
        <f>IF($G39=0,0,((Title_RESULTS!$H$14*((1+Title_RESULTS!$H$15/100)^($A39-Title_RESULTS!$H$7))*'EUE_Line Losses'!$B$25*Partcipation!$C$26))/1000)</f>
        <v>57.23995508092604</v>
      </c>
      <c r="F39" s="5">
        <f>IF($G39=0,0,(Title_RESULTS!$H$19/100*((1+Title_RESULTS!$H$20/100)^($A39-Title_RESULTS!$H$7))*$D39*1000)/1000)</f>
        <v>16.435976920043412</v>
      </c>
      <c r="G39" s="5">
        <f>(+Title_RESULTS!$H$22/100*((1+Title_RESULTS!$H$23/100)^(+'Sheet4(F_22)'!A39-Title_RESULTS!$H$7)))*'Sheet3(F_21)'!D39</f>
        <v>472.28689563198753</v>
      </c>
      <c r="H39" s="5">
        <f>IF($G39=0,0,(($D39))*(Partcipation!$G39/100))</f>
        <v>333.01761459921164</v>
      </c>
      <c r="I39" s="5">
        <f>IF($A39&gt;=+Title_RESULTS!$H$8,+Partcipation!$C$60*Title_RESULTS!$H$24/1000*(1+Title_RESULTS!$H$25/100)^($A39-Title_RESULTS!$H$7),0)</f>
        <v>0</v>
      </c>
      <c r="J39" s="5">
        <f>(+C39+G39+E39+F39-H39+I39)*Partcipation!H39</f>
        <v>448.7259497072434</v>
      </c>
    </row>
    <row r="40" spans="1:10" ht="12.75">
      <c r="A40">
        <f t="shared" si="0"/>
        <v>2044</v>
      </c>
      <c r="B40" s="43">
        <f>VLOOKUP(A40,'Value of Defferal'!$B47:$F$61,'Value of Defferal'!$C$10)</f>
        <v>0.06529974838333336</v>
      </c>
      <c r="C40" s="44">
        <f>VLOOKUP(A40,'Value of Defferal'!$B47:$F$61,'Value of Defferal'!$C$9)</f>
        <v>227.63322987365245</v>
      </c>
      <c r="D40" s="5">
        <f>IF((Title_RESULTS!$H$8-Title_RESULTS!$H$7)&lt;=('Sheet3(F_21)'!A40-Title_RESULTS!$H$7),((Title_RESULTS!$C$8*Partcipation!$C$26*8760*Title_RESULTS!$H$21/100000)),0)</f>
        <v>4536.043652111721</v>
      </c>
      <c r="E40" s="5">
        <f>IF($G40=0,0,((Title_RESULTS!$H$14*((1+Title_RESULTS!$H$15/100)^($A40-Title_RESULTS!$H$7))*'EUE_Line Losses'!$B$25*Partcipation!$C$26))/1000)</f>
        <v>58.61371400286826</v>
      </c>
      <c r="F40" s="5">
        <f>IF($G40=0,0,(Title_RESULTS!$H$19/100*((1+Title_RESULTS!$H$20/100)^($A40-Title_RESULTS!$H$7))*$D40*1000)/1000)</f>
        <v>16.83044036612445</v>
      </c>
      <c r="G40" s="5">
        <f>(+Title_RESULTS!$H$22/100*((1+Title_RESULTS!$H$23/100)^(+'Sheet4(F_22)'!A40-Title_RESULTS!$H$7)))*'Sheet3(F_21)'!D40</f>
        <v>493.72872069367986</v>
      </c>
      <c r="H40" s="5">
        <f>IF($G40=0,0,(($D40))*(Partcipation!$G40/100))</f>
        <v>329.6308224641426</v>
      </c>
      <c r="I40" s="5">
        <f>IF($A40&gt;=+Title_RESULTS!$H$8,+Partcipation!$C$60*Title_RESULTS!$H$24/1000*(1+Title_RESULTS!$H$25/100)^($A40-Title_RESULTS!$H$7),0)</f>
        <v>0</v>
      </c>
      <c r="J40" s="5">
        <f>(+C40+G40+E40+F40-H40+I40)*Partcipation!H40</f>
        <v>467.1752824721824</v>
      </c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87</v>
      </c>
      <c r="B42" s="9"/>
      <c r="C42" s="9">
        <f aca="true" t="shared" si="1" ref="C42:J42">SUM(C16:C41)</f>
        <v>7499.318192169089</v>
      </c>
      <c r="D42" s="9">
        <f t="shared" si="1"/>
        <v>99792.96034645788</v>
      </c>
      <c r="E42" s="9">
        <f t="shared" si="1"/>
        <v>1016.663818402845</v>
      </c>
      <c r="F42" s="9">
        <f t="shared" si="1"/>
        <v>291.926557787963</v>
      </c>
      <c r="G42" s="9">
        <f t="shared" si="1"/>
        <v>7088.255222291218</v>
      </c>
      <c r="H42" s="9">
        <f t="shared" si="1"/>
        <v>5156.393655957191</v>
      </c>
      <c r="I42" s="9">
        <f t="shared" si="1"/>
        <v>0</v>
      </c>
      <c r="J42" s="9">
        <f t="shared" si="1"/>
        <v>10739.770134693925</v>
      </c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89</v>
      </c>
      <c r="C44" s="5">
        <f>NPV(Title_RESULTS!$C$37,C17:C41)+'Sheet3(F_21)'!C16</f>
        <v>3582.5139090006337</v>
      </c>
      <c r="D44" s="5"/>
      <c r="E44" s="5">
        <f>NPV(Title_RESULTS!$C$37,E17:E41)+'Sheet3(F_21)'!E16</f>
        <v>415.4570849197294</v>
      </c>
      <c r="F44" s="5">
        <f>NPV(Title_RESULTS!$C$37,F17:F41)+'Sheet3(F_21)'!F16</f>
        <v>119.29504573082062</v>
      </c>
      <c r="G44" s="5">
        <f>NPV(Title_RESULTS!$C$37,G17:G41)+'Sheet3(F_21)'!G16</f>
        <v>2737.835420371235</v>
      </c>
      <c r="H44" s="5">
        <f>NPV(Title_RESULTS!$C$37,H17:H41)+'Sheet3(F_21)'!H16</f>
        <v>2010.5529098134004</v>
      </c>
      <c r="I44" s="5">
        <f>NPV(Title_RESULTS!$C$37,I17:I41)+'Sheet3(F_21)'!I16</f>
        <v>0</v>
      </c>
      <c r="J44" s="5">
        <f>NPV(Title_RESULTS!$C$37,J17:J41)+'Sheet3(F_21)'!J16</f>
        <v>4844.548550209019</v>
      </c>
    </row>
    <row r="46" ht="12.75">
      <c r="A4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ENERGY STAR Certified Home</v>
      </c>
      <c r="F2" t="s">
        <v>55</v>
      </c>
    </row>
    <row r="3" spans="6:7" ht="12.75">
      <c r="F3" s="35">
        <f>+Title_RESULTS!I4</f>
        <v>43599.32860648148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2848.6541313559323</v>
      </c>
      <c r="C16" s="5">
        <f>$B16*'Sheet2(F_12)'!$E16/100</f>
        <v>82.63118453012363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82.63118453012363</v>
      </c>
      <c r="G16" s="5">
        <f>+$F16*'Sheet2(F_12)'!$I16</f>
        <v>82.63118453012363</v>
      </c>
    </row>
    <row r="17" spans="1:7" ht="12.75">
      <c r="A17">
        <f>+A16+1</f>
        <v>2021</v>
      </c>
      <c r="B17" s="5">
        <f>(+Partcipation!$C16+(Partcipation!$C17-Partcipation!$C16)/2)*Title_RESULTS!$C$10/1000</f>
        <v>8545.962394067798</v>
      </c>
      <c r="C17" s="5">
        <f>$B17*'Sheet2(F_12)'!$E17/100</f>
        <v>245.87722381769504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245.87722381769504</v>
      </c>
      <c r="G17" s="5">
        <f>+$F17*'Sheet2(F_12)'!$I17</f>
        <v>245.87722381769504</v>
      </c>
    </row>
    <row r="18" spans="1:7" ht="12.75">
      <c r="A18">
        <f>+A17+1</f>
        <v>2022</v>
      </c>
      <c r="B18" s="5">
        <f>(+Partcipation!$C17+(Partcipation!$C18-Partcipation!$C17)/2)*Title_RESULTS!$C$10/1000</f>
        <v>14243.270656779661</v>
      </c>
      <c r="C18" s="5">
        <f>$B18*'Sheet2(F_12)'!$E18/100</f>
        <v>422.936253560096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422.936253560096</v>
      </c>
      <c r="G18" s="5">
        <f>+$F18*'Sheet2(F_12)'!$I18</f>
        <v>422.936253560096</v>
      </c>
    </row>
    <row r="19" spans="1:7" ht="12.75">
      <c r="A19">
        <f aca="true" t="shared" si="0" ref="A19:A40">+A18+1</f>
        <v>2023</v>
      </c>
      <c r="B19" s="5">
        <f>(+Partcipation!$C18+(Partcipation!$C19-Partcipation!$C18)/2)*Title_RESULTS!$C$10/1000</f>
        <v>17091.924788135595</v>
      </c>
      <c r="C19" s="5">
        <f>$B19*'Sheet2(F_12)'!$E19/100</f>
        <v>528.3440441595804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40">+C19-E19</f>
        <v>528.3440441595804</v>
      </c>
      <c r="G19" s="5">
        <f>+$F19*'Sheet2(F_12)'!$I19</f>
        <v>528.3440441595804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17091.924788135595</v>
      </c>
      <c r="C20" s="5">
        <f>$B20*'Sheet2(F_12)'!$E20/100</f>
        <v>549.1059736475556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549.1059736475556</v>
      </c>
      <c r="G20" s="5">
        <f>+$F20*'Sheet2(F_12)'!$I20</f>
        <v>549.1059736475556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17091.924788135595</v>
      </c>
      <c r="C21" s="5">
        <f>$B21*'Sheet2(F_12)'!$E21/100</f>
        <v>589.5744989199994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589.5744989199994</v>
      </c>
      <c r="G21" s="5">
        <f>+$F21*'Sheet2(F_12)'!$I21</f>
        <v>589.5744989199994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17091.924788135595</v>
      </c>
      <c r="C22" s="5">
        <f>$B22*'Sheet2(F_12)'!$E22/100</f>
        <v>608.4848796330829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608.4848796330829</v>
      </c>
      <c r="G22" s="5">
        <f>+$F22*'Sheet2(F_12)'!$I22</f>
        <v>608.4848796330829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17091.924788135595</v>
      </c>
      <c r="C23" s="5">
        <f>$B23*'Sheet2(F_12)'!$E23/100</f>
        <v>646.5124611537178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646.5124611537178</v>
      </c>
      <c r="G23" s="5">
        <f>+$F23*'Sheet2(F_12)'!$I23</f>
        <v>646.5124611537178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17091.924788135595</v>
      </c>
      <c r="C24" s="5">
        <f>$B24*'Sheet2(F_12)'!$E24/100</f>
        <v>716.4105700093198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716.4105700093198</v>
      </c>
      <c r="G24" s="5">
        <f>+$F24*'Sheet2(F_12)'!$I24</f>
        <v>716.4105700093198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17091.924788135595</v>
      </c>
      <c r="C25" s="5">
        <f>$B25*'Sheet2(F_12)'!$E25/100</f>
        <v>767.5366864334223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767.5366864334223</v>
      </c>
      <c r="G25" s="5">
        <f>+$F25*'Sheet2(F_12)'!$I25</f>
        <v>767.5366864334223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17091.924788135595</v>
      </c>
      <c r="C26" s="5">
        <f>$B26*'Sheet2(F_12)'!$E26/100</f>
        <v>857.2959570550127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857.2959570550127</v>
      </c>
      <c r="G26" s="5">
        <f>+$F26*'Sheet2(F_12)'!$I26</f>
        <v>857.2959570550127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17091.924788135595</v>
      </c>
      <c r="C27" s="5">
        <f>$B27*'Sheet2(F_12)'!$E27/100</f>
        <v>854.1078057874537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854.1078057874537</v>
      </c>
      <c r="G27" s="5">
        <f>+$F27*'Sheet2(F_12)'!$I27</f>
        <v>854.1078057874537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17091.924788135595</v>
      </c>
      <c r="C28" s="5">
        <f>$B28*'Sheet2(F_12)'!$E28/100</f>
        <v>933.4608917610212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933.4608917610212</v>
      </c>
      <c r="G28" s="5">
        <f>+$F28*'Sheet2(F_12)'!$I28</f>
        <v>933.4608917610212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17091.924788135595</v>
      </c>
      <c r="C29" s="5">
        <f>$B29*'Sheet2(F_12)'!$E29/100</f>
        <v>995.4511297821861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995.4511297821861</v>
      </c>
      <c r="G29" s="5">
        <f>+$F29*'Sheet2(F_12)'!$I29</f>
        <v>995.4511297821861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17091.924788135595</v>
      </c>
      <c r="C30" s="5">
        <f>$B30*'Sheet2(F_12)'!$E30/100</f>
        <v>1041.8015941610313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1041.8015941610313</v>
      </c>
      <c r="G30" s="5">
        <f>+$F30*'Sheet2(F_12)'!$I30</f>
        <v>1041.8015941610313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17091.924788135595</v>
      </c>
      <c r="C31" s="5">
        <f>$B31*'Sheet2(F_12)'!$E31/100</f>
        <v>1147.3852035200682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1147.3852035200682</v>
      </c>
      <c r="G31" s="5">
        <f>+$F31*'Sheet2(F_12)'!$I31</f>
        <v>1147.3852035200682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17091.924788135595</v>
      </c>
      <c r="C32" s="5">
        <f>$B32*'Sheet2(F_12)'!$E32/100</f>
        <v>1133.2752993764202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1133.2752993764202</v>
      </c>
      <c r="G32" s="5">
        <f>+$F32*'Sheet2(F_12)'!$I32</f>
        <v>1133.2752993764202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17091.924788135595</v>
      </c>
      <c r="C33" s="5">
        <f>$B33*'Sheet2(F_12)'!$E33/100</f>
        <v>1209.5613073916734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1209.5613073916734</v>
      </c>
      <c r="G33" s="5">
        <f>+$F33*'Sheet2(F_12)'!$I33</f>
        <v>1209.5613073916734</v>
      </c>
    </row>
    <row r="34" spans="1:7" ht="12.75">
      <c r="A34">
        <f t="shared" si="0"/>
        <v>2038</v>
      </c>
      <c r="B34" s="5">
        <f>(+Partcipation!$C33+(Partcipation!$C34-Partcipation!$C33)/2)*Title_RESULTS!$C$10/1000</f>
        <v>17091.924788135595</v>
      </c>
      <c r="C34" s="5">
        <f>$B34*'Sheet2(F_12)'!$E34/100</f>
        <v>1214.1425675974433</v>
      </c>
      <c r="D34" s="5">
        <f>(+Partcipation!$C33+(Partcipation!$C34-Partcipation!$C33)/2)*(+Title_RESULTS!$C$31/(1-Title_RESULTS!$C$11/100))/1000</f>
        <v>0</v>
      </c>
      <c r="E34" s="5">
        <f>+$D34*'Sheet2(F_12)'!$F34/100</f>
        <v>0</v>
      </c>
      <c r="F34" s="5">
        <f t="shared" si="1"/>
        <v>1214.1425675974433</v>
      </c>
      <c r="G34" s="5">
        <f>+$F34*'Sheet2(F_12)'!$I34</f>
        <v>1214.1425675974433</v>
      </c>
    </row>
    <row r="35" spans="1:7" ht="12.75">
      <c r="A35">
        <f t="shared" si="0"/>
        <v>2039</v>
      </c>
      <c r="B35" s="5">
        <f>(+Partcipation!$C34+(Partcipation!$C35-Partcipation!$C34)/2)*Title_RESULTS!$C$10/1000</f>
        <v>17091.924788135595</v>
      </c>
      <c r="C35" s="5">
        <f>$B35*'Sheet2(F_12)'!$E35/100</f>
        <v>1215.3990972279855</v>
      </c>
      <c r="D35" s="5">
        <f>(+Partcipation!$C34+(Partcipation!$C35-Partcipation!$C34)/2)*(+Title_RESULTS!$C$31/(1-Title_RESULTS!$C$11/100))/1000</f>
        <v>0</v>
      </c>
      <c r="E35" s="5">
        <f>+$D35*'Sheet2(F_12)'!$F35/100</f>
        <v>0</v>
      </c>
      <c r="F35" s="5">
        <f t="shared" si="1"/>
        <v>1215.3990972279855</v>
      </c>
      <c r="G35" s="5">
        <f>+$F35*'Sheet2(F_12)'!$I35</f>
        <v>1215.3990972279855</v>
      </c>
    </row>
    <row r="36" spans="1:7" ht="12.75">
      <c r="A36">
        <f t="shared" si="0"/>
        <v>2040</v>
      </c>
      <c r="B36" s="5">
        <f>(+Partcipation!$C35+(Partcipation!$C36-Partcipation!$C35)/2)*Title_RESULTS!$C$10/1000</f>
        <v>17091.924788135595</v>
      </c>
      <c r="C36" s="5">
        <f>$B36*'Sheet2(F_12)'!$E36/100</f>
        <v>1307.8260623947192</v>
      </c>
      <c r="D36" s="5">
        <f>(+Partcipation!$C35+(Partcipation!$C36-Partcipation!$C35)/2)*(+Title_RESULTS!$C$31/(1-Title_RESULTS!$C$11/100))/1000</f>
        <v>0</v>
      </c>
      <c r="E36" s="5">
        <f>+$D36*'Sheet2(F_12)'!$F36/100</f>
        <v>0</v>
      </c>
      <c r="F36" s="5">
        <f t="shared" si="1"/>
        <v>1307.8260623947192</v>
      </c>
      <c r="G36" s="5">
        <f>+$F36*'Sheet2(F_12)'!$I36</f>
        <v>1307.8260623947192</v>
      </c>
    </row>
    <row r="37" spans="1:7" ht="12.75">
      <c r="A37">
        <f t="shared" si="0"/>
        <v>2041</v>
      </c>
      <c r="B37" s="5">
        <f>(+Partcipation!$C36+(Partcipation!$C37-Partcipation!$C36)/2)*Title_RESULTS!$C$10/1000</f>
        <v>17091.924788135595</v>
      </c>
      <c r="C37" s="5">
        <f>$B37*'Sheet2(F_12)'!$E37/100</f>
        <v>1346.9581397724635</v>
      </c>
      <c r="D37" s="5">
        <f>(+Partcipation!$C36+(Partcipation!$C37-Partcipation!$C36)/2)*(+Title_RESULTS!$C$31/(1-Title_RESULTS!$C$11/100))/1000</f>
        <v>0</v>
      </c>
      <c r="E37" s="5">
        <f>+$D37*'Sheet2(F_12)'!$F37/100</f>
        <v>0</v>
      </c>
      <c r="F37" s="5">
        <f t="shared" si="1"/>
        <v>1346.9581397724635</v>
      </c>
      <c r="G37" s="5">
        <f>+$F37*'Sheet2(F_12)'!$I37</f>
        <v>1346.9581397724635</v>
      </c>
    </row>
    <row r="38" spans="1:7" ht="12.75">
      <c r="A38">
        <f t="shared" si="0"/>
        <v>2042</v>
      </c>
      <c r="B38" s="5">
        <f>(+Partcipation!$C37+(Partcipation!$C38-Partcipation!$C37)/2)*Title_RESULTS!$C$10/1000</f>
        <v>17091.924788135595</v>
      </c>
      <c r="C38" s="5">
        <f>$B38*'Sheet2(F_12)'!$E38/100</f>
        <v>1440.0401898363132</v>
      </c>
      <c r="D38" s="5">
        <f>(+Partcipation!$C37+(Partcipation!$C38-Partcipation!$C37)/2)*(+Title_RESULTS!$C$31/(1-Title_RESULTS!$C$11/100))/1000</f>
        <v>0</v>
      </c>
      <c r="E38" s="5">
        <f>+$D38*'Sheet2(F_12)'!$F38/100</f>
        <v>0</v>
      </c>
      <c r="F38" s="5">
        <f t="shared" si="1"/>
        <v>1440.0401898363132</v>
      </c>
      <c r="G38" s="5">
        <f>+$F38*'Sheet2(F_12)'!$I38</f>
        <v>1440.0401898363132</v>
      </c>
    </row>
    <row r="39" spans="1:7" ht="12.75">
      <c r="A39">
        <f t="shared" si="0"/>
        <v>2043</v>
      </c>
      <c r="B39" s="5">
        <f>(+Partcipation!$C38+(Partcipation!$C39-Partcipation!$C38)/2)*Title_RESULTS!$C$10/1000</f>
        <v>17091.924788135595</v>
      </c>
      <c r="C39" s="5">
        <f>$B39*'Sheet2(F_12)'!$E39/100</f>
        <v>1474.2240394125845</v>
      </c>
      <c r="D39" s="5">
        <f>(+Partcipation!$C38+(Partcipation!$C39-Partcipation!$C38)/2)*(+Title_RESULTS!$C$31/(1-Title_RESULTS!$C$11/100))/1000</f>
        <v>0</v>
      </c>
      <c r="E39" s="5">
        <f>+$D39*'Sheet2(F_12)'!$F39/100</f>
        <v>0</v>
      </c>
      <c r="F39" s="5">
        <f t="shared" si="1"/>
        <v>1474.2240394125845</v>
      </c>
      <c r="G39" s="5">
        <f>+$F39*'Sheet2(F_12)'!$I39</f>
        <v>1474.2240394125845</v>
      </c>
    </row>
    <row r="40" spans="1:7" ht="12.75">
      <c r="A40">
        <f t="shared" si="0"/>
        <v>2044</v>
      </c>
      <c r="B40" s="5">
        <f>(+Partcipation!$C39+(Partcipation!$C40-Partcipation!$C39)/2)*Title_RESULTS!$C$10/1000</f>
        <v>17091.924788135595</v>
      </c>
      <c r="C40" s="5">
        <f>$B40*'Sheet2(F_12)'!$E40/100</f>
        <v>1417.4836800359042</v>
      </c>
      <c r="D40" s="5">
        <f>(+Partcipation!$C39+(Partcipation!$C40-Partcipation!$C39)/2)*(+Title_RESULTS!$C$31/(1-Title_RESULTS!$C$11/100))/1000</f>
        <v>0</v>
      </c>
      <c r="E40" s="5">
        <f>+$D40*'Sheet2(F_12)'!$F40/100</f>
        <v>0</v>
      </c>
      <c r="F40" s="5">
        <f t="shared" si="1"/>
        <v>1417.4836800359042</v>
      </c>
      <c r="G40" s="5">
        <f>+$F40*'Sheet2(F_12)'!$I40</f>
        <v>1417.4836800359042</v>
      </c>
    </row>
    <row r="41" spans="2:7" ht="12.75">
      <c r="B41" s="5"/>
      <c r="C41" s="5"/>
      <c r="D41" s="5"/>
      <c r="E41" s="5"/>
      <c r="F41" s="5"/>
      <c r="G41" s="5"/>
    </row>
    <row r="42" spans="1:7" ht="12.75">
      <c r="A42" t="s">
        <v>87</v>
      </c>
      <c r="B42" s="5">
        <f aca="true" t="shared" si="2" ref="B42:G42">SUM(B16:B41)</f>
        <v>401660.2325211863</v>
      </c>
      <c r="C42" s="5">
        <f t="shared" si="2"/>
        <v>22745.826740976878</v>
      </c>
      <c r="D42" s="5">
        <f t="shared" si="2"/>
        <v>0</v>
      </c>
      <c r="E42" s="5">
        <f t="shared" si="2"/>
        <v>0</v>
      </c>
      <c r="F42" s="5">
        <f t="shared" si="2"/>
        <v>22745.826740976878</v>
      </c>
      <c r="G42" s="5">
        <f t="shared" si="2"/>
        <v>22745.826740976878</v>
      </c>
    </row>
    <row r="43" spans="2:7" ht="12.75">
      <c r="B43" s="5"/>
      <c r="C43" s="5"/>
      <c r="D43" s="5"/>
      <c r="E43" s="5"/>
      <c r="F43" s="5"/>
      <c r="G43" s="5"/>
    </row>
    <row r="44" spans="1:7" ht="12.75">
      <c r="A44" t="s">
        <v>118</v>
      </c>
      <c r="B44" s="5"/>
      <c r="C44" s="5">
        <f>NPV(+Title_RESULTS!$C$37,C17:C41)+C16</f>
        <v>9043.367855570858</v>
      </c>
      <c r="D44" s="5"/>
      <c r="E44" s="5">
        <f>NPV(+Title_RESULTS!$C$37,E17:E41)+E16</f>
        <v>0</v>
      </c>
      <c r="F44" s="5">
        <f>NPV(+Title_RESULTS!$C$37,F17:F41)+F16</f>
        <v>9043.367855570858</v>
      </c>
      <c r="G44" s="5">
        <f>NPV(+Title_RESULTS!$C$37,G17:G41)+G16</f>
        <v>9043.367855570858</v>
      </c>
    </row>
    <row r="45" spans="6:7" ht="12.75">
      <c r="F45" s="9"/>
      <c r="G45" s="9"/>
    </row>
    <row r="46" ht="12.75">
      <c r="A4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ENERGY STAR Certified Home</v>
      </c>
      <c r="J2" t="s">
        <v>42</v>
      </c>
    </row>
    <row r="3" spans="9:10" ht="12.75">
      <c r="I3" s="4"/>
      <c r="J3" s="35">
        <f>+Title_RESULTS!I4</f>
        <v>43599.32860648148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4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1:16" ht="15">
      <c r="A34">
        <f t="shared" si="0"/>
        <v>2038</v>
      </c>
      <c r="B34" s="28">
        <f>+Partcipation!B34</f>
        <v>3000</v>
      </c>
      <c r="C34" s="28">
        <f>+Partcipation!C34</f>
        <v>3000</v>
      </c>
      <c r="D34" s="10">
        <f>+Partcipation!D34</f>
        <v>5.71220131492689</v>
      </c>
      <c r="E34" s="10">
        <f>+Partcipation!E34</f>
        <v>7.103603500761035</v>
      </c>
      <c r="F34">
        <v>0</v>
      </c>
      <c r="G34" s="10">
        <f>+Partcipation!G34</f>
        <v>6.048558103175024</v>
      </c>
      <c r="H34">
        <v>1</v>
      </c>
      <c r="I34">
        <v>1</v>
      </c>
      <c r="J34">
        <v>0</v>
      </c>
      <c r="K34" s="10">
        <f>+Partcipation!L34</f>
        <v>0</v>
      </c>
      <c r="N34" s="64"/>
      <c r="P34" s="65"/>
    </row>
    <row r="35" spans="1:16" ht="15">
      <c r="A35">
        <f t="shared" si="0"/>
        <v>2039</v>
      </c>
      <c r="B35" s="28">
        <f>+Partcipation!B35</f>
        <v>3000</v>
      </c>
      <c r="C35" s="28">
        <f>+Partcipation!C35</f>
        <v>3000</v>
      </c>
      <c r="D35" s="10">
        <f>+Partcipation!D35</f>
        <v>5.9311440074959005</v>
      </c>
      <c r="E35" s="10">
        <f>+Partcipation!E35</f>
        <v>7.110955098934546</v>
      </c>
      <c r="F35">
        <v>0</v>
      </c>
      <c r="G35" s="10">
        <f>+Partcipation!G35</f>
        <v>6.299994849598368</v>
      </c>
      <c r="H35">
        <v>1</v>
      </c>
      <c r="I35">
        <v>1</v>
      </c>
      <c r="J35">
        <v>0</v>
      </c>
      <c r="K35" s="10">
        <f>+Partcipation!L35</f>
        <v>0</v>
      </c>
      <c r="N35" s="64"/>
      <c r="P35" s="65"/>
    </row>
    <row r="36" spans="1:16" ht="15">
      <c r="A36">
        <f t="shared" si="0"/>
        <v>2040</v>
      </c>
      <c r="B36" s="28">
        <f>+Partcipation!B36</f>
        <v>3000</v>
      </c>
      <c r="C36" s="28">
        <f>+Partcipation!C36</f>
        <v>3000</v>
      </c>
      <c r="D36" s="10">
        <f>+Partcipation!D36</f>
        <v>5.999355829046514</v>
      </c>
      <c r="E36" s="10">
        <f>+Partcipation!E36</f>
        <v>7.651719034608379</v>
      </c>
      <c r="F36">
        <v>0</v>
      </c>
      <c r="G36" s="10">
        <f>+Partcipation!G36</f>
        <v>6.292793819811034</v>
      </c>
      <c r="H36">
        <v>1</v>
      </c>
      <c r="I36">
        <v>1</v>
      </c>
      <c r="J36">
        <v>0</v>
      </c>
      <c r="K36" s="10">
        <f>+Partcipation!L36</f>
        <v>0</v>
      </c>
      <c r="N36" s="64"/>
      <c r="P36" s="65"/>
    </row>
    <row r="37" spans="1:16" ht="15">
      <c r="A37">
        <f t="shared" si="0"/>
        <v>2041</v>
      </c>
      <c r="B37" s="28">
        <f>+Partcipation!B37</f>
        <v>3000</v>
      </c>
      <c r="C37" s="28">
        <f>+Partcipation!C37</f>
        <v>3000</v>
      </c>
      <c r="D37" s="10">
        <f>+Partcipation!D37</f>
        <v>6.297281237877337</v>
      </c>
      <c r="E37" s="10">
        <f>+Partcipation!E37</f>
        <v>7.880669710806697</v>
      </c>
      <c r="F37">
        <v>0</v>
      </c>
      <c r="G37" s="10">
        <f>+Partcipation!G37</f>
        <v>6.691088220508289</v>
      </c>
      <c r="H37">
        <v>1</v>
      </c>
      <c r="I37">
        <v>1</v>
      </c>
      <c r="J37">
        <v>0</v>
      </c>
      <c r="K37" s="10">
        <f>+Partcipation!L37</f>
        <v>0</v>
      </c>
      <c r="N37" s="64"/>
      <c r="P37" s="65"/>
    </row>
    <row r="38" spans="1:16" ht="15">
      <c r="A38">
        <f t="shared" si="0"/>
        <v>2042</v>
      </c>
      <c r="B38" s="28">
        <f>+Partcipation!B38</f>
        <v>3000</v>
      </c>
      <c r="C38" s="28">
        <f>+Partcipation!C38</f>
        <v>3000</v>
      </c>
      <c r="D38" s="10">
        <f>+Partcipation!D38</f>
        <v>6.592646795694974</v>
      </c>
      <c r="E38" s="10">
        <f>+Partcipation!E38</f>
        <v>8.425266362252664</v>
      </c>
      <c r="F38">
        <v>0</v>
      </c>
      <c r="G38" s="10">
        <f>+Partcipation!G38</f>
        <v>7.04523428905663</v>
      </c>
      <c r="H38">
        <v>1</v>
      </c>
      <c r="I38">
        <v>1</v>
      </c>
      <c r="J38">
        <v>0</v>
      </c>
      <c r="K38" s="10">
        <f>+Partcipation!L38</f>
        <v>0</v>
      </c>
      <c r="N38" s="64"/>
      <c r="P38" s="65"/>
    </row>
    <row r="39" spans="1:16" ht="15">
      <c r="A39">
        <f t="shared" si="0"/>
        <v>2043</v>
      </c>
      <c r="B39" s="28">
        <f>+Partcipation!B39</f>
        <v>3000</v>
      </c>
      <c r="C39" s="28">
        <f>+Partcipation!C39</f>
        <v>3000</v>
      </c>
      <c r="D39" s="10">
        <f>+Partcipation!D39</f>
        <v>6.782797747058243</v>
      </c>
      <c r="E39" s="10">
        <f>+Partcipation!E39</f>
        <v>8.625266362252663</v>
      </c>
      <c r="F39">
        <v>0</v>
      </c>
      <c r="G39" s="10">
        <f>+Partcipation!G39</f>
        <v>7.341587518545546</v>
      </c>
      <c r="H39">
        <v>1</v>
      </c>
      <c r="I39">
        <v>1</v>
      </c>
      <c r="J39">
        <v>0</v>
      </c>
      <c r="K39" s="10">
        <f>+Partcipation!L39</f>
        <v>0</v>
      </c>
      <c r="N39" s="64"/>
      <c r="P39" s="65"/>
    </row>
    <row r="40" spans="1:16" ht="15">
      <c r="A40">
        <f t="shared" si="0"/>
        <v>2044</v>
      </c>
      <c r="B40" s="28">
        <f>+Partcipation!B40</f>
        <v>3000</v>
      </c>
      <c r="C40" s="28">
        <f>+Partcipation!C40</f>
        <v>3000</v>
      </c>
      <c r="D40" s="10">
        <f>+Partcipation!D40</f>
        <v>6.682976687154445</v>
      </c>
      <c r="E40" s="10">
        <f>+Partcipation!E40</f>
        <v>8.293294626593806</v>
      </c>
      <c r="F40">
        <v>0</v>
      </c>
      <c r="G40" s="10">
        <f>+Partcipation!G40</f>
        <v>7.266923507464163</v>
      </c>
      <c r="H40">
        <v>1</v>
      </c>
      <c r="I40">
        <v>1</v>
      </c>
      <c r="J40">
        <v>0</v>
      </c>
      <c r="K40" s="10">
        <f>+Partcipation!L40</f>
        <v>0</v>
      </c>
      <c r="N40" s="64"/>
      <c r="P40" s="65"/>
    </row>
    <row r="41" spans="2:14" ht="15">
      <c r="B41" s="28"/>
      <c r="C41" s="28"/>
      <c r="D41" s="10"/>
      <c r="E41" s="10"/>
      <c r="N41" s="64"/>
    </row>
    <row r="42" spans="2:14" ht="15">
      <c r="B42" s="28"/>
      <c r="C42" s="28"/>
      <c r="D42" s="10"/>
      <c r="E42" s="10"/>
      <c r="N42" s="64"/>
    </row>
    <row r="43" spans="2:14" ht="15">
      <c r="B43" s="28"/>
      <c r="C43" s="28"/>
      <c r="D43" s="10"/>
      <c r="E43" s="10"/>
      <c r="N43" s="64"/>
    </row>
    <row r="44" spans="2:14" ht="15">
      <c r="B44" s="28"/>
      <c r="C44" s="28"/>
      <c r="D44" s="10"/>
      <c r="E44" s="10"/>
      <c r="N44" s="64"/>
    </row>
    <row r="45" spans="2:14" ht="15">
      <c r="B45" s="28"/>
      <c r="C45" s="28"/>
      <c r="D45" s="10"/>
      <c r="E45" s="10"/>
      <c r="N45" s="64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  <row r="49" spans="2:5" ht="12.75">
      <c r="B49" s="28"/>
      <c r="C49" s="28"/>
      <c r="D49" s="10"/>
      <c r="E49" s="10"/>
    </row>
    <row r="50" spans="2:5" ht="12.75">
      <c r="B50" s="28"/>
      <c r="C50" s="28"/>
      <c r="D50" s="10"/>
      <c r="E50" s="10"/>
    </row>
    <row r="51" spans="2:5" ht="12.75">
      <c r="B51" s="28"/>
      <c r="C51" s="28"/>
      <c r="D51" s="10"/>
      <c r="E51" s="10"/>
    </row>
    <row r="52" spans="2:5" ht="12.75">
      <c r="B52" s="28"/>
      <c r="C52" s="28"/>
      <c r="D52" s="10"/>
      <c r="E52" s="10"/>
    </row>
    <row r="53" spans="2:5" ht="12.75">
      <c r="B53" s="28"/>
      <c r="C53" s="28"/>
      <c r="D53" s="10"/>
      <c r="E53" s="10"/>
    </row>
    <row r="54" spans="2:5" ht="12.75">
      <c r="B54" s="28"/>
      <c r="C54" s="28"/>
      <c r="D54" s="10"/>
      <c r="E54" s="10"/>
    </row>
    <row r="55" spans="2:5" ht="12.75">
      <c r="B55" s="28"/>
      <c r="C55" s="28"/>
      <c r="D55" s="10"/>
      <c r="E5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ENERGY STAR Certified Home</v>
      </c>
      <c r="H2" t="s">
        <v>108</v>
      </c>
    </row>
    <row r="3" ht="12.75">
      <c r="H3" s="35">
        <f>+Title_RESULTS!I4</f>
        <v>43599.32860648148</v>
      </c>
    </row>
    <row r="5" spans="3:6" ht="12.75">
      <c r="C5" t="s">
        <v>60</v>
      </c>
      <c r="F5" s="38">
        <f>+'Value of Defferal'!L4</f>
        <v>203.34694399999998</v>
      </c>
    </row>
    <row r="6" spans="3:6" ht="12.75">
      <c r="C6" t="s">
        <v>62</v>
      </c>
      <c r="F6" s="38">
        <f>+'Value of Defferal'!L5</f>
        <v>501.03995132928003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82.63118453012363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16.198562629007323</v>
      </c>
      <c r="D17" s="5">
        <f>(+B17+C17)*+Partcipation!$H17</f>
        <v>16.198562629007323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68.97891280896002</v>
      </c>
      <c r="G17" s="5">
        <f>(+E17+F17)*Partcipation!$H17</f>
        <v>68.97891280896002</v>
      </c>
      <c r="H17" s="5">
        <f>+'Sheet5(p_5)'!$F17*'Sheet2(F_12)'!$I17</f>
        <v>245.87722381769504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16.587328132103497</v>
      </c>
      <c r="D18" s="5">
        <f>(+B18+C18)*+Partcipation!$H18</f>
        <v>16.587328132103497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70.63440671637504</v>
      </c>
      <c r="G18" s="5">
        <f>(+E18+F18)*Partcipation!$H18</f>
        <v>70.63440671637504</v>
      </c>
      <c r="H18" s="5">
        <f>+'Sheet5(p_5)'!$F18*'Sheet2(F_12)'!$I18</f>
        <v>422.936253560096</v>
      </c>
      <c r="I18" s="5"/>
      <c r="J18" s="5"/>
    </row>
    <row r="19" spans="1:10" ht="12.75">
      <c r="A19">
        <f aca="true" t="shared" si="0" ref="A19:A40">+A18+1</f>
        <v>2023</v>
      </c>
      <c r="B19" s="5">
        <f>VLOOKUP(A19,'Value of Defferal'!$I26:$P$58,'Value of Defferal'!$K$9)</f>
        <v>27.97864069397719</v>
      </c>
      <c r="C19" s="5">
        <f>IF(+Title_RESULTS!$H$9&lt;='Sheet4(F_22)'!$A19,(+Title_RESULTS!$H$16*((1+Title_RESULTS!$H$18/100)^('Sheet4(F_22)'!$A19-Title_RESULTS!$H$7))*Title_RESULTS!$C$8*Partcipation!$C$26/1000),0)</f>
        <v>16.985424007273984</v>
      </c>
      <c r="D19" s="5">
        <f>(+B19+C19)*+Partcipation!$H19</f>
        <v>44.964064701251175</v>
      </c>
      <c r="E19" s="5">
        <f>VLOOKUP(A19,'Value of Defferal'!$I26:$P$58,'Value of Defferal'!$K$13)</f>
        <v>68.93841872327202</v>
      </c>
      <c r="F19" s="5">
        <f>IF(+'Value of Defferal'!P26=0,0,Title_RESULTS!$H$17*Title_RESULTS!$C$7*Partcipation!$C$26*(1+Title_RESULTS!$H$18/100)^('Sheet4(F_22)'!A19-Title_RESULTS!$H$7))/1000</f>
        <v>72.32963247756805</v>
      </c>
      <c r="G19" s="5">
        <f>(+E19+F19)*Partcipation!$H19</f>
        <v>141.2680512008401</v>
      </c>
      <c r="H19" s="5">
        <f>+'Sheet5(p_5)'!$F19*'Sheet2(F_12)'!$I19</f>
        <v>528.3440441595804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27.152434676513415</v>
      </c>
      <c r="C20" s="5">
        <f>IF(+Title_RESULTS!$H$9&lt;='Sheet4(F_22)'!$A20,(+Title_RESULTS!$H$16*((1+Title_RESULTS!$H$18/100)^('Sheet4(F_22)'!$A20-Title_RESULTS!$H$7))*Title_RESULTS!$C$8*Partcipation!$C$26/1000),0)</f>
        <v>17.393074183448558</v>
      </c>
      <c r="D20" s="5">
        <f>(+B20+C20)*+Partcipation!$H20</f>
        <v>44.54550885996197</v>
      </c>
      <c r="E20" s="5">
        <f>VLOOKUP(A20,'Value of Defferal'!$I27:$P$58,'Value of Defferal'!$K$13)</f>
        <v>66.90267520711664</v>
      </c>
      <c r="F20" s="5">
        <f>IF(+'Value of Defferal'!P27=0,0,Title_RESULTS!$H$17*Title_RESULTS!$C$7*Partcipation!$C$26*(1+Title_RESULTS!$H$18/100)^('Sheet4(F_22)'!A20-Title_RESULTS!$H$7))/1000</f>
        <v>74.06554365702968</v>
      </c>
      <c r="G20" s="5">
        <f>(+E20+F20)*Partcipation!$H20</f>
        <v>140.9682188641463</v>
      </c>
      <c r="H20" s="5">
        <f>+'Sheet5(p_5)'!$F20*'Sheet2(F_12)'!$I20</f>
        <v>549.1059736475556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26.240309258828532</v>
      </c>
      <c r="C21" s="5">
        <f>IF(+Title_RESULTS!$H$9&lt;='Sheet4(F_22)'!$A21,(+Title_RESULTS!$H$16*((1+Title_RESULTS!$H$18/100)^('Sheet4(F_22)'!$A21-Title_RESULTS!$H$7))*Title_RESULTS!$C$8*Partcipation!$C$26/1000),0)</f>
        <v>17.81050796385133</v>
      </c>
      <c r="D21" s="5">
        <f>(+B21+C21)*+Partcipation!$H21</f>
        <v>44.05081722267986</v>
      </c>
      <c r="E21" s="5">
        <f>VLOOKUP(A21,'Value of Defferal'!$I28:$P$58,'Value of Defferal'!$K$13)</f>
        <v>64.6552292121425</v>
      </c>
      <c r="F21" s="5">
        <f>IF(+'Value of Defferal'!P28=0,0,Title_RESULTS!$H$17*Title_RESULTS!$C$7*Partcipation!$C$26*(1+Title_RESULTS!$H$18/100)^('Sheet4(F_22)'!A21-Title_RESULTS!$H$7))/1000</f>
        <v>75.8431167047984</v>
      </c>
      <c r="G21" s="5">
        <f>(+E21+F21)*Partcipation!$H21</f>
        <v>140.4983459169409</v>
      </c>
      <c r="H21" s="5">
        <f>+'Sheet5(p_5)'!$F21*'Sheet2(F_12)'!$I21</f>
        <v>589.5744989199994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25.371869620692692</v>
      </c>
      <c r="C22" s="5">
        <f>IF(+Title_RESULTS!$H$9&lt;='Sheet4(F_22)'!$A22,(+Title_RESULTS!$H$16*((1+Title_RESULTS!$H$18/100)^('Sheet4(F_22)'!$A22-Title_RESULTS!$H$7))*Title_RESULTS!$C$8*Partcipation!$C$26/1000),0)</f>
        <v>18.237960154983753</v>
      </c>
      <c r="D22" s="5">
        <f>(+B22+C22)*+Partcipation!$H22</f>
        <v>43.609829775676445</v>
      </c>
      <c r="E22" s="5">
        <f>VLOOKUP(A22,'Value of Defferal'!$I29:$P$58,'Value of Defferal'!$K$13)</f>
        <v>62.515423491610015</v>
      </c>
      <c r="F22" s="5">
        <f>IF(+'Value of Defferal'!P29=0,0,Title_RESULTS!$H$17*Title_RESULTS!$C$7*Partcipation!$C$26*(1+Title_RESULTS!$H$18/100)^('Sheet4(F_22)'!A22-Title_RESULTS!$H$7))/1000</f>
        <v>77.66335150571354</v>
      </c>
      <c r="G22" s="5">
        <f>(+E22+F22)*Partcipation!$H22</f>
        <v>140.17877499732356</v>
      </c>
      <c r="H22" s="5">
        <f>+'Sheet5(p_5)'!$F22*'Sheet2(F_12)'!$I22</f>
        <v>608.4848796330829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24.54273508282701</v>
      </c>
      <c r="C23" s="5">
        <f>IF(+Title_RESULTS!$H$9&lt;='Sheet4(F_22)'!$A23,(+Title_RESULTS!$H$16*((1+Title_RESULTS!$H$18/100)^('Sheet4(F_22)'!$A23-Title_RESULTS!$H$7))*Title_RESULTS!$C$8*Partcipation!$C$26/1000),0)</f>
        <v>18.675671198703366</v>
      </c>
      <c r="D23" s="5">
        <f>(+B23+C23)*+Partcipation!$H23</f>
        <v>43.21840628153038</v>
      </c>
      <c r="E23" s="5">
        <f>VLOOKUP(A23,'Value of Defferal'!$I30:$P$58,'Value of Defferal'!$K$13)</f>
        <v>60.47246420082448</v>
      </c>
      <c r="F23" s="5">
        <f>IF(+'Value of Defferal'!P30=0,0,Title_RESULTS!$H$17*Title_RESULTS!$C$7*Partcipation!$C$26*(1+Title_RESULTS!$H$18/100)^('Sheet4(F_22)'!A23-Title_RESULTS!$H$7))/1000</f>
        <v>79.52727194185069</v>
      </c>
      <c r="G23" s="5">
        <f>(+E23+F23)*Partcipation!$H23</f>
        <v>139.99973614267518</v>
      </c>
      <c r="H23" s="5">
        <f>+'Sheet5(p_5)'!$F23*'Sheet2(F_12)'!$I23</f>
        <v>646.5124611537178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23.749009018911604</v>
      </c>
      <c r="C24" s="5">
        <f>IF(+Title_RESULTS!$H$9&lt;='Sheet4(F_22)'!$A24,(+Title_RESULTS!$H$16*((1+Title_RESULTS!$H$18/100)^('Sheet4(F_22)'!$A24-Title_RESULTS!$H$7))*Title_RESULTS!$C$8*Partcipation!$C$26/1000),0)</f>
        <v>19.123887307472245</v>
      </c>
      <c r="D24" s="5">
        <f>(+B24+C24)*+Partcipation!$H24</f>
        <v>42.87289632638385</v>
      </c>
      <c r="E24" s="5">
        <f>VLOOKUP(A24,'Value of Defferal'!$I31:$P$58,'Value of Defferal'!$K$13)</f>
        <v>58.516750185112706</v>
      </c>
      <c r="F24" s="5">
        <f>IF(+'Value of Defferal'!P31=0,0,Title_RESULTS!$H$17*Title_RESULTS!$C$7*Partcipation!$C$26*(1+Title_RESULTS!$H$18/100)^('Sheet4(F_22)'!A24-Title_RESULTS!$H$7))/1000</f>
        <v>81.4359264684551</v>
      </c>
      <c r="G24" s="5">
        <f>(+E24+F24)*Partcipation!$H24</f>
        <v>139.9526766535678</v>
      </c>
      <c r="H24" s="5">
        <f>+'Sheet5(p_5)'!$F24*'Sheet2(F_12)'!$I24</f>
        <v>716.4105700093198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22.979993858552746</v>
      </c>
      <c r="C25" s="5">
        <f>IF(+Title_RESULTS!$H$9&lt;='Sheet4(F_22)'!$A25,(+Title_RESULTS!$H$16*((1+Title_RESULTS!$H$18/100)^('Sheet4(F_22)'!$A25-Title_RESULTS!$H$7))*Title_RESULTS!$C$8*Partcipation!$C$26/1000),0)</f>
        <v>19.58286060285158</v>
      </c>
      <c r="D25" s="5">
        <f>(+B25+C25)*+Partcipation!$H25</f>
        <v>42.56285446140433</v>
      </c>
      <c r="E25" s="5">
        <f>VLOOKUP(A25,'Value of Defferal'!$I32:$P$58,'Value of Defferal'!$K$13)</f>
        <v>56.62192299499924</v>
      </c>
      <c r="F25" s="5">
        <f>IF(+'Value of Defferal'!P32=0,0,Title_RESULTS!$H$17*Title_RESULTS!$C$7*Partcipation!$C$26*(1+Title_RESULTS!$H$18/100)^('Sheet4(F_22)'!A25-Title_RESULTS!$H$7))/1000</f>
        <v>83.39038870369801</v>
      </c>
      <c r="G25" s="5">
        <f>(+E25+F25)*Partcipation!$H25</f>
        <v>140.01231169869726</v>
      </c>
      <c r="H25" s="5">
        <f>+'Sheet5(p_5)'!$F25*'Sheet2(F_12)'!$I25</f>
        <v>767.5366864334223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22.21889296407341</v>
      </c>
      <c r="C26" s="5">
        <f>IF(+Title_RESULTS!$H$9&lt;='Sheet4(F_22)'!$A26,(+Title_RESULTS!$H$16*((1+Title_RESULTS!$H$18/100)^('Sheet4(F_22)'!$A26-Title_RESULTS!$H$7))*Title_RESULTS!$C$8*Partcipation!$C$26/1000),0)</f>
        <v>20.052849257320016</v>
      </c>
      <c r="D26" s="5">
        <f>(+B26+C26)*+Partcipation!$H26</f>
        <v>42.271742221393424</v>
      </c>
      <c r="E26" s="5">
        <f>VLOOKUP(A26,'Value of Defferal'!$I33:$P$58,'Value of Defferal'!$K$13)</f>
        <v>54.746596286737535</v>
      </c>
      <c r="F26" s="5">
        <f>IF(+'Value of Defferal'!P33=0,0,Title_RESULTS!$H$17*Title_RESULTS!$C$7*Partcipation!$C$26*(1+Title_RESULTS!$H$18/100)^('Sheet4(F_22)'!A26-Title_RESULTS!$H$7))/1000</f>
        <v>85.39175803258676</v>
      </c>
      <c r="G26" s="5">
        <f>(+E26+F26)*Partcipation!$H26</f>
        <v>140.1383543193243</v>
      </c>
      <c r="H26" s="5">
        <f>+'Sheet5(p_5)'!$F26*'Sheet2(F_12)'!$I26</f>
        <v>857.2959570550127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21.457792069594074</v>
      </c>
      <c r="C27" s="5">
        <f>IF(+Title_RESULTS!$H$9&lt;='Sheet4(F_22)'!$A27,(+Title_RESULTS!$H$16*((1+Title_RESULTS!$H$18/100)^('Sheet4(F_22)'!$A27-Title_RESULTS!$H$7))*Title_RESULTS!$C$8*Partcipation!$C$26/1000),0)</f>
        <v>20.5341176394957</v>
      </c>
      <c r="D27" s="5">
        <f>(+B27+C27)*+Partcipation!$H27</f>
        <v>41.991909709089775</v>
      </c>
      <c r="E27" s="5">
        <f>VLOOKUP(A27,'Value of Defferal'!$I34:$P$58,'Value of Defferal'!$K$13)</f>
        <v>52.871269578475825</v>
      </c>
      <c r="F27" s="5">
        <f>IF(+'Value of Defferal'!P34=0,0,Title_RESULTS!$H$17*Title_RESULTS!$C$7*Partcipation!$C$26*(1+Title_RESULTS!$H$18/100)^('Sheet4(F_22)'!A27-Title_RESULTS!$H$7))/1000</f>
        <v>87.44116022536886</v>
      </c>
      <c r="G27" s="5">
        <f>(+E27+F27)*Partcipation!$H27</f>
        <v>140.31242980384468</v>
      </c>
      <c r="H27" s="5">
        <f>+'Sheet5(p_5)'!$F27*'Sheet2(F_12)'!$I27</f>
        <v>854.1078057874537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20.69669117511474</v>
      </c>
      <c r="C28" s="5">
        <f>IF(+Title_RESULTS!$H$9&lt;='Sheet4(F_22)'!$A28,(+Title_RESULTS!$H$16*((1+Title_RESULTS!$H$18/100)^('Sheet4(F_22)'!$A28-Title_RESULTS!$H$7))*Title_RESULTS!$C$8*Partcipation!$C$26/1000),0)</f>
        <v>21.026936462843594</v>
      </c>
      <c r="D28" s="5">
        <f>(+B28+C28)*+Partcipation!$H28</f>
        <v>41.72362763795833</v>
      </c>
      <c r="E28" s="5">
        <f>VLOOKUP(A28,'Value of Defferal'!$I35:$P$58,'Value of Defferal'!$K$13)</f>
        <v>50.995942870214115</v>
      </c>
      <c r="F28" s="5">
        <f>IF(+'Value of Defferal'!P35=0,0,Title_RESULTS!$H$17*Title_RESULTS!$C$7*Partcipation!$C$26*(1+Title_RESULTS!$H$18/100)^('Sheet4(F_22)'!A28-Title_RESULTS!$H$7))/1000</f>
        <v>89.5397480707777</v>
      </c>
      <c r="G28" s="5">
        <f>(+E28+F28)*Partcipation!$H28</f>
        <v>140.53569094099183</v>
      </c>
      <c r="H28" s="5">
        <f>+'Sheet5(p_5)'!$F28*'Sheet2(F_12)'!$I28</f>
        <v>933.4608917610212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19.935590280635406</v>
      </c>
      <c r="C29" s="5">
        <f>IF(+Title_RESULTS!$H$9&lt;='Sheet4(F_22)'!$A29,(+Title_RESULTS!$H$16*((1+Title_RESULTS!$H$18/100)^('Sheet4(F_22)'!$A29-Title_RESULTS!$H$7))*Title_RESULTS!$C$8*Partcipation!$C$26/1000),0)</f>
        <v>21.53158293795184</v>
      </c>
      <c r="D29" s="5">
        <f>(+B29+C29)*+Partcipation!$H29</f>
        <v>41.46717321858725</v>
      </c>
      <c r="E29" s="5">
        <f>VLOOKUP(A29,'Value of Defferal'!$I36:$P$58,'Value of Defferal'!$K$13)</f>
        <v>49.12061616195241</v>
      </c>
      <c r="F29" s="5">
        <f>IF(+'Value of Defferal'!P36=0,0,Title_RESULTS!$H$17*Title_RESULTS!$C$7*Partcipation!$C$26*(1+Title_RESULTS!$H$18/100)^('Sheet4(F_22)'!A29-Title_RESULTS!$H$7))/1000</f>
        <v>91.68870202447637</v>
      </c>
      <c r="G29" s="5">
        <f>(+E29+F29)*Partcipation!$H29</f>
        <v>140.80931818642878</v>
      </c>
      <c r="H29" s="5">
        <f>+'Sheet5(p_5)'!$F29*'Sheet2(F_12)'!$I29</f>
        <v>995.4511297821861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19.17448938615607</v>
      </c>
      <c r="C30" s="5">
        <f>IF(+Title_RESULTS!$H$9&lt;='Sheet4(F_22)'!$A30,(+Title_RESULTS!$H$16*((1+Title_RESULTS!$H$18/100)^('Sheet4(F_22)'!$A30-Title_RESULTS!$H$7))*Title_RESULTS!$C$8*Partcipation!$C$26/1000),0)</f>
        <v>22.048340928462682</v>
      </c>
      <c r="D30" s="5">
        <f>(+B30+C30)*+Partcipation!$H30</f>
        <v>41.22283031461875</v>
      </c>
      <c r="E30" s="5">
        <f>VLOOKUP(A30,'Value of Defferal'!$I37:$P$58,'Value of Defferal'!$K$13)</f>
        <v>47.2452894536907</v>
      </c>
      <c r="F30" s="5">
        <f>IF(+'Value of Defferal'!P37=0,0,Title_RESULTS!$H$17*Title_RESULTS!$C$7*Partcipation!$C$26*(1+Title_RESULTS!$H$18/100)^('Sheet4(F_22)'!A30-Title_RESULTS!$H$7))/1000</f>
        <v>93.8892308730638</v>
      </c>
      <c r="G30" s="5">
        <f>(+E30+F30)*Partcipation!$H30</f>
        <v>141.1345203267545</v>
      </c>
      <c r="H30" s="5">
        <f>+'Sheet5(p_5)'!$F30*'Sheet2(F_12)'!$I30</f>
        <v>1041.8015941610313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18.41338849167673</v>
      </c>
      <c r="C31" s="5">
        <f>IF(+Title_RESULTS!$H$9&lt;='Sheet4(F_22)'!$A31,(+Title_RESULTS!$H$16*((1+Title_RESULTS!$H$18/100)^('Sheet4(F_22)'!$A31-Title_RESULTS!$H$7))*Title_RESULTS!$C$8*Partcipation!$C$26/1000),0)</f>
        <v>22.57750111074579</v>
      </c>
      <c r="D31" s="5">
        <f>(+B31+C31)*+Partcipation!$H31</f>
        <v>40.99088960242252</v>
      </c>
      <c r="E31" s="5">
        <f>VLOOKUP(A31,'Value of Defferal'!$I38:$P$58,'Value of Defferal'!$K$13)</f>
        <v>45.369962745428985</v>
      </c>
      <c r="F31" s="5">
        <f>IF(+'Value of Defferal'!P38=0,0,Title_RESULTS!$H$17*Title_RESULTS!$C$7*Partcipation!$C$26*(1+Title_RESULTS!$H$18/100)^('Sheet4(F_22)'!A31-Title_RESULTS!$H$7))/1000</f>
        <v>96.14257241401732</v>
      </c>
      <c r="G31" s="5">
        <f>(+E31+F31)*Partcipation!$H31</f>
        <v>141.51253515944632</v>
      </c>
      <c r="H31" s="5">
        <f>+'Sheet5(p_5)'!$F31*'Sheet2(F_12)'!$I31</f>
        <v>1147.3852035200682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17.65228759719739</v>
      </c>
      <c r="C32" s="5">
        <f>IF(+Title_RESULTS!$H$9&lt;='Sheet4(F_22)'!$A32,(+Title_RESULTS!$H$16*((1+Title_RESULTS!$H$18/100)^('Sheet4(F_22)'!$A32-Title_RESULTS!$H$7))*Title_RESULTS!$C$8*Partcipation!$C$26/1000),0)</f>
        <v>23.11936113740369</v>
      </c>
      <c r="D32" s="5">
        <f>(+B32+C32)*+Partcipation!$H32</f>
        <v>40.77164873460108</v>
      </c>
      <c r="E32" s="5">
        <f>VLOOKUP(A32,'Value of Defferal'!$I39:$P$58,'Value of Defferal'!$K$13)</f>
        <v>43.494636037167275</v>
      </c>
      <c r="F32" s="5">
        <f>IF(+'Value of Defferal'!P39=0,0,Title_RESULTS!$H$17*Title_RESULTS!$C$7*Partcipation!$C$26*(1+Title_RESULTS!$H$18/100)^('Sheet4(F_22)'!A32-Title_RESULTS!$H$7))/1000</f>
        <v>98.44999415195375</v>
      </c>
      <c r="G32" s="5">
        <f>(+E32+F32)*Partcipation!$H32</f>
        <v>141.94463018912103</v>
      </c>
      <c r="H32" s="5">
        <f>+'Sheet5(p_5)'!$F32*'Sheet2(F_12)'!$I32</f>
        <v>1133.2752993764202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16.891186702718063</v>
      </c>
      <c r="C33" s="5">
        <f>IF(+Title_RESULTS!$H$9&lt;='Sheet4(F_22)'!$A33,(+Title_RESULTS!$H$16*((1+Title_RESULTS!$H$18/100)^('Sheet4(F_22)'!$A33-Title_RESULTS!$H$7))*Title_RESULTS!$C$8*Partcipation!$C$26/1000),0)</f>
        <v>23.674225804701376</v>
      </c>
      <c r="D33" s="5">
        <f>(+B33+C33)*+Partcipation!$H33</f>
        <v>40.56541250741944</v>
      </c>
      <c r="E33" s="5">
        <f>VLOOKUP(A33,'Value of Defferal'!$I40:$P$58,'Value of Defferal'!$K$13)</f>
        <v>41.61930932890558</v>
      </c>
      <c r="F33" s="5">
        <f>IF(+'Value of Defferal'!P40=0,0,Title_RESULTS!$H$17*Title_RESULTS!$C$7*Partcipation!$C$26*(1+Title_RESULTS!$H$18/100)^('Sheet4(F_22)'!A33-Title_RESULTS!$H$7))/1000</f>
        <v>100.81279401160062</v>
      </c>
      <c r="G33" s="5">
        <f>(+E33+F33)*Partcipation!$H33</f>
        <v>142.4321033405062</v>
      </c>
      <c r="H33" s="5">
        <f>+'Sheet5(p_5)'!$F33*'Sheet2(F_12)'!$I33</f>
        <v>1209.5613073916734</v>
      </c>
      <c r="I33" s="5"/>
      <c r="J33" s="5"/>
    </row>
    <row r="34" spans="1:10" ht="12.75">
      <c r="A34">
        <f t="shared" si="0"/>
        <v>2038</v>
      </c>
      <c r="B34" s="5">
        <f>VLOOKUP(A34,'Value of Defferal'!$I41:$P$58,'Value of Defferal'!$K$9)</f>
        <v>16.20155622763391</v>
      </c>
      <c r="C34" s="5">
        <f>IF(+Title_RESULTS!$H$9&lt;='Sheet4(F_22)'!$A34,(+Title_RESULTS!$H$16*((1+Title_RESULTS!$H$18/100)^('Sheet4(F_22)'!$A34-Title_RESULTS!$H$7))*Title_RESULTS!$C$8*Partcipation!$C$26/1000),0)</f>
        <v>24.2424072240142</v>
      </c>
      <c r="D34" s="5">
        <f>(+B34+C34)*+Partcipation!$H34</f>
        <v>40.44396345164811</v>
      </c>
      <c r="E34" s="5">
        <f>VLOOKUP(A34,'Value of Defferal'!$I41:$P$58,'Value of Defferal'!$K$13)</f>
        <v>39.920083302320435</v>
      </c>
      <c r="F34" s="5">
        <f>IF(+'Value of Defferal'!P41=0,0,Title_RESULTS!$H$17*Title_RESULTS!$C$7*Partcipation!$C$26*(1+Title_RESULTS!$H$18/100)^('Sheet4(F_22)'!A34-Title_RESULTS!$H$7))/1000</f>
        <v>103.23230106787904</v>
      </c>
      <c r="G34" s="5">
        <f>(+E34+F34)*Partcipation!$H34</f>
        <v>143.15238437019946</v>
      </c>
      <c r="H34" s="5">
        <f>+'Sheet5(p_5)'!$F34*'Sheet2(F_12)'!$I34</f>
        <v>1214.1425675974433</v>
      </c>
      <c r="I34" s="5"/>
      <c r="J34" s="5"/>
    </row>
    <row r="35" spans="1:10" ht="12.75">
      <c r="A35">
        <f t="shared" si="0"/>
        <v>2039</v>
      </c>
      <c r="B35" s="5">
        <f>VLOOKUP(A35,'Value of Defferal'!$I42:$P$58,'Value of Defferal'!$K$9)</f>
        <v>15.654842388692188</v>
      </c>
      <c r="C35" s="5">
        <f>IF(+Title_RESULTS!$H$9&lt;='Sheet4(F_22)'!$A35,(+Title_RESULTS!$H$16*((1+Title_RESULTS!$H$18/100)^('Sheet4(F_22)'!$A35-Title_RESULTS!$H$7))*Title_RESULTS!$C$8*Partcipation!$C$26/1000),0)</f>
        <v>24.82422499739055</v>
      </c>
      <c r="D35" s="5">
        <f>(+B35+C35)*+Partcipation!$H35</f>
        <v>40.47906738608274</v>
      </c>
      <c r="E35" s="5">
        <f>VLOOKUP(A35,'Value of Defferal'!$I42:$P$58,'Value of Defferal'!$K$13)</f>
        <v>38.57299900458737</v>
      </c>
      <c r="F35" s="5">
        <f>IF(+'Value of Defferal'!P42=0,0,Title_RESULTS!$H$17*Title_RESULTS!$C$7*Partcipation!$C$26*(1+Title_RESULTS!$H$18/100)^('Sheet4(F_22)'!A35-Title_RESULTS!$H$7))/1000</f>
        <v>105.70987629350815</v>
      </c>
      <c r="G35" s="5">
        <f>(+E35+F35)*Partcipation!$H35</f>
        <v>144.28287529809552</v>
      </c>
      <c r="H35" s="5">
        <f>+'Sheet5(p_5)'!$F35*'Sheet2(F_12)'!$I35</f>
        <v>1215.3990972279855</v>
      </c>
      <c r="I35" s="5"/>
      <c r="J35" s="5"/>
    </row>
    <row r="36" spans="1:10" ht="12.75">
      <c r="A36">
        <f t="shared" si="0"/>
        <v>2040</v>
      </c>
      <c r="B36" s="5">
        <f>VLOOKUP(A36,'Value of Defferal'!$I43:$P$58,'Value of Defferal'!$K$9)</f>
        <v>15.179574766497707</v>
      </c>
      <c r="C36" s="5">
        <f>IF(+Title_RESULTS!$H$9&lt;='Sheet4(F_22)'!$A36,(+Title_RESULTS!$H$16*((1+Title_RESULTS!$H$18/100)^('Sheet4(F_22)'!$A36-Title_RESULTS!$H$7))*Title_RESULTS!$C$8*Partcipation!$C$26/1000),0)</f>
        <v>25.420006397327917</v>
      </c>
      <c r="D36" s="5">
        <f>(+B36+C36)*+Partcipation!$H36</f>
        <v>40.599581163825626</v>
      </c>
      <c r="E36" s="5">
        <f>VLOOKUP(A36,'Value of Defferal'!$I43:$P$58,'Value of Defferal'!$K$13)</f>
        <v>37.401955754029814</v>
      </c>
      <c r="F36" s="5">
        <f>IF(+'Value of Defferal'!P43=0,0,Title_RESULTS!$H$17*Title_RESULTS!$C$7*Partcipation!$C$26*(1+Title_RESULTS!$H$18/100)^('Sheet4(F_22)'!A36-Title_RESULTS!$H$7))/1000</f>
        <v>108.24691332455232</v>
      </c>
      <c r="G36" s="5">
        <f>(+E36+F36)*Partcipation!$H36</f>
        <v>145.64886907858215</v>
      </c>
      <c r="H36" s="5">
        <f>+'Sheet5(p_5)'!$F36*'Sheet2(F_12)'!$I36</f>
        <v>1307.8260623947192</v>
      </c>
      <c r="I36" s="5"/>
      <c r="J36" s="5"/>
    </row>
    <row r="37" spans="1:10" ht="12.75">
      <c r="A37">
        <f t="shared" si="0"/>
        <v>2041</v>
      </c>
      <c r="B37" s="5">
        <f>VLOOKUP(A37,'Value of Defferal'!$I44:$P$58,'Value of Defferal'!$K$9)</f>
        <v>14.704307144303227</v>
      </c>
      <c r="C37" s="5">
        <f>IF(+Title_RESULTS!$H$9&lt;='Sheet4(F_22)'!$A37,(+Title_RESULTS!$H$16*((1+Title_RESULTS!$H$18/100)^('Sheet4(F_22)'!$A37-Title_RESULTS!$H$7))*Title_RESULTS!$C$8*Partcipation!$C$26/1000),0)</f>
        <v>26.030086550863793</v>
      </c>
      <c r="D37" s="5">
        <f>(+B37+C37)*+Partcipation!$H37</f>
        <v>40.73439369516702</v>
      </c>
      <c r="E37" s="5">
        <f>VLOOKUP(A37,'Value of Defferal'!$I44:$P$58,'Value of Defferal'!$K$13)</f>
        <v>36.23091250347226</v>
      </c>
      <c r="F37" s="5">
        <f>IF(+'Value of Defferal'!P44=0,0,Title_RESULTS!$H$17*Title_RESULTS!$C$7*Partcipation!$C$26*(1+Title_RESULTS!$H$18/100)^('Sheet4(F_22)'!A37-Title_RESULTS!$H$7))/1000</f>
        <v>110.8448392443416</v>
      </c>
      <c r="G37" s="5">
        <f>(+E37+F37)*Partcipation!$H37</f>
        <v>147.07575174781385</v>
      </c>
      <c r="H37" s="5">
        <f>+'Sheet5(p_5)'!$F37*'Sheet2(F_12)'!$I37</f>
        <v>1346.9581397724635</v>
      </c>
      <c r="I37" s="5"/>
      <c r="J37" s="5"/>
    </row>
    <row r="38" spans="1:10" ht="12.75">
      <c r="A38">
        <f t="shared" si="0"/>
        <v>2042</v>
      </c>
      <c r="B38" s="5">
        <f>VLOOKUP(A38,'Value of Defferal'!$I45:$P$58,'Value of Defferal'!$K$9)</f>
        <v>14.229039522108739</v>
      </c>
      <c r="C38" s="5">
        <f>IF(+Title_RESULTS!$H$9&lt;='Sheet4(F_22)'!$A38,(+Title_RESULTS!$H$16*((1+Title_RESULTS!$H$18/100)^('Sheet4(F_22)'!$A38-Title_RESULTS!$H$7))*Title_RESULTS!$C$8*Partcipation!$C$26/1000),0)</f>
        <v>26.654808628084517</v>
      </c>
      <c r="D38" s="5">
        <f>(+B38+C38)*+Partcipation!$H38</f>
        <v>40.88384815019326</v>
      </c>
      <c r="E38" s="5">
        <f>VLOOKUP(A38,'Value of Defferal'!$I45:$P$58,'Value of Defferal'!$K$13)</f>
        <v>35.05986925291469</v>
      </c>
      <c r="F38" s="5">
        <f>IF(+'Value of Defferal'!P45=0,0,Title_RESULTS!$H$17*Title_RESULTS!$C$7*Partcipation!$C$26*(1+Title_RESULTS!$H$18/100)^('Sheet4(F_22)'!A38-Title_RESULTS!$H$7))/1000</f>
        <v>113.50511538620577</v>
      </c>
      <c r="G38" s="5">
        <f>(+E38+F38)*Partcipation!$H38</f>
        <v>148.56498463912047</v>
      </c>
      <c r="H38" s="5">
        <f>+'Sheet5(p_5)'!$F38*'Sheet2(F_12)'!$I38</f>
        <v>1440.0401898363132</v>
      </c>
      <c r="I38" s="5"/>
      <c r="J38" s="5"/>
    </row>
    <row r="39" spans="1:10" ht="12.75">
      <c r="A39">
        <f t="shared" si="0"/>
        <v>2043</v>
      </c>
      <c r="B39" s="5">
        <f>VLOOKUP(A39,'Value of Defferal'!$I46:$P$58,'Value of Defferal'!$K$9)</f>
        <v>13.753771899914257</v>
      </c>
      <c r="C39" s="5">
        <f>IF(+Title_RESULTS!$H$9&lt;='Sheet4(F_22)'!$A39,(+Title_RESULTS!$H$16*((1+Title_RESULTS!$H$18/100)^('Sheet4(F_22)'!$A39-Title_RESULTS!$H$7))*Title_RESULTS!$C$8*Partcipation!$C$26/1000),0)</f>
        <v>27.294524035158553</v>
      </c>
      <c r="D39" s="5">
        <f>(+B39+C39)*+Partcipation!$H39</f>
        <v>41.04829593507281</v>
      </c>
      <c r="E39" s="5">
        <f>VLOOKUP(A39,'Value of Defferal'!$I46:$P$58,'Value of Defferal'!$K$13)</f>
        <v>33.88882600235713</v>
      </c>
      <c r="F39" s="5">
        <f>IF(+'Value of Defferal'!P46=0,0,Title_RESULTS!$H$17*Title_RESULTS!$C$7*Partcipation!$C$26*(1+Title_RESULTS!$H$18/100)^('Sheet4(F_22)'!A39-Title_RESULTS!$H$7))/1000</f>
        <v>116.22923815547475</v>
      </c>
      <c r="G39" s="5">
        <f>(+E39+F39)*Partcipation!$H39</f>
        <v>150.11806415783187</v>
      </c>
      <c r="H39" s="5">
        <f>+'Sheet5(p_5)'!$F39*'Sheet2(F_12)'!$I39</f>
        <v>1474.2240394125845</v>
      </c>
      <c r="I39" s="5"/>
      <c r="J39" s="5"/>
    </row>
    <row r="40" spans="1:10" ht="12.75">
      <c r="A40">
        <f t="shared" si="0"/>
        <v>2044</v>
      </c>
      <c r="B40" s="5">
        <f>VLOOKUP(A40,'Value of Defferal'!$I47:$P$58,'Value of Defferal'!$K$9)</f>
        <v>13.278504277719778</v>
      </c>
      <c r="C40" s="5">
        <f>IF(+Title_RESULTS!$H$9&lt;='Sheet4(F_22)'!$A40,(+Title_RESULTS!$H$16*((1+Title_RESULTS!$H$18/100)^('Sheet4(F_22)'!$A40-Title_RESULTS!$H$7))*Title_RESULTS!$C$8*Partcipation!$C$26/1000),0)</f>
        <v>27.94959261200235</v>
      </c>
      <c r="D40" s="5">
        <f>(+B40+C40)*+Partcipation!$H40</f>
        <v>41.228096889722124</v>
      </c>
      <c r="E40" s="5">
        <f>VLOOKUP(A40,'Value of Defferal'!$I47:$P$58,'Value of Defferal'!$K$13)</f>
        <v>32.717782751799575</v>
      </c>
      <c r="F40" s="5">
        <f>IF(+'Value of Defferal'!P47=0,0,Title_RESULTS!$H$17*Title_RESULTS!$C$7*Partcipation!$C$26*(1+Title_RESULTS!$H$18/100)^('Sheet4(F_22)'!A40-Title_RESULTS!$H$7))/1000</f>
        <v>119.0187398712061</v>
      </c>
      <c r="G40" s="5">
        <f>(+E40+F40)*Partcipation!$H40</f>
        <v>151.73652262300567</v>
      </c>
      <c r="H40" s="5">
        <f>+'Sheet5(p_5)'!$F40*'Sheet2(F_12)'!$I40</f>
        <v>1417.4836800359042</v>
      </c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88</v>
      </c>
      <c r="B42" s="5">
        <f aca="true" t="shared" si="1" ref="B42:H42">SUM(B16:B41)</f>
        <v>437.456907104339</v>
      </c>
      <c r="C42" s="5">
        <f t="shared" si="1"/>
        <v>517.5758419034623</v>
      </c>
      <c r="D42" s="5">
        <f t="shared" si="1"/>
        <v>955.0327490078009</v>
      </c>
      <c r="E42" s="5">
        <f t="shared" si="1"/>
        <v>1077.8789350491315</v>
      </c>
      <c r="F42" s="5">
        <f t="shared" si="1"/>
        <v>2204.011534131461</v>
      </c>
      <c r="G42" s="5">
        <f t="shared" si="1"/>
        <v>3281.8904691805924</v>
      </c>
      <c r="H42" s="5">
        <f t="shared" si="1"/>
        <v>22745.826740976878</v>
      </c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90</v>
      </c>
      <c r="B44" s="5">
        <f>NPV(Title_RESULTS!$C$37,'Sheet4(F_22)'!B17:B41)+'Sheet4(F_22)'!B16</f>
        <v>208.97839165248158</v>
      </c>
      <c r="C44" s="5">
        <f>NPV(Title_RESULTS!$C$37,'Sheet4(F_22)'!C17:C41)+'Sheet4(F_22)'!C16</f>
        <v>227.7020891587291</v>
      </c>
      <c r="D44" s="5">
        <f>NPV(Title_RESULTS!$C$37,'Sheet4(F_22)'!D17:D41)+'Sheet4(F_22)'!D16</f>
        <v>436.6804808112107</v>
      </c>
      <c r="E44" s="5">
        <f>NPV(Title_RESULTS!$C$37,'Sheet4(F_22)'!E17:E41)+'Sheet4(F_22)'!E16</f>
        <v>514.9156467403348</v>
      </c>
      <c r="F44" s="5">
        <f>NPV(Title_RESULTS!$C$37,'Sheet4(F_22)'!F17:F41)+'Sheet4(F_22)'!F16</f>
        <v>969.6318688407322</v>
      </c>
      <c r="G44" s="5">
        <f>NPV(Title_RESULTS!$C$37,'Sheet4(F_22)'!G17:G41)+'Sheet4(F_22)'!G16</f>
        <v>1484.547515581067</v>
      </c>
      <c r="H44" s="5">
        <f>NPV(Title_RESULTS!$C$37,'Sheet4(F_22)'!H17:H41)+'Sheet4(F_22)'!H16</f>
        <v>9043.367855570858</v>
      </c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ht="12.75">
      <c r="A4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ENERGY STAR Certified Home</v>
      </c>
      <c r="P2" t="s">
        <v>121</v>
      </c>
    </row>
    <row r="3" ht="12.75">
      <c r="P3" s="35">
        <f>+Title_RESULTS!I4</f>
        <v>43599.32860648148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25</v>
      </c>
      <c r="E16" s="5">
        <f>IF(+'Sheet9(F_25)'!$A16&gt;=Title_RESULTS!$H$8,0,((Partcipation!$B16-Partcipation!$B15)*(Title_RESULTS!$C$39*((1+Title_RESULTS!$C$41/100)^('Sheet9(F_25)'!$A16-Title_RESULTS!$H$7)))/1000))</f>
        <v>4090.05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4090.05</v>
      </c>
      <c r="H16" s="5">
        <f>IF(Partcipation!$B17&lt;Partcipation!$B16,0,IF(Partcipation!$B16=0,0,(Partcipation!$B16-Partcipation!$B15)*(+Title_RESULTS!$C$29*(1+Title_RESULTS!$C$30/100)^(+'Sheet8(F_24)'!$A16-Title_RESULTS!$H$7))/1000))</f>
        <v>4987.25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4987.25</v>
      </c>
      <c r="K16" s="5">
        <f>(+Partcipation!$B15+(Partcipation!$B16-Partcipation!$B15)/2)*(+Title_RESULTS!$C$14)/1000</f>
        <v>2689.1295</v>
      </c>
      <c r="L16" s="5">
        <f>($K16)*Partcipation!$E73*Title_RESULTS!$C$12/100</f>
        <v>65.46988406583492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159.6347945085</v>
      </c>
      <c r="N16" s="5">
        <f>'Sheet2(F_12)'!$I16*('Sheet6(p_6)'!$L16+'Sheet6(p_6)'!$M16)</f>
        <v>225.1046785743349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25.6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25.6</v>
      </c>
      <c r="E17" s="5">
        <f>IF(+'Sheet9(F_25)'!$A17&gt;=Title_RESULTS!$H$8,0,((Partcipation!$B17-Partcipation!$B16)*(Title_RESULTS!$C$39*((1+Title_RESULTS!$C$41/100)^('Sheet9(F_25)'!$A17-Title_RESULTS!$H$7)))/1000))</f>
        <v>4090.05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4090.05</v>
      </c>
      <c r="H17" s="5">
        <f>IF(Partcipation!$B18&lt;Partcipation!$B17,0,IF(Partcipation!$B17=0,0,(Partcipation!$B17-Partcipation!$B16)*(+Title_RESULTS!$C$29*(1+Title_RESULTS!$C$30/100)^(+'Sheet8(F_24)'!$A17-Title_RESULTS!$H$7))/1000))</f>
        <v>5101.956749999999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5101.956749999999</v>
      </c>
      <c r="K17" s="5">
        <f>(+Partcipation!$B16+(Partcipation!$B17-Partcipation!$B16)/2)*(+Title_RESULTS!$C$14)/1000</f>
        <v>8067.3885</v>
      </c>
      <c r="L17" s="5">
        <f>($K17)*Partcipation!$E74*Title_RESULTS!$C$12/100</f>
        <v>205.75747179746773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483.69342736075504</v>
      </c>
      <c r="N17" s="5">
        <f>'Sheet2(F_12)'!$I17*('Sheet6(p_6)'!$L17+'Sheet6(p_6)'!$M17)</f>
        <v>689.4508991582228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26.214399999999998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26.214399999999998</v>
      </c>
      <c r="E18" s="5">
        <f>IF(+'Sheet9(F_25)'!$A18&gt;=Title_RESULTS!$H$8,0,((Partcipation!$B18-Partcipation!$B17)*(Title_RESULTS!$C$39*((1+Title_RESULTS!$C$41/100)^('Sheet9(F_25)'!$A18-Title_RESULTS!$H$7)))/1000))</f>
        <v>4090.05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4090.05</v>
      </c>
      <c r="H18" s="5">
        <f>IF(Partcipation!$B19&lt;Partcipation!$B18,0,IF(Partcipation!$B18=0,0,(Partcipation!$B18-Partcipation!$B17)*(+Title_RESULTS!$C$29*(1+Title_RESULTS!$C$30/100)^(+'Sheet8(F_24)'!$A18-Title_RESULTS!$H$7))/1000))</f>
        <v>5219.301755249999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5219.301755249999</v>
      </c>
      <c r="K18" s="5">
        <f>(+Partcipation!$B17+(Partcipation!$B18-Partcipation!$B17)/2)*(+Title_RESULTS!$C$14)/1000</f>
        <v>13445.6475</v>
      </c>
      <c r="L18" s="5">
        <f>($K18)*Partcipation!$E75*Title_RESULTS!$C$12/100</f>
        <v>355.5610468690762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814.2172693906041</v>
      </c>
      <c r="N18" s="5">
        <f>'Sheet2(F_12)'!$I18*('Sheet6(p_6)'!$L18+'Sheet6(p_6)'!$M18)</f>
        <v>1169.7783162596802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4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4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4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40">SUM(H19:I19)</f>
        <v>0</v>
      </c>
      <c r="K19" s="5">
        <f>(+Partcipation!$B18+(Partcipation!$B19-Partcipation!$B18)/2)*(+Title_RESULTS!$C$14)/1000</f>
        <v>16134.777</v>
      </c>
      <c r="L19" s="5">
        <f>($K19)*Partcipation!$E76*Title_RESULTS!$C$12/100</f>
        <v>423.17564980831565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986.8313305014123</v>
      </c>
      <c r="N19" s="5">
        <f>'Sheet2(F_12)'!$I19*('Sheet6(p_6)'!$L19+'Sheet6(p_6)'!$M19)</f>
        <v>1410.0069803097279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16134.777</v>
      </c>
      <c r="L20" s="5">
        <f>($K20)*Partcipation!$E77*Title_RESULTS!$C$12/100</f>
        <v>447.17805990827395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996.6996438064265</v>
      </c>
      <c r="N20" s="5">
        <f>'Sheet2(F_12)'!$I20*('Sheet6(p_6)'!$L20+'Sheet6(p_6)'!$M20)</f>
        <v>1443.8777037147004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16134.777</v>
      </c>
      <c r="L21" s="5">
        <f>($K21)*Partcipation!$E78*Title_RESULTS!$C$12/100</f>
        <v>472.8454889013029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1006.6666402444907</v>
      </c>
      <c r="N21" s="5">
        <f>'Sheet2(F_12)'!$I21*('Sheet6(p_6)'!$L21+'Sheet6(p_6)'!$M21)</f>
        <v>1479.5121291457936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16134.777</v>
      </c>
      <c r="L22" s="5">
        <f>($K22)*Partcipation!$E79*Title_RESULTS!$C$12/100</f>
        <v>494.2248035471687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1016.7333066469358</v>
      </c>
      <c r="N22" s="5">
        <f>'Sheet2(F_12)'!$I22*('Sheet6(p_6)'!$L22+'Sheet6(p_6)'!$M22)</f>
        <v>1510.9581101941044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16134.777</v>
      </c>
      <c r="L23" s="5">
        <f>($K23)*Partcipation!$E80*Title_RESULTS!$C$12/100</f>
        <v>523.3252383532786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1026.9006397134049</v>
      </c>
      <c r="N23" s="5">
        <f>'Sheet2(F_12)'!$I23*('Sheet6(p_6)'!$L23+'Sheet6(p_6)'!$M23)</f>
        <v>1550.2258780666834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16134.777</v>
      </c>
      <c r="L24" s="5">
        <f>($K24)*Partcipation!$E81*Title_RESULTS!$C$12/100</f>
        <v>572.8815801200199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1037.1696461105391</v>
      </c>
      <c r="N24" s="5">
        <f>'Sheet2(F_12)'!$I24*('Sheet6(p_6)'!$L24+'Sheet6(p_6)'!$M24)</f>
        <v>1610.051226230559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16134.777</v>
      </c>
      <c r="L25" s="5">
        <f>($K25)*Partcipation!$E82*Title_RESULTS!$C$12/100</f>
        <v>602.0686066481351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1047.5413425716447</v>
      </c>
      <c r="N25" s="5">
        <f>'Sheet2(F_12)'!$I25*('Sheet6(p_6)'!$L25+'Sheet6(p_6)'!$M25)</f>
        <v>1649.6099492197798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16134.777</v>
      </c>
      <c r="L26" s="5">
        <f>($K26)*Partcipation!$E83*Title_RESULTS!$C$12/100</f>
        <v>655.9850468164421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1058.016755997361</v>
      </c>
      <c r="N26" s="5">
        <f>'Sheet2(F_12)'!$I26*('Sheet6(p_6)'!$L26+'Sheet6(p_6)'!$M26)</f>
        <v>1714.0018028138034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16134.777</v>
      </c>
      <c r="L27" s="5">
        <f>($K27)*Partcipation!$E84*Title_RESULTS!$C$12/100</f>
        <v>678.5982172059041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1068.5969235573345</v>
      </c>
      <c r="N27" s="5">
        <f>'Sheet2(F_12)'!$I27*('Sheet6(p_6)'!$L27+'Sheet6(p_6)'!$M27)</f>
        <v>1747.1951407632387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16134.777</v>
      </c>
      <c r="L28" s="5">
        <f>($K28)*Partcipation!$E85*Title_RESULTS!$C$12/100</f>
        <v>727.0169110677016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1079.282892792908</v>
      </c>
      <c r="N28" s="5">
        <f>'Sheet2(F_12)'!$I28*('Sheet6(p_6)'!$L28+'Sheet6(p_6)'!$M28)</f>
        <v>1806.2998038606095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16134.777</v>
      </c>
      <c r="L29" s="5">
        <f>($K29)*Partcipation!$E86*Title_RESULTS!$C$12/100</f>
        <v>742.2663698124459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1090.075721720837</v>
      </c>
      <c r="N29" s="5">
        <f>'Sheet2(F_12)'!$I29*('Sheet6(p_6)'!$L29+'Sheet6(p_6)'!$M29)</f>
        <v>1832.3420915332829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16134.777</v>
      </c>
      <c r="L30" s="5">
        <f>($K30)*Partcipation!$E87*Title_RESULTS!$C$12/100</f>
        <v>791.2891779365075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1100.9764789380456</v>
      </c>
      <c r="N30" s="5">
        <f>'Sheet2(F_12)'!$I30*('Sheet6(p_6)'!$L30+'Sheet6(p_6)'!$M30)</f>
        <v>1892.265656874553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0</v>
      </c>
      <c r="D31" s="5">
        <f t="shared" si="1"/>
        <v>0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0</v>
      </c>
      <c r="G31" s="5">
        <f t="shared" si="2"/>
        <v>0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16134.777</v>
      </c>
      <c r="L31" s="5">
        <f>($K31)*Partcipation!$E88*Title_RESULTS!$C$12/100</f>
        <v>824.9561434704266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1111.9862437274257</v>
      </c>
      <c r="N31" s="5">
        <f>'Sheet2(F_12)'!$I31*('Sheet6(p_6)'!$L31+'Sheet6(p_6)'!$M31)</f>
        <v>1936.9423871978524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0</v>
      </c>
      <c r="D32" s="5">
        <f t="shared" si="1"/>
        <v>0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0</v>
      </c>
      <c r="G32" s="5">
        <f t="shared" si="2"/>
        <v>0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16134.777</v>
      </c>
      <c r="L32" s="5">
        <f>($K32)*Partcipation!$E89*Title_RESULTS!$C$12/100</f>
        <v>852.6865804940105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1123.1061061647003</v>
      </c>
      <c r="N32" s="5">
        <f>'Sheet2(F_12)'!$I32*('Sheet6(p_6)'!$L32+'Sheet6(p_6)'!$M32)</f>
        <v>1975.7926866587109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0</v>
      </c>
      <c r="D33" s="5">
        <f t="shared" si="1"/>
        <v>0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0</v>
      </c>
      <c r="G33" s="5">
        <f t="shared" si="2"/>
        <v>0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16134.777</v>
      </c>
      <c r="L33" s="5">
        <f>($K33)*Partcipation!$E90*Title_RESULTS!$C$12/100</f>
        <v>900.4459329251168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1134.3371672263474</v>
      </c>
      <c r="N33" s="5">
        <f>'Sheet2(F_12)'!$I33*('Sheet6(p_6)'!$L33+'Sheet6(p_6)'!$M33)</f>
        <v>2034.7831001514642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1:18" ht="12.75">
      <c r="A34">
        <f t="shared" si="0"/>
        <v>2038</v>
      </c>
      <c r="B34" s="5">
        <f>IF(+'Sheet9(F_25)'!$A34&gt;=Title_RESULTS!$H$8,0,((Partcipation!$B34-Partcipation!$B33)*(Title_RESULTS!$C$26*((1+Title_RESULTS!$C$28/100)^('Sheet9(F_25)'!$A34-Title_RESULTS!$H$7)))/1000))</f>
        <v>0</v>
      </c>
      <c r="C34" s="5">
        <f>(Partcipation!$C33+(Partcipation!$C34-Partcipation!$C33)/2)*(Title_RESULTS!$C$27*((1+Title_RESULTS!$C$28/100)^('Sheet9(F_25)'!$A34-Title_RESULTS!$H$7)))/1000</f>
        <v>0</v>
      </c>
      <c r="D34" s="5">
        <f t="shared" si="1"/>
        <v>0</v>
      </c>
      <c r="E34" s="5">
        <f>IF(+'Sheet9(F_25)'!$A34&gt;=Title_RESULTS!$H$8,0,((Partcipation!$B34-Partcipation!$B33)*(Title_RESULTS!$C$39*((1+Title_RESULTS!$C$41/100)^('Sheet9(F_25)'!$A34-Title_RESULTS!$H$7)))/1000))</f>
        <v>0</v>
      </c>
      <c r="F34" s="5">
        <f>(Partcipation!$C33+(Partcipation!$C34-Partcipation!$C33)/2)*(Title_RESULTS!$C$40*((1+Title_RESULTS!$C$41/100)^('Sheet9(F_25)'!$A34-Title_RESULTS!$H$7)))/1000</f>
        <v>0</v>
      </c>
      <c r="G34" s="5">
        <f t="shared" si="2"/>
        <v>0</v>
      </c>
      <c r="H34" s="5">
        <f>IF(Partcipation!$B35&lt;Partcipation!$B34,0,IF(Partcipation!$B34=0,0,(Partcipation!$B34-Partcipation!$B33)*(+Title_RESULTS!$C$29*(1+Title_RESULTS!$C$30/100)^(+'Sheet8(F_24)'!$A34-Title_RESULTS!$H$7))/1000))</f>
        <v>0</v>
      </c>
      <c r="I34" s="5">
        <f>IF(+Title_RESULTS!$C$31&lt;0,0,(+Partcipation!$B33+(Partcipation!$B34-Partcipation!$B33)/2)*(+Title_RESULTS!$C$31*(1+Title_RESULTS!$C$32/100)^(+'Sheet6(p_6)'!$A34-Title_RESULTS!$H$7))/1000)</f>
        <v>0</v>
      </c>
      <c r="J34" s="5">
        <f t="shared" si="3"/>
        <v>0</v>
      </c>
      <c r="K34" s="5">
        <f>(+Partcipation!$B33+(Partcipation!$B34-Partcipation!$B33)/2)*(+Title_RESULTS!$C$14)/1000</f>
        <v>16134.777</v>
      </c>
      <c r="L34" s="5">
        <f>($K34)*Partcipation!$E91*Title_RESULTS!$C$12/100</f>
        <v>921.6509439545215</v>
      </c>
      <c r="M34" s="5">
        <f>((+$K34*(Title_RESULTS!$H$30/100)*((1+Title_RESULTS!$H$31/100)^('Sheet9(F_25)'!$A34-Title_RESULTS!$H$7)))+((Title_RESULTS!$H$32*Title_RESULTS!$H$35*12*Title_RESULTS!$C$7/1000)*(Partcipation!$B33+(Partcipation!$B34-Partcipation!$B33)/2))*((1+Title_RESULTS!$H$33/100)^('Sheet9(F_25)'!$A34-Title_RESULTS!$H$7)))</f>
        <v>1145.6805388986108</v>
      </c>
      <c r="N34" s="5">
        <f>'Sheet2(F_12)'!$I34*('Sheet6(p_6)'!$L34+'Sheet6(p_6)'!$M34)</f>
        <v>2067.3314828531325</v>
      </c>
      <c r="O34" s="5">
        <f>(Partcipation!$B33+(Partcipation!$B34-Partcipation!$B33)/2)*(Title_RESULTS!$C$13)/1000</f>
        <v>0</v>
      </c>
      <c r="P34" s="5">
        <f>($O34)*'Sheet2(F_12)'!$D34*Title_RESULTS!$C$12/100</f>
        <v>0</v>
      </c>
      <c r="Q34" s="5">
        <f>+$O34*((Title_RESULTS!$H$30/100)*((1+Title_RESULTS!$H$31/100)^('Sheet9(F_25)'!$A34-Title_RESULTS!$H$7)))</f>
        <v>0</v>
      </c>
      <c r="R34" s="5">
        <f>+Partcipation!$I34*('Sheet6(p_6)'!$P34-'Sheet6(p_6)'!$Q34)</f>
        <v>0</v>
      </c>
    </row>
    <row r="35" spans="1:18" ht="12.75">
      <c r="A35">
        <f t="shared" si="0"/>
        <v>2039</v>
      </c>
      <c r="B35" s="5">
        <f>IF(+'Sheet9(F_25)'!$A35&gt;=Title_RESULTS!$H$8,0,((Partcipation!$B35-Partcipation!$B34)*(Title_RESULTS!$C$26*((1+Title_RESULTS!$C$28/100)^('Sheet9(F_25)'!$A35-Title_RESULTS!$H$7)))/1000))</f>
        <v>0</v>
      </c>
      <c r="C35" s="5">
        <f>(Partcipation!$C34+(Partcipation!$C35-Partcipation!$C34)/2)*(Title_RESULTS!$C$27*((1+Title_RESULTS!$C$28/100)^('Sheet9(F_25)'!$A35-Title_RESULTS!$H$7)))/1000</f>
        <v>0</v>
      </c>
      <c r="D35" s="5">
        <f t="shared" si="1"/>
        <v>0</v>
      </c>
      <c r="E35" s="5">
        <f>IF(+'Sheet9(F_25)'!$A35&gt;=Title_RESULTS!$H$8,0,((Partcipation!$B35-Partcipation!$B34)*(Title_RESULTS!$C$39*((1+Title_RESULTS!$C$41/100)^('Sheet9(F_25)'!$A35-Title_RESULTS!$H$7)))/1000))</f>
        <v>0</v>
      </c>
      <c r="F35" s="5">
        <f>(Partcipation!$C34+(Partcipation!$C35-Partcipation!$C34)/2)*(Title_RESULTS!$C$40*((1+Title_RESULTS!$C$41/100)^('Sheet9(F_25)'!$A35-Title_RESULTS!$H$7)))/1000</f>
        <v>0</v>
      </c>
      <c r="G35" s="5">
        <f t="shared" si="2"/>
        <v>0</v>
      </c>
      <c r="H35" s="5">
        <f>IF(Partcipation!$B36&lt;Partcipation!$B35,0,IF(Partcipation!$B35=0,0,(Partcipation!$B35-Partcipation!$B34)*(+Title_RESULTS!$C$29*(1+Title_RESULTS!$C$30/100)^(+'Sheet8(F_24)'!$A35-Title_RESULTS!$H$7))/1000))</f>
        <v>0</v>
      </c>
      <c r="I35" s="5">
        <f>IF(+Title_RESULTS!$C$31&lt;0,0,(+Partcipation!$B34+(Partcipation!$B35-Partcipation!$B34)/2)*(+Title_RESULTS!$C$31*(1+Title_RESULTS!$C$32/100)^(+'Sheet6(p_6)'!$A35-Title_RESULTS!$H$7))/1000)</f>
        <v>0</v>
      </c>
      <c r="J35" s="5">
        <f t="shared" si="3"/>
        <v>0</v>
      </c>
      <c r="K35" s="5">
        <f>(+Partcipation!$B34+(Partcipation!$B35-Partcipation!$B34)/2)*(+Title_RESULTS!$C$14)/1000</f>
        <v>16134.777</v>
      </c>
      <c r="L35" s="5">
        <f>($K35)*Partcipation!$E92*Title_RESULTS!$C$12/100</f>
        <v>956.9768591583269</v>
      </c>
      <c r="M35" s="5">
        <f>((+$K35*(Title_RESULTS!$H$30/100)*((1+Title_RESULTS!$H$31/100)^('Sheet9(F_25)'!$A35-Title_RESULTS!$H$7)))+((Title_RESULTS!$H$32*Title_RESULTS!$H$35*12*Title_RESULTS!$C$7/1000)*(Partcipation!$B34+(Partcipation!$B35-Partcipation!$B34)/2))*((1+Title_RESULTS!$H$33/100)^('Sheet9(F_25)'!$A35-Title_RESULTS!$H$7)))</f>
        <v>1157.1373442875968</v>
      </c>
      <c r="N35" s="5">
        <f>'Sheet2(F_12)'!$I35*('Sheet6(p_6)'!$L35+'Sheet6(p_6)'!$M35)</f>
        <v>2114.1142034459235</v>
      </c>
      <c r="O35" s="5">
        <f>(Partcipation!$B34+(Partcipation!$B35-Partcipation!$B34)/2)*(Title_RESULTS!$C$13)/1000</f>
        <v>0</v>
      </c>
      <c r="P35" s="5">
        <f>($O35)*'Sheet2(F_12)'!$D35*Title_RESULTS!$C$12/100</f>
        <v>0</v>
      </c>
      <c r="Q35" s="5">
        <f>+$O35*((Title_RESULTS!$H$30/100)*((1+Title_RESULTS!$H$31/100)^('Sheet9(F_25)'!$A35-Title_RESULTS!$H$7)))</f>
        <v>0</v>
      </c>
      <c r="R35" s="5">
        <f>+Partcipation!$I35*('Sheet6(p_6)'!$P35-'Sheet6(p_6)'!$Q35)</f>
        <v>0</v>
      </c>
    </row>
    <row r="36" spans="1:18" ht="12.75">
      <c r="A36">
        <f t="shared" si="0"/>
        <v>2040</v>
      </c>
      <c r="B36" s="5">
        <f>IF(+'Sheet9(F_25)'!$A36&gt;=Title_RESULTS!$H$8,0,((Partcipation!$B36-Partcipation!$B35)*(Title_RESULTS!$C$26*((1+Title_RESULTS!$C$28/100)^('Sheet9(F_25)'!$A36-Title_RESULTS!$H$7)))/1000))</f>
        <v>0</v>
      </c>
      <c r="C36" s="5">
        <f>(Partcipation!$C35+(Partcipation!$C36-Partcipation!$C35)/2)*(Title_RESULTS!$C$27*((1+Title_RESULTS!$C$28/100)^('Sheet9(F_25)'!$A36-Title_RESULTS!$H$7)))/1000</f>
        <v>0</v>
      </c>
      <c r="D36" s="5">
        <f t="shared" si="1"/>
        <v>0</v>
      </c>
      <c r="E36" s="5">
        <f>IF(+'Sheet9(F_25)'!$A36&gt;=Title_RESULTS!$H$8,0,((Partcipation!$B36-Partcipation!$B35)*(Title_RESULTS!$C$39*((1+Title_RESULTS!$C$41/100)^('Sheet9(F_25)'!$A36-Title_RESULTS!$H$7)))/1000))</f>
        <v>0</v>
      </c>
      <c r="F36" s="5">
        <f>(Partcipation!$C35+(Partcipation!$C36-Partcipation!$C35)/2)*(Title_RESULTS!$C$40*((1+Title_RESULTS!$C$41/100)^('Sheet9(F_25)'!$A36-Title_RESULTS!$H$7)))/1000</f>
        <v>0</v>
      </c>
      <c r="G36" s="5">
        <f t="shared" si="2"/>
        <v>0</v>
      </c>
      <c r="H36" s="5">
        <f>IF(Partcipation!$B37&lt;Partcipation!$B36,0,IF(Partcipation!$B36=0,0,(Partcipation!$B36-Partcipation!$B35)*(+Title_RESULTS!$C$29*(1+Title_RESULTS!$C$30/100)^(+'Sheet8(F_24)'!$A36-Title_RESULTS!$H$7))/1000))</f>
        <v>0</v>
      </c>
      <c r="I36" s="5">
        <f>IF(+Title_RESULTS!$C$31&lt;0,0,(+Partcipation!$B35+(Partcipation!$B36-Partcipation!$B35)/2)*(+Title_RESULTS!$C$31*(1+Title_RESULTS!$C$32/100)^(+'Sheet6(p_6)'!$A36-Title_RESULTS!$H$7))/1000)</f>
        <v>0</v>
      </c>
      <c r="J36" s="5">
        <f t="shared" si="3"/>
        <v>0</v>
      </c>
      <c r="K36" s="5">
        <f>(+Partcipation!$B35+(Partcipation!$B36-Partcipation!$B35)/2)*(+Title_RESULTS!$C$14)/1000</f>
        <v>16134.777</v>
      </c>
      <c r="L36" s="5">
        <f>($K36)*Partcipation!$E93*Title_RESULTS!$C$12/100</f>
        <v>967.9826844531563</v>
      </c>
      <c r="M36" s="5">
        <f>((+$K36*(Title_RESULTS!$H$30/100)*((1+Title_RESULTS!$H$31/100)^('Sheet9(F_25)'!$A36-Title_RESULTS!$H$7)))+((Title_RESULTS!$H$32*Title_RESULTS!$H$35*12*Title_RESULTS!$C$7/1000)*(Partcipation!$B35+(Partcipation!$B36-Partcipation!$B35)/2))*((1+Title_RESULTS!$H$33/100)^('Sheet9(F_25)'!$A36-Title_RESULTS!$H$7)))</f>
        <v>1168.7087177304727</v>
      </c>
      <c r="N36" s="5">
        <f>'Sheet2(F_12)'!$I36*('Sheet6(p_6)'!$L36+'Sheet6(p_6)'!$M36)</f>
        <v>2136.691402183629</v>
      </c>
      <c r="O36" s="5">
        <f>(Partcipation!$B35+(Partcipation!$B36-Partcipation!$B35)/2)*(Title_RESULTS!$C$13)/1000</f>
        <v>0</v>
      </c>
      <c r="P36" s="5">
        <f>($O36)*'Sheet2(F_12)'!$D36*Title_RESULTS!$C$12/100</f>
        <v>0</v>
      </c>
      <c r="Q36" s="5">
        <f>+$O36*((Title_RESULTS!$H$30/100)*((1+Title_RESULTS!$H$31/100)^('Sheet9(F_25)'!$A36-Title_RESULTS!$H$7)))</f>
        <v>0</v>
      </c>
      <c r="R36" s="5">
        <f>+Partcipation!$I36*('Sheet6(p_6)'!$P36-'Sheet6(p_6)'!$Q36)</f>
        <v>0</v>
      </c>
    </row>
    <row r="37" spans="1:18" ht="12.75">
      <c r="A37">
        <f t="shared" si="0"/>
        <v>2041</v>
      </c>
      <c r="B37" s="5">
        <f>IF(+'Sheet9(F_25)'!$A37&gt;=Title_RESULTS!$H$8,0,((Partcipation!$B37-Partcipation!$B36)*(Title_RESULTS!$C$26*((1+Title_RESULTS!$C$28/100)^('Sheet9(F_25)'!$A37-Title_RESULTS!$H$7)))/1000))</f>
        <v>0</v>
      </c>
      <c r="C37" s="5">
        <f>(Partcipation!$C36+(Partcipation!$C37-Partcipation!$C36)/2)*(Title_RESULTS!$C$27*((1+Title_RESULTS!$C$28/100)^('Sheet9(F_25)'!$A37-Title_RESULTS!$H$7)))/1000</f>
        <v>0</v>
      </c>
      <c r="D37" s="5">
        <f t="shared" si="1"/>
        <v>0</v>
      </c>
      <c r="E37" s="5">
        <f>IF(+'Sheet9(F_25)'!$A37&gt;=Title_RESULTS!$H$8,0,((Partcipation!$B37-Partcipation!$B36)*(Title_RESULTS!$C$39*((1+Title_RESULTS!$C$41/100)^('Sheet9(F_25)'!$A37-Title_RESULTS!$H$7)))/1000))</f>
        <v>0</v>
      </c>
      <c r="F37" s="5">
        <f>(Partcipation!$C36+(Partcipation!$C37-Partcipation!$C36)/2)*(Title_RESULTS!$C$40*((1+Title_RESULTS!$C$41/100)^('Sheet9(F_25)'!$A37-Title_RESULTS!$H$7)))/1000</f>
        <v>0</v>
      </c>
      <c r="G37" s="5">
        <f t="shared" si="2"/>
        <v>0</v>
      </c>
      <c r="H37" s="5">
        <f>IF(Partcipation!$B38&lt;Partcipation!$B37,0,IF(Partcipation!$B37=0,0,(Partcipation!$B37-Partcipation!$B36)*(+Title_RESULTS!$C$29*(1+Title_RESULTS!$C$30/100)^(+'Sheet8(F_24)'!$A37-Title_RESULTS!$H$7))/1000))</f>
        <v>0</v>
      </c>
      <c r="I37" s="5">
        <f>IF(+Title_RESULTS!$C$31&lt;0,0,(+Partcipation!$B36+(Partcipation!$B37-Partcipation!$B36)/2)*(+Title_RESULTS!$C$31*(1+Title_RESULTS!$C$32/100)^(+'Sheet6(p_6)'!$A37-Title_RESULTS!$H$7))/1000)</f>
        <v>0</v>
      </c>
      <c r="J37" s="5">
        <f t="shared" si="3"/>
        <v>0</v>
      </c>
      <c r="K37" s="5">
        <f>(+Partcipation!$B36+(Partcipation!$B37-Partcipation!$B36)/2)*(+Title_RESULTS!$C$14)/1000</f>
        <v>16134.777</v>
      </c>
      <c r="L37" s="5">
        <f>($K37)*Partcipation!$E94*Title_RESULTS!$C$12/100</f>
        <v>1016.052284794348</v>
      </c>
      <c r="M37" s="5">
        <f>((+$K37*(Title_RESULTS!$H$30/100)*((1+Title_RESULTS!$H$31/100)^('Sheet9(F_25)'!$A37-Title_RESULTS!$H$7)))+((Title_RESULTS!$H$32*Title_RESULTS!$H$35*12*Title_RESULTS!$C$7/1000)*(Partcipation!$B36+(Partcipation!$B37-Partcipation!$B36)/2))*((1+Title_RESULTS!$H$33/100)^('Sheet9(F_25)'!$A37-Title_RESULTS!$H$7)))</f>
        <v>1180.3958049077773</v>
      </c>
      <c r="N37" s="5">
        <f>'Sheet2(F_12)'!$I37*('Sheet6(p_6)'!$L37+'Sheet6(p_6)'!$M37)</f>
        <v>2196.4480897021253</v>
      </c>
      <c r="O37" s="5">
        <f>(Partcipation!$B36+(Partcipation!$B37-Partcipation!$B36)/2)*(Title_RESULTS!$C$13)/1000</f>
        <v>0</v>
      </c>
      <c r="P37" s="5">
        <f>($O37)*'Sheet2(F_12)'!$D37*Title_RESULTS!$C$12/100</f>
        <v>0</v>
      </c>
      <c r="Q37" s="5">
        <f>+$O37*((Title_RESULTS!$H$30/100)*((1+Title_RESULTS!$H$31/100)^('Sheet9(F_25)'!$A37-Title_RESULTS!$H$7)))</f>
        <v>0</v>
      </c>
      <c r="R37" s="5">
        <f>+Partcipation!$I37*('Sheet6(p_6)'!$P37-'Sheet6(p_6)'!$Q37)</f>
        <v>0</v>
      </c>
    </row>
    <row r="38" spans="1:18" ht="12.75">
      <c r="A38">
        <f t="shared" si="0"/>
        <v>2042</v>
      </c>
      <c r="B38" s="5">
        <f>IF(+'Sheet9(F_25)'!$A38&gt;=Title_RESULTS!$H$8,0,((Partcipation!$B38-Partcipation!$B37)*(Title_RESULTS!$C$26*((1+Title_RESULTS!$C$28/100)^('Sheet9(F_25)'!$A38-Title_RESULTS!$H$7)))/1000))</f>
        <v>0</v>
      </c>
      <c r="C38" s="5">
        <f>(Partcipation!$C37+(Partcipation!$C38-Partcipation!$C37)/2)*(Title_RESULTS!$C$27*((1+Title_RESULTS!$C$28/100)^('Sheet9(F_25)'!$A38-Title_RESULTS!$H$7)))/1000</f>
        <v>0</v>
      </c>
      <c r="D38" s="5">
        <f t="shared" si="1"/>
        <v>0</v>
      </c>
      <c r="E38" s="5">
        <f>IF(+'Sheet9(F_25)'!$A38&gt;=Title_RESULTS!$H$8,0,((Partcipation!$B38-Partcipation!$B37)*(Title_RESULTS!$C$39*((1+Title_RESULTS!$C$41/100)^('Sheet9(F_25)'!$A38-Title_RESULTS!$H$7)))/1000))</f>
        <v>0</v>
      </c>
      <c r="F38" s="5">
        <f>(Partcipation!$C37+(Partcipation!$C38-Partcipation!$C37)/2)*(Title_RESULTS!$C$40*((1+Title_RESULTS!$C$41/100)^('Sheet9(F_25)'!$A38-Title_RESULTS!$H$7)))/1000</f>
        <v>0</v>
      </c>
      <c r="G38" s="5">
        <f t="shared" si="2"/>
        <v>0</v>
      </c>
      <c r="H38" s="5">
        <f>IF(Partcipation!$B39&lt;Partcipation!$B38,0,IF(Partcipation!$B38=0,0,(Partcipation!$B38-Partcipation!$B37)*(+Title_RESULTS!$C$29*(1+Title_RESULTS!$C$30/100)^(+'Sheet8(F_24)'!$A38-Title_RESULTS!$H$7))/1000))</f>
        <v>0</v>
      </c>
      <c r="I38" s="5">
        <f>IF(+Title_RESULTS!$C$31&lt;0,0,(+Partcipation!$B37+(Partcipation!$B38-Partcipation!$B37)/2)*(+Title_RESULTS!$C$31*(1+Title_RESULTS!$C$32/100)^(+'Sheet6(p_6)'!$A38-Title_RESULTS!$H$7))/1000)</f>
        <v>0</v>
      </c>
      <c r="J38" s="5">
        <f t="shared" si="3"/>
        <v>0</v>
      </c>
      <c r="K38" s="5">
        <f>(+Partcipation!$B37+(Partcipation!$B38-Partcipation!$B37)/2)*(+Title_RESULTS!$C$14)/1000</f>
        <v>16134.777</v>
      </c>
      <c r="L38" s="5">
        <f>($K38)*Partcipation!$E95*Title_RESULTS!$C$12/100</f>
        <v>1063.7088588830297</v>
      </c>
      <c r="M38" s="5">
        <f>((+$K38*(Title_RESULTS!$H$30/100)*((1+Title_RESULTS!$H$31/100)^('Sheet9(F_25)'!$A38-Title_RESULTS!$H$7)))+((Title_RESULTS!$H$32*Title_RESULTS!$H$35*12*Title_RESULTS!$C$7/1000)*(Partcipation!$B37+(Partcipation!$B38-Partcipation!$B37)/2))*((1+Title_RESULTS!$H$33/100)^('Sheet9(F_25)'!$A38-Title_RESULTS!$H$7)))</f>
        <v>1192.1997629568555</v>
      </c>
      <c r="N38" s="5">
        <f>'Sheet2(F_12)'!$I38*('Sheet6(p_6)'!$L38+'Sheet6(p_6)'!$M38)</f>
        <v>2255.908621839885</v>
      </c>
      <c r="O38" s="5">
        <f>(Partcipation!$B37+(Partcipation!$B38-Partcipation!$B37)/2)*(Title_RESULTS!$C$13)/1000</f>
        <v>0</v>
      </c>
      <c r="P38" s="5">
        <f>($O38)*'Sheet2(F_12)'!$D38*Title_RESULTS!$C$12/100</f>
        <v>0</v>
      </c>
      <c r="Q38" s="5">
        <f>+$O38*((Title_RESULTS!$H$30/100)*((1+Title_RESULTS!$H$31/100)^('Sheet9(F_25)'!$A38-Title_RESULTS!$H$7)))</f>
        <v>0</v>
      </c>
      <c r="R38" s="5">
        <f>+Partcipation!$I38*('Sheet6(p_6)'!$P38-'Sheet6(p_6)'!$Q38)</f>
        <v>0</v>
      </c>
    </row>
    <row r="39" spans="1:18" ht="12.75">
      <c r="A39">
        <f t="shared" si="0"/>
        <v>2043</v>
      </c>
      <c r="B39" s="5">
        <f>IF(+'Sheet9(F_25)'!$A39&gt;=Title_RESULTS!$H$8,0,((Partcipation!$B39-Partcipation!$B38)*(Title_RESULTS!$C$26*((1+Title_RESULTS!$C$28/100)^('Sheet9(F_25)'!$A39-Title_RESULTS!$H$7)))/1000))</f>
        <v>0</v>
      </c>
      <c r="C39" s="5">
        <f>(Partcipation!$C38+(Partcipation!$C39-Partcipation!$C38)/2)*(Title_RESULTS!$C$27*((1+Title_RESULTS!$C$28/100)^('Sheet9(F_25)'!$A39-Title_RESULTS!$H$7)))/1000</f>
        <v>0</v>
      </c>
      <c r="D39" s="5">
        <f t="shared" si="1"/>
        <v>0</v>
      </c>
      <c r="E39" s="5">
        <f>IF(+'Sheet9(F_25)'!$A39&gt;=Title_RESULTS!$H$8,0,((Partcipation!$B39-Partcipation!$B38)*(Title_RESULTS!$C$39*((1+Title_RESULTS!$C$41/100)^('Sheet9(F_25)'!$A39-Title_RESULTS!$H$7)))/1000))</f>
        <v>0</v>
      </c>
      <c r="F39" s="5">
        <f>(Partcipation!$C38+(Partcipation!$C39-Partcipation!$C38)/2)*(Title_RESULTS!$C$40*((1+Title_RESULTS!$C$41/100)^('Sheet9(F_25)'!$A39-Title_RESULTS!$H$7)))/1000</f>
        <v>0</v>
      </c>
      <c r="G39" s="5">
        <f t="shared" si="2"/>
        <v>0</v>
      </c>
      <c r="H39" s="5">
        <f>IF(Partcipation!$B40&lt;Partcipation!$B39,0,IF(Partcipation!$B39=0,0,(Partcipation!$B39-Partcipation!$B38)*(+Title_RESULTS!$C$29*(1+Title_RESULTS!$C$30/100)^(+'Sheet8(F_24)'!$A39-Title_RESULTS!$H$7))/1000))</f>
        <v>0</v>
      </c>
      <c r="I39" s="5">
        <f>IF(+Title_RESULTS!$C$31&lt;0,0,(+Partcipation!$B38+(Partcipation!$B39-Partcipation!$B38)/2)*(+Title_RESULTS!$C$31*(1+Title_RESULTS!$C$32/100)^(+'Sheet6(p_6)'!$A39-Title_RESULTS!$H$7))/1000)</f>
        <v>0</v>
      </c>
      <c r="J39" s="5">
        <f t="shared" si="3"/>
        <v>0</v>
      </c>
      <c r="K39" s="5">
        <f>(+Partcipation!$B38+(Partcipation!$B39-Partcipation!$B38)/2)*(+Title_RESULTS!$C$14)/1000</f>
        <v>16134.777</v>
      </c>
      <c r="L39" s="5">
        <f>($K39)*Partcipation!$E96*Title_RESULTS!$C$12/100</f>
        <v>1094.3892908488715</v>
      </c>
      <c r="M39" s="5">
        <f>((+$K39*(Title_RESULTS!$H$30/100)*((1+Title_RESULTS!$H$31/100)^('Sheet9(F_25)'!$A39-Title_RESULTS!$H$7)))+((Title_RESULTS!$H$32*Title_RESULTS!$H$35*12*Title_RESULTS!$C$7/1000)*(Partcipation!$B38+(Partcipation!$B39-Partcipation!$B38)/2))*((1+Title_RESULTS!$H$33/100)^('Sheet9(F_25)'!$A39-Title_RESULTS!$H$7)))</f>
        <v>1204.1217605864238</v>
      </c>
      <c r="N39" s="5">
        <f>'Sheet2(F_12)'!$I39*('Sheet6(p_6)'!$L39+'Sheet6(p_6)'!$M39)</f>
        <v>2298.5110514352955</v>
      </c>
      <c r="O39" s="5">
        <f>(Partcipation!$B38+(Partcipation!$B39-Partcipation!$B38)/2)*(Title_RESULTS!$C$13)/1000</f>
        <v>0</v>
      </c>
      <c r="P39" s="5">
        <f>($O39)*'Sheet2(F_12)'!$D39*Title_RESULTS!$C$12/100</f>
        <v>0</v>
      </c>
      <c r="Q39" s="5">
        <f>+$O39*((Title_RESULTS!$H$30/100)*((1+Title_RESULTS!$H$31/100)^('Sheet9(F_25)'!$A39-Title_RESULTS!$H$7)))</f>
        <v>0</v>
      </c>
      <c r="R39" s="5">
        <f>+Partcipation!$I39*('Sheet6(p_6)'!$P39-'Sheet6(p_6)'!$Q39)</f>
        <v>0</v>
      </c>
    </row>
    <row r="40" spans="1:18" ht="12.75">
      <c r="A40">
        <f t="shared" si="0"/>
        <v>2044</v>
      </c>
      <c r="B40" s="5">
        <f>IF(+'Sheet9(F_25)'!$A40&gt;=Title_RESULTS!$H$8,0,((Partcipation!$B40-Partcipation!$B39)*(Title_RESULTS!$C$26*((1+Title_RESULTS!$C$28/100)^('Sheet9(F_25)'!$A40-Title_RESULTS!$H$7)))/1000))</f>
        <v>0</v>
      </c>
      <c r="C40" s="5">
        <f>(Partcipation!$C39+(Partcipation!$C40-Partcipation!$C39)/2)*(Title_RESULTS!$C$27*((1+Title_RESULTS!$C$28/100)^('Sheet9(F_25)'!$A40-Title_RESULTS!$H$7)))/1000</f>
        <v>0</v>
      </c>
      <c r="D40" s="5">
        <f t="shared" si="1"/>
        <v>0</v>
      </c>
      <c r="E40" s="5">
        <f>IF(+'Sheet9(F_25)'!$A40&gt;=Title_RESULTS!$H$8,0,((Partcipation!$B40-Partcipation!$B39)*(Title_RESULTS!$C$39*((1+Title_RESULTS!$C$41/100)^('Sheet9(F_25)'!$A40-Title_RESULTS!$H$7)))/1000))</f>
        <v>0</v>
      </c>
      <c r="F40" s="5">
        <f>(Partcipation!$C39+(Partcipation!$C40-Partcipation!$C39)/2)*(Title_RESULTS!$C$40*((1+Title_RESULTS!$C$41/100)^('Sheet9(F_25)'!$A40-Title_RESULTS!$H$7)))/1000</f>
        <v>0</v>
      </c>
      <c r="G40" s="5">
        <f t="shared" si="2"/>
        <v>0</v>
      </c>
      <c r="H40" s="5">
        <f>IF(Partcipation!$B41&lt;Partcipation!$B40,0,IF(Partcipation!$B40=0,0,(Partcipation!$B40-Partcipation!$B39)*(+Title_RESULTS!$C$29*(1+Title_RESULTS!$C$30/100)^(+'Sheet8(F_24)'!$A40-Title_RESULTS!$H$7))/1000))</f>
        <v>0</v>
      </c>
      <c r="I40" s="5">
        <f>IF(+Title_RESULTS!$C$31&lt;0,0,(+Partcipation!$B39+(Partcipation!$B40-Partcipation!$B39)/2)*(+Title_RESULTS!$C$31*(1+Title_RESULTS!$C$32/100)^(+'Sheet6(p_6)'!$A40-Title_RESULTS!$H$7))/1000)</f>
        <v>0</v>
      </c>
      <c r="J40" s="5">
        <f t="shared" si="3"/>
        <v>0</v>
      </c>
      <c r="K40" s="5">
        <f>(+Partcipation!$B39+(Partcipation!$B40-Partcipation!$B39)/2)*(+Title_RESULTS!$C$14)/1000</f>
        <v>16134.777</v>
      </c>
      <c r="L40" s="5">
        <f>($K40)*Partcipation!$E97*Title_RESULTS!$C$12/100</f>
        <v>1078.2833854343576</v>
      </c>
      <c r="M40" s="5">
        <f>((+$K40*(Title_RESULTS!$H$30/100)*((1+Title_RESULTS!$H$31/100)^('Sheet9(F_25)'!$A40-Title_RESULTS!$H$7)))+((Title_RESULTS!$H$32*Title_RESULTS!$H$35*12*Title_RESULTS!$C$7/1000)*(Partcipation!$B39+(Partcipation!$B40-Partcipation!$B39)/2))*((1+Title_RESULTS!$H$33/100)^('Sheet9(F_25)'!$A40-Title_RESULTS!$H$7)))</f>
        <v>1216.1629781922884</v>
      </c>
      <c r="N40" s="5">
        <f>'Sheet2(F_12)'!$I40*('Sheet6(p_6)'!$L40+'Sheet6(p_6)'!$M40)</f>
        <v>2294.446363626646</v>
      </c>
      <c r="O40" s="5">
        <f>(Partcipation!$B39+(Partcipation!$B40-Partcipation!$B39)/2)*(Title_RESULTS!$C$13)/1000</f>
        <v>0</v>
      </c>
      <c r="P40" s="5">
        <f>($O40)*'Sheet2(F_12)'!$D40*Title_RESULTS!$C$12/100</f>
        <v>0</v>
      </c>
      <c r="Q40" s="5">
        <f>+$O40*((Title_RESULTS!$H$30/100)*((1+Title_RESULTS!$H$31/100)^('Sheet9(F_25)'!$A40-Title_RESULTS!$H$7)))</f>
        <v>0</v>
      </c>
      <c r="R40" s="5">
        <f>+Partcipation!$I40*('Sheet6(p_6)'!$P40-'Sheet6(p_6)'!$Q40)</f>
        <v>0</v>
      </c>
    </row>
    <row r="41" spans="2:1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t="s">
        <v>87</v>
      </c>
      <c r="B42" s="5">
        <f aca="true" t="shared" si="4" ref="B42:R42">SUM(B16:B41)</f>
        <v>76.8144</v>
      </c>
      <c r="C42" s="5">
        <f t="shared" si="4"/>
        <v>0</v>
      </c>
      <c r="D42" s="5">
        <f t="shared" si="4"/>
        <v>76.8144</v>
      </c>
      <c r="E42" s="5">
        <f t="shared" si="4"/>
        <v>12270.150000000001</v>
      </c>
      <c r="F42" s="5">
        <f t="shared" si="4"/>
        <v>0</v>
      </c>
      <c r="G42" s="5">
        <f t="shared" si="4"/>
        <v>12270.150000000001</v>
      </c>
      <c r="H42" s="5">
        <f t="shared" si="4"/>
        <v>15308.508505249998</v>
      </c>
      <c r="I42" s="5">
        <f t="shared" si="4"/>
        <v>0</v>
      </c>
      <c r="J42" s="5">
        <f t="shared" si="4"/>
        <v>15308.508505249998</v>
      </c>
      <c r="K42" s="5">
        <f t="shared" si="4"/>
        <v>379167.2595</v>
      </c>
      <c r="L42" s="5">
        <f t="shared" si="4"/>
        <v>17434.77651727404</v>
      </c>
      <c r="M42" s="5">
        <f t="shared" si="4"/>
        <v>25606.873238539694</v>
      </c>
      <c r="N42" s="5">
        <f t="shared" si="4"/>
        <v>43041.64975581374</v>
      </c>
      <c r="O42" s="5">
        <f t="shared" si="4"/>
        <v>0</v>
      </c>
      <c r="P42" s="5">
        <f t="shared" si="4"/>
        <v>0</v>
      </c>
      <c r="Q42" s="5">
        <f t="shared" si="4"/>
        <v>0</v>
      </c>
      <c r="R42" s="5">
        <f t="shared" si="4"/>
        <v>0</v>
      </c>
    </row>
    <row r="43" spans="2:18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t="s">
        <v>89</v>
      </c>
      <c r="B44" s="5">
        <f>NPV(Title_RESULTS!$C$37,'Sheet6(p_6)'!B17:B41)+'Sheet6(p_6)'!B16</f>
        <v>71.76983152741104</v>
      </c>
      <c r="C44" s="5">
        <f>NPV(Title_RESULTS!$C$37,'Sheet6(p_6)'!C17:C41)+'Sheet6(p_6)'!C16</f>
        <v>0</v>
      </c>
      <c r="D44" s="5">
        <f>NPV(Title_RESULTS!$C$37,'Sheet6(p_6)'!D17:D41)+'Sheet6(p_6)'!D16</f>
        <v>71.76983152741104</v>
      </c>
      <c r="E44" s="5">
        <f>NPV(Title_RESULTS!$C$37,'Sheet6(p_6)'!E17:E41)+'Sheet6(p_6)'!E16</f>
        <v>11476.742981162322</v>
      </c>
      <c r="F44" s="5">
        <f>NPV(Title_RESULTS!$C$37,'Sheet6(p_6)'!F17:F41)+'Sheet6(p_6)'!F16</f>
        <v>0</v>
      </c>
      <c r="G44" s="5">
        <f>NPV(Title_RESULTS!$C$37,'Sheet6(p_6)'!G17:G41)+'Sheet6(p_6)'!G16</f>
        <v>11476.742981162322</v>
      </c>
      <c r="H44" s="5">
        <f>NPV(Title_RESULTS!$C$37,'Sheet6(p_6)'!H17:H41)+'Sheet6(p_6)'!H16</f>
        <v>14303.802661716687</v>
      </c>
      <c r="I44" s="5">
        <f>NPV(Title_RESULTS!$C$37,'Sheet6(p_6)'!I17:I41)+'Sheet6(p_6)'!I16</f>
        <v>0</v>
      </c>
      <c r="J44" s="5">
        <f>NPV(Title_RESULTS!$C$37,'Sheet6(p_6)'!J17:J41)+'Sheet6(p_6)'!J16</f>
        <v>14303.802661716687</v>
      </c>
      <c r="K44" s="5"/>
      <c r="L44" s="5">
        <f>NPV(Title_RESULTS!$C$37,'Sheet6(p_6)'!L17:L41)+'Sheet6(p_6)'!L16</f>
        <v>7028.901563744059</v>
      </c>
      <c r="M44" s="5">
        <f>NPV(Title_RESULTS!$C$37,'Sheet6(p_6)'!M17:M41)+'Sheet6(p_6)'!M16</f>
        <v>11564.778945819471</v>
      </c>
      <c r="N44" s="5">
        <f>NPV(Title_RESULTS!$C$37,'Sheet6(p_6)'!N17:N41)+'Sheet6(p_6)'!N16</f>
        <v>18593.680509563528</v>
      </c>
      <c r="O44" s="5"/>
      <c r="P44" s="5">
        <f>NPV(Title_RESULTS!$C$37,'Sheet6(p_6)'!P17:P41)+'Sheet6(p_6)'!P16</f>
        <v>0</v>
      </c>
      <c r="Q44" s="5">
        <f>NPV(Title_RESULTS!$C$37,'Sheet6(p_6)'!Q17:Q41)+'Sheet6(p_6)'!Q16</f>
        <v>0</v>
      </c>
      <c r="R44" s="5">
        <f>NPV(Title_RESULTS!$C$37,'Sheet6(p_6)'!R17:R41)+'Sheet6(p_6)'!R16</f>
        <v>0</v>
      </c>
    </row>
    <row r="46" ht="12.75">
      <c r="A4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ENERGY STAR Certified Home</v>
      </c>
      <c r="M2" t="s">
        <v>55</v>
      </c>
    </row>
    <row r="3" ht="12.75">
      <c r="M3" s="35">
        <f>+Title_RESULTS!I4</f>
        <v>43599.32860648148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25</v>
      </c>
      <c r="D16" s="5">
        <f>IF(A16&gt;=(Title_RESULTS!$H$7+Title_RESULTS!$C$17),0,(+'Sheet6(p_6)'!$J16))</f>
        <v>4987.25</v>
      </c>
      <c r="E16" s="5">
        <f>IF(A16&gt;=(Title_RESULTS!$H$7+Title_RESULTS!$C$17),0,(+'f-11B'!$N15))</f>
        <v>0</v>
      </c>
      <c r="F16" s="5">
        <f>IF(A16&gt;=(Title_RESULTS!$H$7+Title_RESULTS!$C$17),0,(SUM(B16:E16)))</f>
        <v>5012.25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82.63118453012363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82.63118453012363</v>
      </c>
      <c r="L16" s="23">
        <f>IF(A16&gt;=(Title_RESULTS!$H$7+Title_RESULTS!$C$17),0,(+$K16-$F16))</f>
        <v>-4929.618815469877</v>
      </c>
      <c r="M16" s="23">
        <f>IF(A16&gt;=(Title_RESULTS!$H$7+Title_RESULTS!$C$17),0,(+$L16/(1+Title_RESULTS!$C$37)^('Sheet7(F_23)'!$A16-Title_RESULTS!$H$7)))</f>
        <v>-4929.618815469877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25.6</v>
      </c>
      <c r="D17" s="5">
        <f>IF(A17&gt;=(Title_RESULTS!$H$7+Title_RESULTS!$C$17),0,(+'Sheet6(p_6)'!$J17))</f>
        <v>5101.956749999999</v>
      </c>
      <c r="E17" s="5">
        <f>IF(A17&gt;=(Title_RESULTS!$H$7+Title_RESULTS!$C$17),0,(+'f-11B'!$N16))</f>
        <v>0</v>
      </c>
      <c r="F17" s="5">
        <f>IF(A17&gt;=(Title_RESULTS!$H$7+Title_RESULTS!$C$17),0,(SUM(B17:E17)))</f>
        <v>5127.55675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85.17747543796735</v>
      </c>
      <c r="I17" s="5">
        <f>IF(A17&gt;=(Title_RESULTS!$H$7+Title_RESULTS!$C$17),0,(+'Sheet4(F_22)'!$H17))</f>
        <v>245.87722381769504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331.0546992556624</v>
      </c>
      <c r="L17" s="23">
        <f>IF(A17&gt;=(Title_RESULTS!$H$7+Title_RESULTS!$C$17),0,(+$K17-$F17))</f>
        <v>-4796.502050744337</v>
      </c>
      <c r="M17" s="23">
        <f>IF(A17&gt;=(Title_RESULTS!$H$7+Title_RESULTS!$C$17),0,(+M16+$L17/(1+Title_RESULTS!$C$37)^('Sheet7(F_23)'!$A17-Title_RESULTS!$H$7)))</f>
        <v>-9408.981955873627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26.214399999999998</v>
      </c>
      <c r="D18" s="5">
        <f>IF(A18&gt;=(Title_RESULTS!$H$7+Title_RESULTS!$C$17),0,(+'Sheet6(p_6)'!$J18))</f>
        <v>5219.301755249999</v>
      </c>
      <c r="E18" s="5">
        <f>IF(A18&gt;=(Title_RESULTS!$H$7+Title_RESULTS!$C$17),0,(+'f-11B'!$N17))</f>
        <v>0</v>
      </c>
      <c r="F18" s="5">
        <f>IF(A18&gt;=(Title_RESULTS!$H$7+Title_RESULTS!$C$17),0,(SUM(B18:E18)))</f>
        <v>5245.5161552499985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87.22173484847853</v>
      </c>
      <c r="I18" s="5">
        <f>IF(A18&gt;=(Title_RESULTS!$H$7+Title_RESULTS!$C$17),0,(+'Sheet4(F_22)'!$H18))</f>
        <v>422.936253560096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510.15798840857457</v>
      </c>
      <c r="L18" s="23">
        <f>IF(A18&gt;=(Title_RESULTS!$H$7+Title_RESULTS!$C$17),0,(+$K18-$F18))</f>
        <v>-4735.358166841424</v>
      </c>
      <c r="M18" s="23">
        <f>IF(A18&gt;=(Title_RESULTS!$H$7+Title_RESULTS!$C$17),0,(+M17+$L18/(1+Title_RESULTS!$C$37)^('Sheet7(F_23)'!$A18-Title_RESULTS!$H$7)))</f>
        <v>-13538.849359778596</v>
      </c>
    </row>
    <row r="19" spans="1:13" ht="12.75">
      <c r="A19">
        <f aca="true" t="shared" si="0" ref="A19:A4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575.9115721218801</v>
      </c>
      <c r="H19" s="5">
        <f>IF(A19&gt;=(Title_RESULTS!$H$7+Title_RESULTS!$C$17),0,(+'Sheet4(F_22)'!$D19+'Sheet4(F_22)'!$G19))</f>
        <v>186.23211590209127</v>
      </c>
      <c r="I19" s="5">
        <f>IF(A19&gt;=(Title_RESULTS!$H$7+Title_RESULTS!$C$17),0,(+'Sheet4(F_22)'!$H19))</f>
        <v>528.3440441595804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1290.487732183552</v>
      </c>
      <c r="L19" s="23">
        <f>IF(A19&gt;=(Title_RESULTS!$H$7+Title_RESULTS!$C$17),0,(+$K19-$F19))</f>
        <v>1290.487732183552</v>
      </c>
      <c r="M19" s="23">
        <f>IF(A19&gt;=(Title_RESULTS!$H$7+Title_RESULTS!$C$17),0,(+M18+$L19/(1+Title_RESULTS!$C$37)^('Sheet7(F_23)'!$A19-Title_RESULTS!$H$7)))</f>
        <v>-12487.78625164659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565.2334028747275</v>
      </c>
      <c r="H20" s="5">
        <f>IF(A20&gt;=(Title_RESULTS!$H$7+Title_RESULTS!$C$17),0,(+'Sheet4(F_22)'!$D20+'Sheet4(F_22)'!$G20))</f>
        <v>185.51372772410826</v>
      </c>
      <c r="I20" s="5">
        <f>IF(A20&gt;=(Title_RESULTS!$H$7+Title_RESULTS!$C$17),0,(+'Sheet4(F_22)'!$H20))</f>
        <v>549.1059736475556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1299.8531042463915</v>
      </c>
      <c r="L20" s="23">
        <f>IF(A20&gt;=(Title_RESULTS!$H$7+Title_RESULTS!$C$17),0,(+$K20-$F20))</f>
        <v>1299.8531042463915</v>
      </c>
      <c r="M20" s="23">
        <f>IF(A20&gt;=(Title_RESULTS!$H$7+Title_RESULTS!$C$17),0,(+M19+$L20/(1+Title_RESULTS!$C$37)^('Sheet7(F_23)'!$A20-Title_RESULTS!$H$7)))</f>
        <v>-11499.094694345125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553.9889942963842</v>
      </c>
      <c r="H21" s="5">
        <f>IF(A21&gt;=(Title_RESULTS!$H$7+Title_RESULTS!$C$17),0,(+'Sheet4(F_22)'!$D21+'Sheet4(F_22)'!$G21))</f>
        <v>184.54916313962076</v>
      </c>
      <c r="I21" s="5">
        <f>IF(A21&gt;=(Title_RESULTS!$H$7+Title_RESULTS!$C$17),0,(+'Sheet4(F_22)'!$H21))</f>
        <v>589.5744989199994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1328.1126563560044</v>
      </c>
      <c r="L21" s="23">
        <f>IF(A21&gt;=(Title_RESULTS!$H$7+Title_RESULTS!$C$17),0,(+$K21-$F21))</f>
        <v>1328.1126563560044</v>
      </c>
      <c r="M21" s="23">
        <f>IF(A21&gt;=(Title_RESULTS!$H$7+Title_RESULTS!$C$17),0,(+M20+$L21/(1+Title_RESULTS!$C$37)^('Sheet7(F_23)'!$A21-Title_RESULTS!$H$7)))</f>
        <v>-10555.700709575201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544.8329541874743</v>
      </c>
      <c r="H22" s="5">
        <f>IF(A22&gt;=(Title_RESULTS!$H$7+Title_RESULTS!$C$17),0,(+'Sheet4(F_22)'!$D22+'Sheet4(F_22)'!$G22))</f>
        <v>183.788604773</v>
      </c>
      <c r="I22" s="5">
        <f>IF(A22&gt;=(Title_RESULTS!$H$7+Title_RESULTS!$C$17),0,(+'Sheet4(F_22)'!$H22))</f>
        <v>608.4848796330829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1337.1064385935572</v>
      </c>
      <c r="L22" s="23">
        <f>IF(A22&gt;=(Title_RESULTS!$H$7+Title_RESULTS!$C$17),0,(+$K22-$F22))</f>
        <v>1337.1064385935572</v>
      </c>
      <c r="M22" s="23">
        <f>IF(A22&gt;=(Title_RESULTS!$H$7+Title_RESULTS!$C$17),0,(+M21+$L22/(1+Title_RESULTS!$C$37)^('Sheet7(F_23)'!$A22-Title_RESULTS!$H$7)))</f>
        <v>-9668.716670413918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534.657631876694</v>
      </c>
      <c r="H23" s="5">
        <f>IF(A23&gt;=(Title_RESULTS!$H$7+Title_RESULTS!$C$17),0,(+'Sheet4(F_22)'!$D23+'Sheet4(F_22)'!$G23))</f>
        <v>183.21814242420555</v>
      </c>
      <c r="I23" s="5">
        <f>IF(A23&gt;=(Title_RESULTS!$H$7+Title_RESULTS!$C$17),0,(+'Sheet4(F_22)'!$H23))</f>
        <v>646.5124611537178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1364.3882354546174</v>
      </c>
      <c r="L23" s="23">
        <f>IF(A23&gt;=(Title_RESULTS!$H$7+Title_RESULTS!$C$17),0,(+$K23-$F23))</f>
        <v>1364.3882354546174</v>
      </c>
      <c r="M23" s="23">
        <f>IF(A23&gt;=(Title_RESULTS!$H$7+Title_RESULTS!$C$17),0,(+M22+$L23/(1+Title_RESULTS!$C$37)^('Sheet7(F_23)'!$A23-Title_RESULTS!$H$7)))</f>
        <v>-8823.47786333791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519.9404656318962</v>
      </c>
      <c r="H24" s="5">
        <f>IF(A24&gt;=(Title_RESULTS!$H$7+Title_RESULTS!$C$17),0,(+'Sheet4(F_22)'!$D24+'Sheet4(F_22)'!$G24))</f>
        <v>182.82557297995166</v>
      </c>
      <c r="I24" s="5">
        <f>IF(A24&gt;=(Title_RESULTS!$H$7+Title_RESULTS!$C$17),0,(+'Sheet4(F_22)'!$H24))</f>
        <v>716.4105700093198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1419.1766086211678</v>
      </c>
      <c r="L24" s="23">
        <f>IF(A24&gt;=(Title_RESULTS!$H$7+Title_RESULTS!$C$17),0,(+$K24-$F24))</f>
        <v>1419.1766086211678</v>
      </c>
      <c r="M24" s="23">
        <f>IF(A24&gt;=(Title_RESULTS!$H$7+Title_RESULTS!$C$17),0,(+M23+$L24/(1+Title_RESULTS!$C$37)^('Sheet7(F_23)'!$A24-Title_RESULTS!$H$7)))</f>
        <v>-8002.427979039056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511.0489843253916</v>
      </c>
      <c r="H25" s="5">
        <f>IF(A25&gt;=(Title_RESULTS!$H$7+Title_RESULTS!$C$17),0,(+'Sheet4(F_22)'!$D25+'Sheet4(F_22)'!$G25))</f>
        <v>182.5751661601016</v>
      </c>
      <c r="I25" s="5">
        <f>IF(A25&gt;=(Title_RESULTS!$H$7+Title_RESULTS!$C$17),0,(+'Sheet4(F_22)'!$H25))</f>
        <v>767.5366864334223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1461.1608369189155</v>
      </c>
      <c r="L25" s="23">
        <f>IF(A25&gt;=(Title_RESULTS!$H$7+Title_RESULTS!$C$17),0,(+$K25-$F25))</f>
        <v>1461.1608369189155</v>
      </c>
      <c r="M25" s="23">
        <f>IF(A25&gt;=(Title_RESULTS!$H$7+Title_RESULTS!$C$17),0,(+M24+$L25/(1+Title_RESULTS!$C$37)^('Sheet7(F_23)'!$A25-Title_RESULTS!$H$7)))</f>
        <v>-7212.981375152174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496.70258191415303</v>
      </c>
      <c r="H26" s="5">
        <f>IF(A26&gt;=(Title_RESULTS!$H$7+Title_RESULTS!$C$17),0,(+'Sheet4(F_22)'!$D26+'Sheet4(F_22)'!$G26))</f>
        <v>182.41009654071772</v>
      </c>
      <c r="I26" s="5">
        <f>IF(A26&gt;=(Title_RESULTS!$H$7+Title_RESULTS!$C$17),0,(+'Sheet4(F_22)'!$H26))</f>
        <v>857.2959570550127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1536.4086355098834</v>
      </c>
      <c r="L26" s="23">
        <f>IF(A26&gt;=(Title_RESULTS!$H$7+Title_RESULTS!$C$17),0,(+$K26-$F26))</f>
        <v>1536.4086355098834</v>
      </c>
      <c r="M26" s="23">
        <f>IF(A26&gt;=(Title_RESULTS!$H$7+Title_RESULTS!$C$17),0,(+M25+$L26/(1+Title_RESULTS!$C$37)^('Sheet7(F_23)'!$A26-Title_RESULTS!$H$7)))</f>
        <v>-6437.76468503136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491.9326547994589</v>
      </c>
      <c r="H27" s="5">
        <f>IF(A27&gt;=(Title_RESULTS!$H$7+Title_RESULTS!$C$17),0,(+'Sheet4(F_22)'!$D27+'Sheet4(F_22)'!$G27))</f>
        <v>182.30433951293446</v>
      </c>
      <c r="I27" s="5">
        <f>IF(A27&gt;=(Title_RESULTS!$H$7+Title_RESULTS!$C$17),0,(+'Sheet4(F_22)'!$H27))</f>
        <v>854.1078057874537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1528.344800099847</v>
      </c>
      <c r="L27" s="23">
        <f>IF(A27&gt;=(Title_RESULTS!$H$7+Title_RESULTS!$C$17),0,(+$K27-$F27))</f>
        <v>1528.344800099847</v>
      </c>
      <c r="M27" s="23">
        <f>IF(A27&gt;=(Title_RESULTS!$H$7+Title_RESULTS!$C$17),0,(+M26+$L27/(1+Title_RESULTS!$C$37)^('Sheet7(F_23)'!$A27-Title_RESULTS!$H$7)))</f>
        <v>-5717.604087343945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480.285238889963</v>
      </c>
      <c r="H28" s="5">
        <f>IF(A28&gt;=(Title_RESULTS!$H$7+Title_RESULTS!$C$17),0,(+'Sheet4(F_22)'!$D28+'Sheet4(F_22)'!$G28))</f>
        <v>182.25931857895017</v>
      </c>
      <c r="I28" s="5">
        <f>IF(A28&gt;=(Title_RESULTS!$H$7+Title_RESULTS!$C$17),0,(+'Sheet4(F_22)'!$H28))</f>
        <v>933.4608917610212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1596.0054492299344</v>
      </c>
      <c r="L28" s="23">
        <f>IF(A28&gt;=(Title_RESULTS!$H$7+Title_RESULTS!$C$17),0,(+$K28-$F28))</f>
        <v>1596.0054492299344</v>
      </c>
      <c r="M28" s="23">
        <f>IF(A28&gt;=(Title_RESULTS!$H$7+Title_RESULTS!$C$17),0,(+M27+$L28/(1+Title_RESULTS!$C$37)^('Sheet7(F_23)'!$A28-Title_RESULTS!$H$7)))</f>
        <v>-5015.285730966265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476.7146298001752</v>
      </c>
      <c r="H29" s="5">
        <f>IF(A29&gt;=(Title_RESULTS!$H$7+Title_RESULTS!$C$17),0,(+'Sheet4(F_22)'!$D29+'Sheet4(F_22)'!$G29))</f>
        <v>182.27649140501603</v>
      </c>
      <c r="I29" s="5">
        <f>IF(A29&gt;=(Title_RESULTS!$H$7+Title_RESULTS!$C$17),0,(+'Sheet4(F_22)'!$H29))</f>
        <v>995.4511297821861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1654.4422509873773</v>
      </c>
      <c r="L29" s="23">
        <f>IF(A29&gt;=(Title_RESULTS!$H$7+Title_RESULTS!$C$17),0,(+$K29-$F29))</f>
        <v>1654.4422509873773</v>
      </c>
      <c r="M29" s="23">
        <f>IF(A29&gt;=(Title_RESULTS!$H$7+Title_RESULTS!$C$17),0,(+M28+$L29/(1+Title_RESULTS!$C$37)^('Sheet7(F_23)'!$A29-Title_RESULTS!$H$7)))</f>
        <v>-4335.389083287213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464.2254783016167</v>
      </c>
      <c r="H30" s="5">
        <f>IF(A30&gt;=(Title_RESULTS!$H$7+Title_RESULTS!$C$17),0,(+'Sheet4(F_22)'!$D30+'Sheet4(F_22)'!$G30))</f>
        <v>182.35735064137327</v>
      </c>
      <c r="I30" s="5">
        <f>IF(A30&gt;=(Title_RESULTS!$H$7+Title_RESULTS!$C$17),0,(+'Sheet4(F_22)'!$H30))</f>
        <v>1041.8015941610313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1688.3844231040212</v>
      </c>
      <c r="L30" s="23">
        <f>IF(A30&gt;=(Title_RESULTS!$H$7+Title_RESULTS!$C$17),0,(+$K30-$F30))</f>
        <v>1688.3844231040212</v>
      </c>
      <c r="M30" s="23">
        <f>IF(A30&gt;=(Title_RESULTS!$H$7+Title_RESULTS!$C$17),0,(+M29+$L30/(1+Title_RESULTS!$C$37)^('Sheet7(F_23)'!$A30-Title_RESULTS!$H$7)))</f>
        <v>-3687.4200346672096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0</v>
      </c>
      <c r="G31" s="5">
        <f>IF(A31&gt;=(Title_RESULTS!$H$7+Title_RESULTS!$C$17),0,('Sheet3(F_21)'!$J31))</f>
        <v>457.7554359942403</v>
      </c>
      <c r="H31" s="5">
        <f>IF(A31&gt;=(Title_RESULTS!$H$7+Title_RESULTS!$C$17),0,(+'Sheet4(F_22)'!$D31+'Sheet4(F_22)'!$G31))</f>
        <v>182.50342476186884</v>
      </c>
      <c r="I31" s="5">
        <f>IF(A31&gt;=(Title_RESULTS!$H$7+Title_RESULTS!$C$17),0,(+'Sheet4(F_22)'!$H31))</f>
        <v>1147.3852035200682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1787.6440642761772</v>
      </c>
      <c r="L31" s="23">
        <f>IF(A31&gt;=(Title_RESULTS!$H$7+Title_RESULTS!$C$17),0,(+$K31-$F31))</f>
        <v>1787.6440642761772</v>
      </c>
      <c r="M31" s="23">
        <f>IF(A31&gt;=(Title_RESULTS!$H$7+Title_RESULTS!$C$17),0,(+M30+$L31/(1+Title_RESULTS!$C$37)^('Sheet7(F_23)'!$A31-Title_RESULTS!$H$7)))</f>
        <v>-3046.7187224392856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0</v>
      </c>
      <c r="G32" s="5">
        <f>IF(A32&gt;=(Title_RESULTS!$H$7+Title_RESULTS!$C$17),0,('Sheet3(F_21)'!$J32))</f>
        <v>456.1628448783231</v>
      </c>
      <c r="H32" s="5">
        <f>IF(A32&gt;=(Title_RESULTS!$H$7+Title_RESULTS!$C$17),0,(+'Sheet4(F_22)'!$D32+'Sheet4(F_22)'!$G32))</f>
        <v>182.71627892372211</v>
      </c>
      <c r="I32" s="5">
        <f>IF(A32&gt;=(Title_RESULTS!$H$7+Title_RESULTS!$C$17),0,(+'Sheet4(F_22)'!$H32))</f>
        <v>1133.2752993764202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1772.1544231784655</v>
      </c>
      <c r="L32" s="23">
        <f>IF(A32&gt;=(Title_RESULTS!$H$7+Title_RESULTS!$C$17),0,(+$K32-$F32))</f>
        <v>1772.1544231784655</v>
      </c>
      <c r="M32" s="23">
        <f>IF(A32&gt;=(Title_RESULTS!$H$7+Title_RESULTS!$C$17),0,(+M31+$L32/(1+Title_RESULTS!$C$37)^('Sheet7(F_23)'!$A32-Title_RESULTS!$H$7)))</f>
        <v>-2453.564313598754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0</v>
      </c>
      <c r="G33" s="5">
        <f>IF(A33&gt;=(Title_RESULTS!$H$7+Title_RESULTS!$C$17),0,('Sheet3(F_21)'!$J33))</f>
        <v>446.5073888012277</v>
      </c>
      <c r="H33" s="5">
        <f>IF(A33&gt;=(Title_RESULTS!$H$7+Title_RESULTS!$C$17),0,(+'Sheet4(F_22)'!$D33+'Sheet4(F_22)'!$G33))</f>
        <v>182.99751584792563</v>
      </c>
      <c r="I33" s="5">
        <f>IF(A33&gt;=(Title_RESULTS!$H$7+Title_RESULTS!$C$17),0,(+'Sheet4(F_22)'!$H33))</f>
        <v>1209.5613073916734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1839.0662120408267</v>
      </c>
      <c r="L33" s="23">
        <f>IF(A33&gt;=(Title_RESULTS!$H$7+Title_RESULTS!$C$17),0,(+$K33-$F33))</f>
        <v>1839.0662120408267</v>
      </c>
      <c r="M33" s="23">
        <f>IF(A33&gt;=(Title_RESULTS!$H$7+Title_RESULTS!$C$17),0,(+M32+$L33/(1+Title_RESULTS!$C$37)^('Sheet7(F_23)'!$A33-Title_RESULTS!$H$7)))</f>
        <v>-1878.7134307205697</v>
      </c>
    </row>
    <row r="34" spans="1:13" ht="12.75">
      <c r="A34">
        <f t="shared" si="0"/>
        <v>2038</v>
      </c>
      <c r="B34" s="5">
        <f>IF(A34&gt;=(Title_RESULTS!$H$7+Title_RESULTS!$C$17),0,(IF($A34&gt;=Title_RESULTS!$H$8,(Partcipation!$B33+(Partcipation!$B34-Partcipation!$B33)/2)*Title_RESULTS!$C$35*(1+Title_RESULTS!$C$36/100)^('Sheet7(F_23)'!$A34-Title_RESULTS!$H$7),0)))</f>
        <v>0</v>
      </c>
      <c r="C34" s="5">
        <f>IF(A34&gt;=(Title_RESULTS!$H$7+Title_RESULTS!$C$17),0,(+'Sheet6(p_6)'!$D34))</f>
        <v>0</v>
      </c>
      <c r="D34" s="5">
        <f>IF(A34&gt;=(Title_RESULTS!$H$7+Title_RESULTS!$C$17),0,(+'Sheet6(p_6)'!$J34))</f>
        <v>0</v>
      </c>
      <c r="E34" s="5">
        <f>IF(A34&gt;=(Title_RESULTS!$H$7+Title_RESULTS!$C$17),0,(+'f-11B'!$N33))</f>
        <v>0</v>
      </c>
      <c r="F34" s="5">
        <f>IF(A34&gt;=(Title_RESULTS!$H$7+Title_RESULTS!$C$17),0,(SUM(B34:E34)))</f>
        <v>0</v>
      </c>
      <c r="G34" s="5">
        <f>IF(A34&gt;=(Title_RESULTS!$H$7+Title_RESULTS!$C$17),0,('Sheet3(F_21)'!$J34))</f>
        <v>447.0778208644608</v>
      </c>
      <c r="H34" s="5">
        <f>IF(A34&gt;=(Title_RESULTS!$H$7+Title_RESULTS!$C$17),0,(+'Sheet4(F_22)'!$D34+'Sheet4(F_22)'!$G34))</f>
        <v>183.59634782184756</v>
      </c>
      <c r="I34" s="5">
        <f>IF(A34&gt;=(Title_RESULTS!$H$7+Title_RESULTS!$C$17),0,(+'Sheet4(F_22)'!$H34))</f>
        <v>1214.1425675974433</v>
      </c>
      <c r="J34" s="5">
        <f>IF(A34&gt;=(Title_RESULTS!$H$7+Title_RESULTS!$C$17),0,(IF(Title_RESULTS!$C$31&lt;0,((Partcipation!$B33+(Partcipation!$B34-Partcipation!$B33)/2)*(ABS(Title_RESULTS!$C$31)*(1+Title_RESULTS!$C$32/100)^('Sheet7(F_23)'!$A34-Title_RESULTS!$H$7))/1000)+'f-11B'!$O33,+'f-11B'!$O33)))</f>
        <v>0</v>
      </c>
      <c r="K34" s="5">
        <f>IF(A34&gt;=(Title_RESULTS!$H$7+Title_RESULTS!$C$17),0,(SUM(G34:J34)))</f>
        <v>1844.8167362837517</v>
      </c>
      <c r="L34" s="23">
        <f>IF(A34&gt;=(Title_RESULTS!$H$7+Title_RESULTS!$C$17),0,(+$K34-$F34))</f>
        <v>1844.8167362837517</v>
      </c>
      <c r="M34" s="23">
        <f>IF(A34&gt;=(Title_RESULTS!$H$7+Title_RESULTS!$C$17),0,(+M33+$L34/(1+Title_RESULTS!$C$37)^('Sheet7(F_23)'!$A34-Title_RESULTS!$H$7)))</f>
        <v>-1340.1923549991614</v>
      </c>
    </row>
    <row r="35" spans="1:13" ht="12.75">
      <c r="A35">
        <f t="shared" si="0"/>
        <v>2039</v>
      </c>
      <c r="B35" s="5">
        <f>IF(A35&gt;=(Title_RESULTS!$H$7+Title_RESULTS!$C$17),0,(IF($A35&gt;=Title_RESULTS!$H$8,(Partcipation!$B34+(Partcipation!$B35-Partcipation!$B34)/2)*Title_RESULTS!$C$35*(1+Title_RESULTS!$C$36/100)^('Sheet7(F_23)'!$A35-Title_RESULTS!$H$7),0)))</f>
        <v>0</v>
      </c>
      <c r="C35" s="5">
        <f>IF(A35&gt;=(Title_RESULTS!$H$7+Title_RESULTS!$C$17),0,(+'Sheet6(p_6)'!$D35))</f>
        <v>0</v>
      </c>
      <c r="D35" s="5">
        <f>IF(A35&gt;=(Title_RESULTS!$H$7+Title_RESULTS!$C$17),0,(+'Sheet6(p_6)'!$J35))</f>
        <v>0</v>
      </c>
      <c r="E35" s="5">
        <f>IF(A35&gt;=(Title_RESULTS!$H$7+Title_RESULTS!$C$17),0,(+'f-11B'!$N34))</f>
        <v>0</v>
      </c>
      <c r="F35" s="5">
        <f>IF(A35&gt;=(Title_RESULTS!$H$7+Title_RESULTS!$C$17),0,(SUM(B35:E35)))</f>
        <v>0</v>
      </c>
      <c r="G35" s="5">
        <f>IF(A35&gt;=(Title_RESULTS!$H$7+Title_RESULTS!$C$17),0,('Sheet3(F_21)'!$J35))</f>
        <v>445.0438514215871</v>
      </c>
      <c r="H35" s="5">
        <f>IF(A35&gt;=(Title_RESULTS!$H$7+Title_RESULTS!$C$17),0,(+'Sheet4(F_22)'!$D35+'Sheet4(F_22)'!$G35))</f>
        <v>184.76194268417825</v>
      </c>
      <c r="I35" s="5">
        <f>IF(A35&gt;=(Title_RESULTS!$H$7+Title_RESULTS!$C$17),0,(+'Sheet4(F_22)'!$H35))</f>
        <v>1215.3990972279855</v>
      </c>
      <c r="J35" s="5">
        <f>IF(A35&gt;=(Title_RESULTS!$H$7+Title_RESULTS!$C$17),0,(IF(Title_RESULTS!$C$31&lt;0,((Partcipation!$B34+(Partcipation!$B35-Partcipation!$B34)/2)*(ABS(Title_RESULTS!$C$31)*(1+Title_RESULTS!$C$32/100)^('Sheet7(F_23)'!$A35-Title_RESULTS!$H$7))/1000)+'f-11B'!$O34,+'f-11B'!$O34)))</f>
        <v>0</v>
      </c>
      <c r="K35" s="5">
        <f>IF(A35&gt;=(Title_RESULTS!$H$7+Title_RESULTS!$C$17),0,(SUM(G35:J35)))</f>
        <v>1845.2048913337508</v>
      </c>
      <c r="L35" s="23">
        <f>IF(A35&gt;=(Title_RESULTS!$H$7+Title_RESULTS!$C$17),0,(+$K35-$F35))</f>
        <v>1845.2048913337508</v>
      </c>
      <c r="M35" s="23">
        <f>IF(A35&gt;=(Title_RESULTS!$H$7+Title_RESULTS!$C$17),0,(+M34+$L35/(1+Title_RESULTS!$C$37)^('Sheet7(F_23)'!$A35-Title_RESULTS!$H$7)))</f>
        <v>-837.1718262421823</v>
      </c>
    </row>
    <row r="36" spans="1:13" ht="12.75">
      <c r="A36">
        <f t="shared" si="0"/>
        <v>2040</v>
      </c>
      <c r="B36" s="5">
        <f>IF(A36&gt;=(Title_RESULTS!$H$7+Title_RESULTS!$C$17),0,(IF($A36&gt;=Title_RESULTS!$H$8,(Partcipation!$B35+(Partcipation!$B36-Partcipation!$B35)/2)*Title_RESULTS!$C$35*(1+Title_RESULTS!$C$36/100)^('Sheet7(F_23)'!$A36-Title_RESULTS!$H$7),0)))</f>
        <v>0</v>
      </c>
      <c r="C36" s="5">
        <f>IF(A36&gt;=(Title_RESULTS!$H$7+Title_RESULTS!$C$17),0,(+'Sheet6(p_6)'!$D36))</f>
        <v>0</v>
      </c>
      <c r="D36" s="5">
        <f>IF(A36&gt;=(Title_RESULTS!$H$7+Title_RESULTS!$C$17),0,(+'Sheet6(p_6)'!$J36))</f>
        <v>0</v>
      </c>
      <c r="E36" s="5">
        <f>IF(A36&gt;=(Title_RESULTS!$H$7+Title_RESULTS!$C$17),0,(+'f-11B'!$N35))</f>
        <v>0</v>
      </c>
      <c r="F36" s="5">
        <f>IF(A36&gt;=(Title_RESULTS!$H$7+Title_RESULTS!$C$17),0,(SUM(B36:E36)))</f>
        <v>0</v>
      </c>
      <c r="G36" s="5">
        <f>IF(A36&gt;=(Title_RESULTS!$H$7+Title_RESULTS!$C$17),0,('Sheet3(F_21)'!$J36))</f>
        <v>456.7839576844417</v>
      </c>
      <c r="H36" s="5">
        <f>IF(A36&gt;=(Title_RESULTS!$H$7+Title_RESULTS!$C$17),0,(+'Sheet4(F_22)'!$D36+'Sheet4(F_22)'!$G36))</f>
        <v>186.24845024240778</v>
      </c>
      <c r="I36" s="5">
        <f>IF(A36&gt;=(Title_RESULTS!$H$7+Title_RESULTS!$C$17),0,(+'Sheet4(F_22)'!$H36))</f>
        <v>1307.8260623947192</v>
      </c>
      <c r="J36" s="5">
        <f>IF(A36&gt;=(Title_RESULTS!$H$7+Title_RESULTS!$C$17),0,(IF(Title_RESULTS!$C$31&lt;0,((Partcipation!$B35+(Partcipation!$B36-Partcipation!$B35)/2)*(ABS(Title_RESULTS!$C$31)*(1+Title_RESULTS!$C$32/100)^('Sheet7(F_23)'!$A36-Title_RESULTS!$H$7))/1000)+'f-11B'!$O35,+'f-11B'!$O35)))</f>
        <v>0</v>
      </c>
      <c r="K36" s="5">
        <f>IF(A36&gt;=(Title_RESULTS!$H$7+Title_RESULTS!$C$17),0,(SUM(G36:J36)))</f>
        <v>1950.8584703215688</v>
      </c>
      <c r="L36" s="23">
        <f>IF(A36&gt;=(Title_RESULTS!$H$7+Title_RESULTS!$C$17),0,(+$K36-$F36))</f>
        <v>1950.8584703215688</v>
      </c>
      <c r="M36" s="23">
        <f>IF(A36&gt;=(Title_RESULTS!$H$7+Title_RESULTS!$C$17),0,(+M35+$L36/(1+Title_RESULTS!$C$37)^('Sheet7(F_23)'!$A36-Title_RESULTS!$H$7)))</f>
        <v>-340.5125934685993</v>
      </c>
    </row>
    <row r="37" spans="1:13" ht="12.75">
      <c r="A37">
        <f t="shared" si="0"/>
        <v>2041</v>
      </c>
      <c r="B37" s="5">
        <f>IF(A37&gt;=(Title_RESULTS!$H$7+Title_RESULTS!$C$17),0,(IF($A37&gt;=Title_RESULTS!$H$8,(Partcipation!$B36+(Partcipation!$B37-Partcipation!$B36)/2)*Title_RESULTS!$C$35*(1+Title_RESULTS!$C$36/100)^('Sheet7(F_23)'!$A37-Title_RESULTS!$H$7),0)))</f>
        <v>0</v>
      </c>
      <c r="C37" s="5">
        <f>IF(A37&gt;=(Title_RESULTS!$H$7+Title_RESULTS!$C$17),0,(+'Sheet6(p_6)'!$D37))</f>
        <v>0</v>
      </c>
      <c r="D37" s="5">
        <f>IF(A37&gt;=(Title_RESULTS!$H$7+Title_RESULTS!$C$17),0,(+'Sheet6(p_6)'!$J37))</f>
        <v>0</v>
      </c>
      <c r="E37" s="5">
        <f>IF(A37&gt;=(Title_RESULTS!$H$7+Title_RESULTS!$C$17),0,(+'f-11B'!$N36))</f>
        <v>0</v>
      </c>
      <c r="F37" s="5">
        <f>IF(A37&gt;=(Title_RESULTS!$H$7+Title_RESULTS!$C$17),0,(SUM(B37:E37)))</f>
        <v>0</v>
      </c>
      <c r="G37" s="5">
        <f>IF(A37&gt;=(Title_RESULTS!$H$7+Title_RESULTS!$C$17),0,('Sheet3(F_21)'!$J37))</f>
        <v>450.98426706411584</v>
      </c>
      <c r="H37" s="5">
        <f>IF(A37&gt;=(Title_RESULTS!$H$7+Title_RESULTS!$C$17),0,(+'Sheet4(F_22)'!$D37+'Sheet4(F_22)'!$G37))</f>
        <v>187.81014544298088</v>
      </c>
      <c r="I37" s="5">
        <f>IF(A37&gt;=(Title_RESULTS!$H$7+Title_RESULTS!$C$17),0,(+'Sheet4(F_22)'!$H37))</f>
        <v>1346.9581397724635</v>
      </c>
      <c r="J37" s="5">
        <f>IF(A37&gt;=(Title_RESULTS!$H$7+Title_RESULTS!$C$17),0,(IF(Title_RESULTS!$C$31&lt;0,((Partcipation!$B36+(Partcipation!$B37-Partcipation!$B36)/2)*(ABS(Title_RESULTS!$C$31)*(1+Title_RESULTS!$C$32/100)^('Sheet7(F_23)'!$A37-Title_RESULTS!$H$7))/1000)+'f-11B'!$O36,+'f-11B'!$O36)))</f>
        <v>0</v>
      </c>
      <c r="K37" s="5">
        <f>IF(A37&gt;=(Title_RESULTS!$H$7+Title_RESULTS!$C$17),0,(SUM(G37:J37)))</f>
        <v>1985.7525522795602</v>
      </c>
      <c r="L37" s="23">
        <f>IF(A37&gt;=(Title_RESULTS!$H$7+Title_RESULTS!$C$17),0,(+$K37-$F37))</f>
        <v>1985.7525522795602</v>
      </c>
      <c r="M37" s="23">
        <f>IF(A37&gt;=(Title_RESULTS!$H$7+Title_RESULTS!$C$17),0,(+M36+$L37/(1+Title_RESULTS!$C$37)^('Sheet7(F_23)'!$A37-Title_RESULTS!$H$7)))</f>
        <v>131.6042736969074</v>
      </c>
    </row>
    <row r="38" spans="1:13" ht="12.75">
      <c r="A38">
        <f t="shared" si="0"/>
        <v>2042</v>
      </c>
      <c r="B38" s="5">
        <f>IF(A38&gt;=(Title_RESULTS!$H$7+Title_RESULTS!$C$17),0,(IF($A38&gt;=Title_RESULTS!$H$8,(Partcipation!$B37+(Partcipation!$B38-Partcipation!$B37)/2)*Title_RESULTS!$C$35*(1+Title_RESULTS!$C$36/100)^('Sheet7(F_23)'!$A38-Title_RESULTS!$H$7),0)))</f>
        <v>0</v>
      </c>
      <c r="C38" s="5">
        <f>IF(A38&gt;=(Title_RESULTS!$H$7+Title_RESULTS!$C$17),0,(+'Sheet6(p_6)'!$D38))</f>
        <v>0</v>
      </c>
      <c r="D38" s="5">
        <f>IF(A38&gt;=(Title_RESULTS!$H$7+Title_RESULTS!$C$17),0,(+'Sheet6(p_6)'!$J38))</f>
        <v>0</v>
      </c>
      <c r="E38" s="5">
        <f>IF(A38&gt;=(Title_RESULTS!$H$7+Title_RESULTS!$C$17),0,(+'f-11B'!$N37))</f>
        <v>0</v>
      </c>
      <c r="F38" s="5">
        <f>IF(A38&gt;=(Title_RESULTS!$H$7+Title_RESULTS!$C$17),0,(SUM(B38:E38)))</f>
        <v>0</v>
      </c>
      <c r="G38" s="5">
        <f>IF(A38&gt;=(Title_RESULTS!$H$7+Title_RESULTS!$C$17),0,('Sheet3(F_21)'!$J38))</f>
        <v>448.07874678628787</v>
      </c>
      <c r="H38" s="5">
        <f>IF(A38&gt;=(Title_RESULTS!$H$7+Title_RESULTS!$C$17),0,(+'Sheet4(F_22)'!$D38+'Sheet4(F_22)'!$G38))</f>
        <v>189.4488327893137</v>
      </c>
      <c r="I38" s="5">
        <f>IF(A38&gt;=(Title_RESULTS!$H$7+Title_RESULTS!$C$17),0,(+'Sheet4(F_22)'!$H38))</f>
        <v>1440.0401898363132</v>
      </c>
      <c r="J38" s="5">
        <f>IF(A38&gt;=(Title_RESULTS!$H$7+Title_RESULTS!$C$17),0,(IF(Title_RESULTS!$C$31&lt;0,((Partcipation!$B37+(Partcipation!$B38-Partcipation!$B37)/2)*(ABS(Title_RESULTS!$C$31)*(1+Title_RESULTS!$C$32/100)^('Sheet7(F_23)'!$A38-Title_RESULTS!$H$7))/1000)+'f-11B'!$O37,+'f-11B'!$O37)))</f>
        <v>0</v>
      </c>
      <c r="K38" s="5">
        <f>IF(A38&gt;=(Title_RESULTS!$H$7+Title_RESULTS!$C$17),0,(SUM(G38:J38)))</f>
        <v>2077.567769411915</v>
      </c>
      <c r="L38" s="23">
        <f>IF(A38&gt;=(Title_RESULTS!$H$7+Title_RESULTS!$C$17),0,(+$K38-$F38))</f>
        <v>2077.567769411915</v>
      </c>
      <c r="M38" s="23">
        <f>IF(A38&gt;=(Title_RESULTS!$H$7+Title_RESULTS!$C$17),0,(+M37+$L38/(1+Title_RESULTS!$C$37)^('Sheet7(F_23)'!$A38-Title_RESULTS!$H$7)))</f>
        <v>592.8912826016283</v>
      </c>
    </row>
    <row r="39" spans="1:13" ht="12.75">
      <c r="A39">
        <f t="shared" si="0"/>
        <v>2043</v>
      </c>
      <c r="B39" s="5">
        <f>IF(A39&gt;=(Title_RESULTS!$H$7+Title_RESULTS!$C$17),0,(IF($A39&gt;=Title_RESULTS!$H$8,(Partcipation!$B38+(Partcipation!$B39-Partcipation!$B38)/2)*Title_RESULTS!$C$35*(1+Title_RESULTS!$C$36/100)^('Sheet7(F_23)'!$A39-Title_RESULTS!$H$7),0)))</f>
        <v>0</v>
      </c>
      <c r="C39" s="5">
        <f>IF(A39&gt;=(Title_RESULTS!$H$7+Title_RESULTS!$C$17),0,(+'Sheet6(p_6)'!$D39))</f>
        <v>0</v>
      </c>
      <c r="D39" s="5">
        <f>IF(A39&gt;=(Title_RESULTS!$H$7+Title_RESULTS!$C$17),0,(+'Sheet6(p_6)'!$J39))</f>
        <v>0</v>
      </c>
      <c r="E39" s="5">
        <f>IF(A39&gt;=(Title_RESULTS!$H$7+Title_RESULTS!$C$17),0,(+'f-11B'!$N38))</f>
        <v>0</v>
      </c>
      <c r="F39" s="5">
        <f>IF(A39&gt;=(Title_RESULTS!$H$7+Title_RESULTS!$C$17),0,(SUM(B39:E39)))</f>
        <v>0</v>
      </c>
      <c r="G39" s="5">
        <f>IF(A39&gt;=(Title_RESULTS!$H$7+Title_RESULTS!$C$17),0,('Sheet3(F_21)'!$J39))</f>
        <v>448.7259497072434</v>
      </c>
      <c r="H39" s="5">
        <f>IF(A39&gt;=(Title_RESULTS!$H$7+Title_RESULTS!$C$17),0,(+'Sheet4(F_22)'!$D39+'Sheet4(F_22)'!$G39))</f>
        <v>191.16636009290468</v>
      </c>
      <c r="I39" s="5">
        <f>IF(A39&gt;=(Title_RESULTS!$H$7+Title_RESULTS!$C$17),0,(+'Sheet4(F_22)'!$H39))</f>
        <v>1474.2240394125845</v>
      </c>
      <c r="J39" s="5">
        <f>IF(A39&gt;=(Title_RESULTS!$H$7+Title_RESULTS!$C$17),0,(IF(Title_RESULTS!$C$31&lt;0,((Partcipation!$B38+(Partcipation!$B39-Partcipation!$B38)/2)*(ABS(Title_RESULTS!$C$31)*(1+Title_RESULTS!$C$32/100)^('Sheet7(F_23)'!$A39-Title_RESULTS!$H$7))/1000)+'f-11B'!$O38,+'f-11B'!$O38)))</f>
        <v>0</v>
      </c>
      <c r="K39" s="5">
        <f>IF(A39&gt;=(Title_RESULTS!$H$7+Title_RESULTS!$C$17),0,(SUM(G39:J39)))</f>
        <v>2114.1163492127325</v>
      </c>
      <c r="L39" s="23">
        <f>IF(A39&gt;=(Title_RESULTS!$H$7+Title_RESULTS!$C$17),0,(+$K39-$F39))</f>
        <v>2114.1163492127325</v>
      </c>
      <c r="M39" s="23">
        <f>IF(A39&gt;=(Title_RESULTS!$H$7+Title_RESULTS!$C$17),0,(+M38+$L39/(1+Title_RESULTS!$C$37)^('Sheet7(F_23)'!$A39-Title_RESULTS!$H$7)))</f>
        <v>1031.256964010959</v>
      </c>
    </row>
    <row r="40" spans="1:13" ht="12.75">
      <c r="A40">
        <f t="shared" si="0"/>
        <v>2044</v>
      </c>
      <c r="B40" s="5">
        <f>IF(A40&gt;=(Title_RESULTS!$H$7+Title_RESULTS!$C$17),0,(IF($A40&gt;=Title_RESULTS!$H$8,(Partcipation!$B39+(Partcipation!$B40-Partcipation!$B39)/2)*Title_RESULTS!$C$35*(1+Title_RESULTS!$C$36/100)^('Sheet7(F_23)'!$A40-Title_RESULTS!$H$7),0)))</f>
        <v>0</v>
      </c>
      <c r="C40" s="5">
        <f>IF(A40&gt;=(Title_RESULTS!$H$7+Title_RESULTS!$C$17),0,(+'Sheet6(p_6)'!$D40))</f>
        <v>0</v>
      </c>
      <c r="D40" s="5">
        <f>IF(A40&gt;=(Title_RESULTS!$H$7+Title_RESULTS!$C$17),0,(+'Sheet6(p_6)'!$J40))</f>
        <v>0</v>
      </c>
      <c r="E40" s="5">
        <f>IF(A40&gt;=(Title_RESULTS!$H$7+Title_RESULTS!$C$17),0,(+'f-11B'!$N39))</f>
        <v>0</v>
      </c>
      <c r="F40" s="5">
        <f>IF(A40&gt;=(Title_RESULTS!$H$7+Title_RESULTS!$C$17),0,(SUM(B40:E40)))</f>
        <v>0</v>
      </c>
      <c r="G40" s="5">
        <f>IF(A40&gt;=(Title_RESULTS!$H$7+Title_RESULTS!$C$17),0,('Sheet3(F_21)'!$J40))</f>
        <v>467.1752824721824</v>
      </c>
      <c r="H40" s="5">
        <f>IF(A40&gt;=(Title_RESULTS!$H$7+Title_RESULTS!$C$17),0,(+'Sheet4(F_22)'!$D40+'Sheet4(F_22)'!$G40))</f>
        <v>192.96461951272778</v>
      </c>
      <c r="I40" s="5">
        <f>IF(A40&gt;=(Title_RESULTS!$H$7+Title_RESULTS!$C$17),0,(+'Sheet4(F_22)'!$H40))</f>
        <v>1417.4836800359042</v>
      </c>
      <c r="J40" s="5">
        <f>IF(A40&gt;=(Title_RESULTS!$H$7+Title_RESULTS!$C$17),0,(IF(Title_RESULTS!$C$31&lt;0,((Partcipation!$B39+(Partcipation!$B40-Partcipation!$B39)/2)*(ABS(Title_RESULTS!$C$31)*(1+Title_RESULTS!$C$32/100)^('Sheet7(F_23)'!$A40-Title_RESULTS!$H$7))/1000)+'f-11B'!$O39,+'f-11B'!$O39)))</f>
        <v>0</v>
      </c>
      <c r="K40" s="5">
        <f>IF(A40&gt;=(Title_RESULTS!$H$7+Title_RESULTS!$C$17),0,(SUM(G40:J40)))</f>
        <v>2077.6235820208144</v>
      </c>
      <c r="L40" s="23">
        <f>IF(A40&gt;=(Title_RESULTS!$H$7+Title_RESULTS!$C$17),0,(+$K40-$F40))</f>
        <v>2077.6235820208144</v>
      </c>
      <c r="M40" s="23">
        <f>IF(A40&gt;=(Title_RESULTS!$H$7+Title_RESULTS!$C$17),0,(+M39+$L40/(1+Title_RESULTS!$C$37)^('Sheet7(F_23)'!$A40-Title_RESULTS!$H$7)))</f>
        <v>1433.5719089280558</v>
      </c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L42">SUM(B16:B41)</f>
        <v>0</v>
      </c>
      <c r="C42" s="5">
        <f t="shared" si="1"/>
        <v>76.8144</v>
      </c>
      <c r="D42" s="5">
        <f t="shared" si="1"/>
        <v>15308.508505249998</v>
      </c>
      <c r="E42" s="5">
        <f t="shared" si="1"/>
        <v>0</v>
      </c>
      <c r="F42" s="5">
        <f t="shared" si="1"/>
        <v>15385.32290525</v>
      </c>
      <c r="G42" s="5">
        <f t="shared" si="1"/>
        <v>10739.770134693925</v>
      </c>
      <c r="H42" s="5">
        <f t="shared" si="1"/>
        <v>4236.923218188394</v>
      </c>
      <c r="I42" s="5">
        <f t="shared" si="1"/>
        <v>22745.826740976878</v>
      </c>
      <c r="J42" s="5">
        <f t="shared" si="1"/>
        <v>0</v>
      </c>
      <c r="K42" s="5">
        <f t="shared" si="1"/>
        <v>37722.52009385919</v>
      </c>
      <c r="L42" s="5">
        <f t="shared" si="1"/>
        <v>22337.197188609196</v>
      </c>
      <c r="M42" s="5"/>
    </row>
    <row r="43" spans="2:1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t="s">
        <v>118</v>
      </c>
      <c r="B44" s="5">
        <f>NPV(Title_RESULTS!$C$37,'Sheet7(F_23)'!B17:B41)+'Sheet7(F_23)'!B16</f>
        <v>0</v>
      </c>
      <c r="C44" s="5">
        <f>NPV(Title_RESULTS!$C$37,'Sheet7(F_23)'!C17:C41)+'Sheet7(F_23)'!C16</f>
        <v>71.76983152741104</v>
      </c>
      <c r="D44" s="5">
        <f>NPV(Title_RESULTS!$C$37,'Sheet7(F_23)'!D17:D41)+'Sheet7(F_23)'!D16</f>
        <v>14303.802661716687</v>
      </c>
      <c r="E44" s="5">
        <f>NPV(Title_RESULTS!$C$37,'Sheet7(F_23)'!E17:E41)+'Sheet7(F_23)'!E16</f>
        <v>0</v>
      </c>
      <c r="F44" s="5">
        <f>NPV(Title_RESULTS!$C$37,'Sheet7(F_23)'!F17:F41)+'Sheet7(F_23)'!F16</f>
        <v>14375.572493244099</v>
      </c>
      <c r="G44" s="5">
        <f>NPV(Title_RESULTS!$C$37,'Sheet7(F_23)'!G17:G41)+'Sheet7(F_23)'!G16</f>
        <v>4844.548550209019</v>
      </c>
      <c r="H44" s="5">
        <f>NPV(Title_RESULTS!$C$37,'Sheet7(F_23)'!H17:H41)+'Sheet7(F_23)'!H16</f>
        <v>1921.2279963922779</v>
      </c>
      <c r="I44" s="5">
        <f>NPV(Title_RESULTS!$C$37,'Sheet7(F_23)'!I17:I41)+'Sheet7(F_23)'!I16</f>
        <v>9043.367855570858</v>
      </c>
      <c r="J44" s="5">
        <f>NPV(Title_RESULTS!$C$37,'Sheet7(F_23)'!J17:J41)+'Sheet7(F_23)'!J16</f>
        <v>0</v>
      </c>
      <c r="K44" s="5">
        <f>NPV(Title_RESULTS!$C$37,'Sheet7(F_23)'!K17:K41)+'Sheet7(F_23)'!K16</f>
        <v>15809.144402172149</v>
      </c>
      <c r="L44" s="5">
        <f>NPV(Title_RESULTS!$C$37,'Sheet7(F_23)'!L17:L41)+'Sheet7(F_23)'!L16</f>
        <v>1433.57190892805</v>
      </c>
      <c r="M44" s="5"/>
    </row>
    <row r="46" spans="1:8" ht="12.75">
      <c r="A46" t="s">
        <v>162</v>
      </c>
      <c r="C46">
        <f>+Title_RESULTS!C37</f>
        <v>0.0708</v>
      </c>
      <c r="D46" t="s">
        <v>163</v>
      </c>
      <c r="H46" s="10">
        <f>+K44/F44</f>
        <v>1.0997227699698058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ENERGY STAR Certified Home</v>
      </c>
      <c r="L2" t="s">
        <v>55</v>
      </c>
    </row>
    <row r="3" ht="12.75">
      <c r="L3" s="35">
        <f>+Title_RESULTS!I4</f>
        <v>43599.32860648148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225.1046785743349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4090.05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4315.154678574335</v>
      </c>
      <c r="G16" s="5">
        <f>IF(A16&gt;=(Title_RESULTS!$H$7+Title_RESULTS!$C$17),0,(+'Sheet6(p_6)'!$H16))</f>
        <v>4987.25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4987.25</v>
      </c>
      <c r="K16" s="23">
        <f>IF(A16&gt;=(Title_RESULTS!$H$7+Title_RESULTS!$C$17),0,(+F16-J16))</f>
        <v>-672.0953214256651</v>
      </c>
      <c r="L16" s="23">
        <f>IF(A16&gt;=(Title_RESULTS!$H$7+Title_RESULTS!$C$17),0,(+$K16/((1+Title_RESULTS!$C$37)^('Sheet8(F_24)'!$A16-Title_RESULTS!$H$7))))</f>
        <v>-672.0953214256651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689.4508991582228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4090.05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4779.500899158223</v>
      </c>
      <c r="G17" s="5">
        <f>IF(A17&gt;=(Title_RESULTS!$H$7+Title_RESULTS!$C$17),0,(+'Sheet6(p_6)'!$H17))</f>
        <v>5101.956749999999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5101.956749999999</v>
      </c>
      <c r="K17" s="23">
        <f>IF(A17&gt;=(Title_RESULTS!$H$7+Title_RESULTS!$C$17),0,(+F17-J17))</f>
        <v>-322.45585084177674</v>
      </c>
      <c r="L17" s="23">
        <f>IF(A16&gt;=(Title_RESULTS!$H$7+Title_RESULTS!$C$17),0,(+$K17/((1+Title_RESULTS!$C$37)^('Sheet8(F_24)'!$A17-Title_RESULTS!$H$7))+L16))</f>
        <v>-973.2307816813401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1169.7783162596802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4090.05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5259.82831625968</v>
      </c>
      <c r="G18" s="5">
        <f>IF(A18&gt;=(Title_RESULTS!$H$7+Title_RESULTS!$C$17),0,(+'Sheet6(p_6)'!$H18))</f>
        <v>5219.301755249999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5219.301755249999</v>
      </c>
      <c r="K18" s="23">
        <f>IF(A18&gt;=(Title_RESULTS!$H$7+Title_RESULTS!$C$17),0,(+F18-J18))</f>
        <v>40.526561009681245</v>
      </c>
      <c r="L18" s="23">
        <f>IF(A17&gt;=(Title_RESULTS!$H$7+Title_RESULTS!$C$17),0,(+$K18/((1+Title_RESULTS!$C$37)^('Sheet8(F_24)'!$A18-Title_RESULTS!$H$7))+L17))</f>
        <v>-937.8861852623775</v>
      </c>
      <c r="M18" s="5"/>
    </row>
    <row r="19" spans="1:13" ht="12.75">
      <c r="A19">
        <f aca="true" t="shared" si="0" ref="A19:A40">+A18+1</f>
        <v>2023</v>
      </c>
      <c r="B19" s="5">
        <f>IF(A19&gt;=(Title_RESULTS!$H$7+Title_RESULTS!$C$17),0,(+'Sheet6(p_6)'!N19-'Sheet6(p_6)'!R19))</f>
        <v>1410.0069803097279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1410.0069803097279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1410.0069803097279</v>
      </c>
      <c r="L19" s="23">
        <f>IF(A18&gt;=(Title_RESULTS!$H$7+Title_RESULTS!$C$17),0,(+$K19/((1+Title_RESULTS!$C$37)^('Sheet8(F_24)'!$A19-Title_RESULTS!$H$7))+L18))</f>
        <v>210.5217245939673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1443.8777037147004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1443.8777037147004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1443.8777037147004</v>
      </c>
      <c r="L20" s="23">
        <f>IF(A19&gt;=(Title_RESULTS!$H$7+Title_RESULTS!$C$17),0,(+$K20/((1+Title_RESULTS!$C$37)^('Sheet8(F_24)'!$A20-Title_RESULTS!$H$7))+L19))</f>
        <v>1308.7609723789637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1479.5121291457936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1479.5121291457936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1479.5121291457936</v>
      </c>
      <c r="L21" s="23">
        <f>IF(A20&gt;=(Title_RESULTS!$H$7+Title_RESULTS!$C$17),0,(+$K21/((1+Title_RESULTS!$C$37)^('Sheet8(F_24)'!$A21-Title_RESULTS!$H$7))+L20))</f>
        <v>2359.6980569331427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1510.9581101941044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1510.9581101941044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1510.9581101941044</v>
      </c>
      <c r="L22" s="23">
        <f>IF(A21&gt;=(Title_RESULTS!$H$7+Title_RESULTS!$C$17),0,(+$K22/((1+Title_RESULTS!$C$37)^('Sheet8(F_24)'!$A22-Title_RESULTS!$H$7))+L21))</f>
        <v>3362.008485557777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1550.2258780666834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1550.2258780666834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1550.2258780666834</v>
      </c>
      <c r="L23" s="23">
        <f>IF(A22&gt;=(Title_RESULTS!$H$7+Title_RESULTS!$C$17),0,(+$K23/((1+Title_RESULTS!$C$37)^('Sheet8(F_24)'!$A23-Title_RESULTS!$H$7))+L22))</f>
        <v>4322.37375244154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1610.051226230559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1610.051226230559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1610.051226230559</v>
      </c>
      <c r="L24" s="23">
        <f>IF(A23&gt;=(Title_RESULTS!$H$7+Title_RESULTS!$C$17),0,(+$K24/((1+Title_RESULTS!$C$37)^('Sheet8(F_24)'!$A24-Title_RESULTS!$H$7))+L23))</f>
        <v>5253.852163924225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1649.6099492197798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1649.6099492197798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1649.6099492197798</v>
      </c>
      <c r="L25" s="23">
        <f>IF(A24&gt;=(Title_RESULTS!$H$7+Title_RESULTS!$C$17),0,(+$K25/((1+Title_RESULTS!$C$37)^('Sheet8(F_24)'!$A25-Title_RESULTS!$H$7))+L24))</f>
        <v>6145.115424781684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1714.0018028138034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1714.0018028138034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1714.0018028138034</v>
      </c>
      <c r="L26" s="23">
        <f>IF(A25&gt;=(Title_RESULTS!$H$7+Title_RESULTS!$C$17),0,(+$K26/((1+Title_RESULTS!$C$37)^('Sheet8(F_24)'!$A26-Title_RESULTS!$H$7))+L25))</f>
        <v>7009.939257275612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1747.1951407632387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1747.1951407632387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1747.1951407632387</v>
      </c>
      <c r="L27" s="23">
        <f>IF(A26&gt;=(Title_RESULTS!$H$7+Title_RESULTS!$C$17),0,(+$K27/((1+Title_RESULTS!$C$37)^('Sheet8(F_24)'!$A27-Title_RESULTS!$H$7))+L26))</f>
        <v>7833.222783850505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1806.2998038606095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1806.2998038606095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1806.2998038606095</v>
      </c>
      <c r="L28" s="23">
        <f>IF(A27&gt;=(Title_RESULTS!$H$7+Title_RESULTS!$C$17),0,(+$K28/((1+Title_RESULTS!$C$37)^('Sheet8(F_24)'!$A28-Title_RESULTS!$H$7))+L27))</f>
        <v>8628.080664808745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1832.3420915332829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1832.3420915332829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1832.3420915332829</v>
      </c>
      <c r="L29" s="23">
        <f>IF(A28&gt;=(Title_RESULTS!$H$7+Title_RESULTS!$C$17),0,(+$K29/((1+Title_RESULTS!$C$37)^('Sheet8(F_24)'!$A29-Title_RESULTS!$H$7))+L28))</f>
        <v>9381.085639561537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1892.265656874553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1892.265656874553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1892.265656874553</v>
      </c>
      <c r="L30" s="23">
        <f>IF(A29&gt;=(Title_RESULTS!$H$7+Title_RESULTS!$C$17),0,(+$K30/((1+Title_RESULTS!$C$37)^('Sheet8(F_24)'!$A30-Title_RESULTS!$H$7))+L29))</f>
        <v>10107.30033370514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1936.9423871978524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0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1936.9423871978524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1936.9423871978524</v>
      </c>
      <c r="L31" s="23">
        <f>IF(A30&gt;=(Title_RESULTS!$H$7+Title_RESULTS!$C$17),0,(+$K31/((1+Title_RESULTS!$C$37)^('Sheet8(F_24)'!$A31-Title_RESULTS!$H$7))+L30))</f>
        <v>10801.510973276747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1975.7926866587109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0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1975.7926866587109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1975.7926866587109</v>
      </c>
      <c r="L32" s="23">
        <f>IF(A31&gt;=(Title_RESULTS!$H$7+Title_RESULTS!$C$17),0,(+$K32/((1+Title_RESULTS!$C$37)^('Sheet8(F_24)'!$A32-Title_RESULTS!$H$7))+L31))</f>
        <v>11462.82475480631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2034.7831001514642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0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2034.7831001514642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2034.7831001514642</v>
      </c>
      <c r="L33" s="23">
        <f>IF(A32&gt;=(Title_RESULTS!$H$7+Title_RESULTS!$C$17),0,(+$K33/((1+Title_RESULTS!$C$37)^('Sheet8(F_24)'!$A33-Title_RESULTS!$H$7))+L32))</f>
        <v>12098.852350729383</v>
      </c>
      <c r="M33" s="5"/>
    </row>
    <row r="34" spans="1:13" ht="12.75">
      <c r="A34">
        <f t="shared" si="0"/>
        <v>2038</v>
      </c>
      <c r="B34" s="5">
        <f>IF(A34&gt;=(Title_RESULTS!$H$7+Title_RESULTS!$C$17),0,(+'Sheet6(p_6)'!N34-'Sheet6(p_6)'!R34))</f>
        <v>2067.3314828531325</v>
      </c>
      <c r="C34" s="5">
        <f>IF(A34&gt;=(Title_RESULTS!$H$7+Title_RESULTS!$C$17),0,(IF(Partcipation!$B34=0,0,((Partcipation!$B34-Partcipation!$B33)*Title_RESULTS!$C$33*(1+Title_RESULTS!$C$35/100)^('Sheet8(F_24)'!$A34-Title_RESULTS!$H$7))/1000)))</f>
        <v>0</v>
      </c>
      <c r="D34" s="5">
        <f>IF(A34&gt;=(Title_RESULTS!$H$7+Title_RESULTS!$C$17),0,(+'Sheet6(p_6)'!$G34))</f>
        <v>0</v>
      </c>
      <c r="E34" s="5">
        <f>IF(A34&gt;=(Title_RESULTS!$H$7+Title_RESULTS!$C$17),0,(IF(Title_RESULTS!$C$31&lt;0,((Partcipation!$B33+(Partcipation!$B34-Partcipation!$B33)/2)*(ABS(Title_RESULTS!$C$31)*(1+Title_RESULTS!$C$32/100)^('Sheet6(p_6)'!$A34-Title_RESULTS!$H$7))/1000)+'f-11B'!$Q33,+'f-11B'!$Q33)))</f>
        <v>0</v>
      </c>
      <c r="F34" s="5">
        <f>IF(A34&gt;=(Title_RESULTS!$H$7+Title_RESULTS!$C$17),0,(SUM(B34:E34)))</f>
        <v>2067.3314828531325</v>
      </c>
      <c r="G34" s="5">
        <f>IF(A34&gt;=(Title_RESULTS!$H$7+Title_RESULTS!$C$17),0,(+'Sheet6(p_6)'!$H34))</f>
        <v>0</v>
      </c>
      <c r="H34" s="5">
        <f>IF(A34&gt;=(Title_RESULTS!$H$7+Title_RESULTS!$C$17),0,(+'Sheet6(p_6)'!$I34))</f>
        <v>0</v>
      </c>
      <c r="I34" s="5">
        <f>IF(A34&gt;=(Title_RESULTS!$H$7+Title_RESULTS!$C$17),0,(+'f-11B'!$P33))</f>
        <v>0</v>
      </c>
      <c r="J34" s="5">
        <f>IF(A34&gt;=(Title_RESULTS!$H$7+Title_RESULTS!$C$17),0,(SUM(G34:I34)))</f>
        <v>0</v>
      </c>
      <c r="K34" s="23">
        <f>IF(A34&gt;=(Title_RESULTS!$H$7+Title_RESULTS!$C$17),0,(+F34-J34))</f>
        <v>2067.3314828531325</v>
      </c>
      <c r="L34" s="23">
        <f>IF(A33&gt;=(Title_RESULTS!$H$7+Title_RESULTS!$C$17),0,(+$K34/((1+Title_RESULTS!$C$37)^('Sheet8(F_24)'!$A34-Title_RESULTS!$H$7))+L33))</f>
        <v>12702.327781173204</v>
      </c>
      <c r="M34" s="5"/>
    </row>
    <row r="35" spans="1:13" ht="12.75">
      <c r="A35">
        <f t="shared" si="0"/>
        <v>2039</v>
      </c>
      <c r="B35" s="5">
        <f>IF(A35&gt;=(Title_RESULTS!$H$7+Title_RESULTS!$C$17),0,(+'Sheet6(p_6)'!N35-'Sheet6(p_6)'!R35))</f>
        <v>2114.1142034459235</v>
      </c>
      <c r="C35" s="5">
        <f>IF(A35&gt;=(Title_RESULTS!$H$7+Title_RESULTS!$C$17),0,(IF(Partcipation!$B35=0,0,((Partcipation!$B35-Partcipation!$B34)*Title_RESULTS!$C$33*(1+Title_RESULTS!$C$35/100)^('Sheet8(F_24)'!$A35-Title_RESULTS!$H$7))/1000)))</f>
        <v>0</v>
      </c>
      <c r="D35" s="5">
        <f>IF(A35&gt;=(Title_RESULTS!$H$7+Title_RESULTS!$C$17),0,(+'Sheet6(p_6)'!$G35))</f>
        <v>0</v>
      </c>
      <c r="E35" s="5">
        <f>IF(A35&gt;=(Title_RESULTS!$H$7+Title_RESULTS!$C$17),0,(IF(Title_RESULTS!$C$31&lt;0,((Partcipation!$B34+(Partcipation!$B35-Partcipation!$B34)/2)*(ABS(Title_RESULTS!$C$31)*(1+Title_RESULTS!$C$32/100)^('Sheet6(p_6)'!$A35-Title_RESULTS!$H$7))/1000)+'f-11B'!$Q34,+'f-11B'!$Q34)))</f>
        <v>0</v>
      </c>
      <c r="F35" s="5">
        <f>IF(A35&gt;=(Title_RESULTS!$H$7+Title_RESULTS!$C$17),0,(SUM(B35:E35)))</f>
        <v>2114.1142034459235</v>
      </c>
      <c r="G35" s="5">
        <f>IF(A35&gt;=(Title_RESULTS!$H$7+Title_RESULTS!$C$17),0,(+'Sheet6(p_6)'!$H35))</f>
        <v>0</v>
      </c>
      <c r="H35" s="5">
        <f>IF(A35&gt;=(Title_RESULTS!$H$7+Title_RESULTS!$C$17),0,(+'Sheet6(p_6)'!$I35))</f>
        <v>0</v>
      </c>
      <c r="I35" s="5">
        <f>IF(A35&gt;=(Title_RESULTS!$H$7+Title_RESULTS!$C$17),0,(+'f-11B'!$P34))</f>
        <v>0</v>
      </c>
      <c r="J35" s="5">
        <f>IF(A35&gt;=(Title_RESULTS!$H$7+Title_RESULTS!$C$17),0,(SUM(G35:I35)))</f>
        <v>0</v>
      </c>
      <c r="K35" s="23">
        <f>IF(A35&gt;=(Title_RESULTS!$H$7+Title_RESULTS!$C$17),0,(+F35-J35))</f>
        <v>2114.1142034459235</v>
      </c>
      <c r="L35" s="23">
        <f>IF(A34&gt;=(Title_RESULTS!$H$7+Title_RESULTS!$C$17),0,(+$K35/((1+Title_RESULTS!$C$37)^('Sheet8(F_24)'!$A35-Title_RESULTS!$H$7))+L34))</f>
        <v>13278.655564317834</v>
      </c>
      <c r="M35" s="5"/>
    </row>
    <row r="36" spans="1:13" ht="12.75">
      <c r="A36">
        <f t="shared" si="0"/>
        <v>2040</v>
      </c>
      <c r="B36" s="5">
        <f>IF(A36&gt;=(Title_RESULTS!$H$7+Title_RESULTS!$C$17),0,(+'Sheet6(p_6)'!N36-'Sheet6(p_6)'!R36))</f>
        <v>2136.691402183629</v>
      </c>
      <c r="C36" s="5">
        <f>IF(A36&gt;=(Title_RESULTS!$H$7+Title_RESULTS!$C$17),0,(IF(Partcipation!$B36=0,0,((Partcipation!$B36-Partcipation!$B35)*Title_RESULTS!$C$33*(1+Title_RESULTS!$C$35/100)^('Sheet8(F_24)'!$A36-Title_RESULTS!$H$7))/1000)))</f>
        <v>0</v>
      </c>
      <c r="D36" s="5">
        <f>IF(A36&gt;=(Title_RESULTS!$H$7+Title_RESULTS!$C$17),0,(+'Sheet6(p_6)'!$G36))</f>
        <v>0</v>
      </c>
      <c r="E36" s="5">
        <f>IF(A36&gt;=(Title_RESULTS!$H$7+Title_RESULTS!$C$17),0,(IF(Title_RESULTS!$C$31&lt;0,((Partcipation!$B35+(Partcipation!$B36-Partcipation!$B35)/2)*(ABS(Title_RESULTS!$C$31)*(1+Title_RESULTS!$C$32/100)^('Sheet6(p_6)'!$A36-Title_RESULTS!$H$7))/1000)+'f-11B'!$Q35,+'f-11B'!$Q35)))</f>
        <v>0</v>
      </c>
      <c r="F36" s="5">
        <f>IF(A36&gt;=(Title_RESULTS!$H$7+Title_RESULTS!$C$17),0,(SUM(B36:E36)))</f>
        <v>2136.691402183629</v>
      </c>
      <c r="G36" s="5">
        <f>IF(A36&gt;=(Title_RESULTS!$H$7+Title_RESULTS!$C$17),0,(+'Sheet6(p_6)'!$H36))</f>
        <v>0</v>
      </c>
      <c r="H36" s="5">
        <f>IF(A36&gt;=(Title_RESULTS!$H$7+Title_RESULTS!$C$17),0,(+'Sheet6(p_6)'!$I36))</f>
        <v>0</v>
      </c>
      <c r="I36" s="5">
        <f>IF(A36&gt;=(Title_RESULTS!$H$7+Title_RESULTS!$C$17),0,(+'f-11B'!$P35))</f>
        <v>0</v>
      </c>
      <c r="J36" s="5">
        <f>IF(A36&gt;=(Title_RESULTS!$H$7+Title_RESULTS!$C$17),0,(SUM(G36:I36)))</f>
        <v>0</v>
      </c>
      <c r="K36" s="23">
        <f>IF(A36&gt;=(Title_RESULTS!$H$7+Title_RESULTS!$C$17),0,(+F36-J36))</f>
        <v>2136.691402183629</v>
      </c>
      <c r="L36" s="23">
        <f>IF(A35&gt;=(Title_RESULTS!$H$7+Title_RESULTS!$C$17),0,(+$K36/((1+Title_RESULTS!$C$37)^('Sheet8(F_24)'!$A36-Title_RESULTS!$H$7))+L35))</f>
        <v>13822.625067296443</v>
      </c>
      <c r="M36" s="5"/>
    </row>
    <row r="37" spans="1:13" ht="12.75">
      <c r="A37">
        <f t="shared" si="0"/>
        <v>2041</v>
      </c>
      <c r="B37" s="5">
        <f>IF(A37&gt;=(Title_RESULTS!$H$7+Title_RESULTS!$C$17),0,(+'Sheet6(p_6)'!N37-'Sheet6(p_6)'!R37))</f>
        <v>2196.4480897021253</v>
      </c>
      <c r="C37" s="5">
        <f>IF(A37&gt;=(Title_RESULTS!$H$7+Title_RESULTS!$C$17),0,(IF(Partcipation!$B37=0,0,((Partcipation!$B37-Partcipation!$B36)*Title_RESULTS!$C$33*(1+Title_RESULTS!$C$35/100)^('Sheet8(F_24)'!$A37-Title_RESULTS!$H$7))/1000)))</f>
        <v>0</v>
      </c>
      <c r="D37" s="5">
        <f>IF(A37&gt;=(Title_RESULTS!$H$7+Title_RESULTS!$C$17),0,(+'Sheet6(p_6)'!$G37))</f>
        <v>0</v>
      </c>
      <c r="E37" s="5">
        <f>IF(A37&gt;=(Title_RESULTS!$H$7+Title_RESULTS!$C$17),0,(IF(Title_RESULTS!$C$31&lt;0,((Partcipation!$B36+(Partcipation!$B37-Partcipation!$B36)/2)*(ABS(Title_RESULTS!$C$31)*(1+Title_RESULTS!$C$32/100)^('Sheet6(p_6)'!$A37-Title_RESULTS!$H$7))/1000)+'f-11B'!$Q36,+'f-11B'!$Q36)))</f>
        <v>0</v>
      </c>
      <c r="F37" s="5">
        <f>IF(A37&gt;=(Title_RESULTS!$H$7+Title_RESULTS!$C$17),0,(SUM(B37:E37)))</f>
        <v>2196.4480897021253</v>
      </c>
      <c r="G37" s="5">
        <f>IF(A37&gt;=(Title_RESULTS!$H$7+Title_RESULTS!$C$17),0,(+'Sheet6(p_6)'!$H37))</f>
        <v>0</v>
      </c>
      <c r="H37" s="5">
        <f>IF(A37&gt;=(Title_RESULTS!$H$7+Title_RESULTS!$C$17),0,(+'Sheet6(p_6)'!$I37))</f>
        <v>0</v>
      </c>
      <c r="I37" s="5">
        <f>IF(A37&gt;=(Title_RESULTS!$H$7+Title_RESULTS!$C$17),0,(+'f-11B'!$P36))</f>
        <v>0</v>
      </c>
      <c r="J37" s="5">
        <f>IF(A37&gt;=(Title_RESULTS!$H$7+Title_RESULTS!$C$17),0,(SUM(G37:I37)))</f>
        <v>0</v>
      </c>
      <c r="K37" s="23">
        <f>IF(A37&gt;=(Title_RESULTS!$H$7+Title_RESULTS!$C$17),0,(+F37-J37))</f>
        <v>2196.4480897021253</v>
      </c>
      <c r="L37" s="23">
        <f>IF(A36&gt;=(Title_RESULTS!$H$7+Title_RESULTS!$C$17),0,(+$K37/((1+Title_RESULTS!$C$37)^('Sheet8(F_24)'!$A37-Title_RESULTS!$H$7))+L36))</f>
        <v>14344.835243892425</v>
      </c>
      <c r="M37" s="5"/>
    </row>
    <row r="38" spans="1:13" ht="12.75">
      <c r="A38">
        <f t="shared" si="0"/>
        <v>2042</v>
      </c>
      <c r="B38" s="5">
        <f>IF(A38&gt;=(Title_RESULTS!$H$7+Title_RESULTS!$C$17),0,(+'Sheet6(p_6)'!N38-'Sheet6(p_6)'!R38))</f>
        <v>2255.908621839885</v>
      </c>
      <c r="C38" s="5">
        <f>IF(A38&gt;=(Title_RESULTS!$H$7+Title_RESULTS!$C$17),0,(IF(Partcipation!$B38=0,0,((Partcipation!$B38-Partcipation!$B37)*Title_RESULTS!$C$33*(1+Title_RESULTS!$C$35/100)^('Sheet8(F_24)'!$A38-Title_RESULTS!$H$7))/1000)))</f>
        <v>0</v>
      </c>
      <c r="D38" s="5">
        <f>IF(A38&gt;=(Title_RESULTS!$H$7+Title_RESULTS!$C$17),0,(+'Sheet6(p_6)'!$G38))</f>
        <v>0</v>
      </c>
      <c r="E38" s="5">
        <f>IF(A38&gt;=(Title_RESULTS!$H$7+Title_RESULTS!$C$17),0,(IF(Title_RESULTS!$C$31&lt;0,((Partcipation!$B37+(Partcipation!$B38-Partcipation!$B37)/2)*(ABS(Title_RESULTS!$C$31)*(1+Title_RESULTS!$C$32/100)^('Sheet6(p_6)'!$A38-Title_RESULTS!$H$7))/1000)+'f-11B'!$Q37,+'f-11B'!$Q37)))</f>
        <v>0</v>
      </c>
      <c r="F38" s="5">
        <f>IF(A38&gt;=(Title_RESULTS!$H$7+Title_RESULTS!$C$17),0,(SUM(B38:E38)))</f>
        <v>2255.908621839885</v>
      </c>
      <c r="G38" s="5">
        <f>IF(A38&gt;=(Title_RESULTS!$H$7+Title_RESULTS!$C$17),0,(+'Sheet6(p_6)'!$H38))</f>
        <v>0</v>
      </c>
      <c r="H38" s="5">
        <f>IF(A38&gt;=(Title_RESULTS!$H$7+Title_RESULTS!$C$17),0,(+'Sheet6(p_6)'!$I38))</f>
        <v>0</v>
      </c>
      <c r="I38" s="5">
        <f>IF(A38&gt;=(Title_RESULTS!$H$7+Title_RESULTS!$C$17),0,(+'f-11B'!$P37))</f>
        <v>0</v>
      </c>
      <c r="J38" s="5">
        <f>IF(A38&gt;=(Title_RESULTS!$H$7+Title_RESULTS!$C$17),0,(SUM(G38:I38)))</f>
        <v>0</v>
      </c>
      <c r="K38" s="23">
        <f>IF(A38&gt;=(Title_RESULTS!$H$7+Title_RESULTS!$C$17),0,(+F38-J38))</f>
        <v>2255.908621839885</v>
      </c>
      <c r="L38" s="23">
        <f>IF(A37&gt;=(Title_RESULTS!$H$7+Title_RESULTS!$C$17),0,(+$K38/((1+Title_RESULTS!$C$37)^('Sheet8(F_24)'!$A38-Title_RESULTS!$H$7))+L37))</f>
        <v>14845.719670312581</v>
      </c>
      <c r="M38" s="5"/>
    </row>
    <row r="39" spans="1:13" ht="12.75">
      <c r="A39">
        <f t="shared" si="0"/>
        <v>2043</v>
      </c>
      <c r="B39" s="5">
        <f>IF(A39&gt;=(Title_RESULTS!$H$7+Title_RESULTS!$C$17),0,(+'Sheet6(p_6)'!N39-'Sheet6(p_6)'!R39))</f>
        <v>2298.5110514352955</v>
      </c>
      <c r="C39" s="5">
        <f>IF(A39&gt;=(Title_RESULTS!$H$7+Title_RESULTS!$C$17),0,(IF(Partcipation!$B39=0,0,((Partcipation!$B39-Partcipation!$B38)*Title_RESULTS!$C$33*(1+Title_RESULTS!$C$35/100)^('Sheet8(F_24)'!$A39-Title_RESULTS!$H$7))/1000)))</f>
        <v>0</v>
      </c>
      <c r="D39" s="5">
        <f>IF(A39&gt;=(Title_RESULTS!$H$7+Title_RESULTS!$C$17),0,(+'Sheet6(p_6)'!$G39))</f>
        <v>0</v>
      </c>
      <c r="E39" s="5">
        <f>IF(A39&gt;=(Title_RESULTS!$H$7+Title_RESULTS!$C$17),0,(IF(Title_RESULTS!$C$31&lt;0,((Partcipation!$B38+(Partcipation!$B39-Partcipation!$B38)/2)*(ABS(Title_RESULTS!$C$31)*(1+Title_RESULTS!$C$32/100)^('Sheet6(p_6)'!$A39-Title_RESULTS!$H$7))/1000)+'f-11B'!$Q38,+'f-11B'!$Q38)))</f>
        <v>0</v>
      </c>
      <c r="F39" s="5">
        <f>IF(A39&gt;=(Title_RESULTS!$H$7+Title_RESULTS!$C$17),0,(SUM(B39:E39)))</f>
        <v>2298.5110514352955</v>
      </c>
      <c r="G39" s="5">
        <f>IF(A39&gt;=(Title_RESULTS!$H$7+Title_RESULTS!$C$17),0,(+'Sheet6(p_6)'!$H39))</f>
        <v>0</v>
      </c>
      <c r="H39" s="5">
        <f>IF(A39&gt;=(Title_RESULTS!$H$7+Title_RESULTS!$C$17),0,(+'Sheet6(p_6)'!$I39))</f>
        <v>0</v>
      </c>
      <c r="I39" s="5">
        <f>IF(A39&gt;=(Title_RESULTS!$H$7+Title_RESULTS!$C$17),0,(+'f-11B'!$P38))</f>
        <v>0</v>
      </c>
      <c r="J39" s="5">
        <f>IF(A39&gt;=(Title_RESULTS!$H$7+Title_RESULTS!$C$17),0,(SUM(G39:I39)))</f>
        <v>0</v>
      </c>
      <c r="K39" s="23">
        <f>IF(A39&gt;=(Title_RESULTS!$H$7+Title_RESULTS!$C$17),0,(+F39-J39))</f>
        <v>2298.5110514352955</v>
      </c>
      <c r="L39" s="23">
        <f>IF(A38&gt;=(Title_RESULTS!$H$7+Title_RESULTS!$C$17),0,(+$K39/((1+Title_RESULTS!$C$37)^('Sheet8(F_24)'!$A39-Title_RESULTS!$H$7))+L38))</f>
        <v>15322.319912141524</v>
      </c>
      <c r="M39" s="5"/>
    </row>
    <row r="40" spans="1:13" ht="12.75">
      <c r="A40">
        <f t="shared" si="0"/>
        <v>2044</v>
      </c>
      <c r="B40" s="5">
        <f>IF(A40&gt;=(Title_RESULTS!$H$7+Title_RESULTS!$C$17),0,(+'Sheet6(p_6)'!N40-'Sheet6(p_6)'!R40))</f>
        <v>2294.446363626646</v>
      </c>
      <c r="C40" s="5">
        <f>IF(A40&gt;=(Title_RESULTS!$H$7+Title_RESULTS!$C$17),0,(IF(Partcipation!$B40=0,0,((Partcipation!$B40-Partcipation!$B39)*Title_RESULTS!$C$33*(1+Title_RESULTS!$C$35/100)^('Sheet8(F_24)'!$A40-Title_RESULTS!$H$7))/1000)))</f>
        <v>0</v>
      </c>
      <c r="D40" s="5">
        <f>IF(A40&gt;=(Title_RESULTS!$H$7+Title_RESULTS!$C$17),0,(+'Sheet6(p_6)'!$G40))</f>
        <v>0</v>
      </c>
      <c r="E40" s="5">
        <f>IF(A40&gt;=(Title_RESULTS!$H$7+Title_RESULTS!$C$17),0,(IF(Title_RESULTS!$C$31&lt;0,((Partcipation!$B39+(Partcipation!$B40-Partcipation!$B39)/2)*(ABS(Title_RESULTS!$C$31)*(1+Title_RESULTS!$C$32/100)^('Sheet6(p_6)'!$A40-Title_RESULTS!$H$7))/1000)+'f-11B'!$Q39,+'f-11B'!$Q39)))</f>
        <v>0</v>
      </c>
      <c r="F40" s="5">
        <f>IF(A40&gt;=(Title_RESULTS!$H$7+Title_RESULTS!$C$17),0,(SUM(B40:E40)))</f>
        <v>2294.446363626646</v>
      </c>
      <c r="G40" s="5">
        <f>IF(A40&gt;=(Title_RESULTS!$H$7+Title_RESULTS!$C$17),0,(+'Sheet6(p_6)'!$H40))</f>
        <v>0</v>
      </c>
      <c r="H40" s="5">
        <f>IF(A40&gt;=(Title_RESULTS!$H$7+Title_RESULTS!$C$17),0,(+'Sheet6(p_6)'!$I40))</f>
        <v>0</v>
      </c>
      <c r="I40" s="5">
        <f>IF(A40&gt;=(Title_RESULTS!$H$7+Title_RESULTS!$C$17),0,(+'f-11B'!$P39))</f>
        <v>0</v>
      </c>
      <c r="J40" s="5">
        <f>IF(A40&gt;=(Title_RESULTS!$H$7+Title_RESULTS!$C$17),0,(SUM(G40:I40)))</f>
        <v>0</v>
      </c>
      <c r="K40" s="23">
        <f>IF(A40&gt;=(Title_RESULTS!$H$7+Title_RESULTS!$C$17),0,(+F40-J40))</f>
        <v>2294.446363626646</v>
      </c>
      <c r="L40" s="23">
        <f>IF(A39&gt;=(Title_RESULTS!$H$7+Title_RESULTS!$C$17),0,(+$K40/((1+Title_RESULTS!$C$37)^('Sheet8(F_24)'!$A40-Title_RESULTS!$H$7))+L39))</f>
        <v>15766.620829009167</v>
      </c>
      <c r="M40" s="5"/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K42">SUM(B16:B41)</f>
        <v>43041.64975581374</v>
      </c>
      <c r="C42" s="5">
        <f t="shared" si="1"/>
        <v>0</v>
      </c>
      <c r="D42" s="5">
        <f t="shared" si="1"/>
        <v>12270.150000000001</v>
      </c>
      <c r="E42" s="5">
        <f t="shared" si="1"/>
        <v>0</v>
      </c>
      <c r="F42" s="5">
        <f t="shared" si="1"/>
        <v>55311.799755813736</v>
      </c>
      <c r="G42" s="5">
        <f t="shared" si="1"/>
        <v>15308.508505249998</v>
      </c>
      <c r="H42" s="5">
        <f t="shared" si="1"/>
        <v>0</v>
      </c>
      <c r="I42" s="5">
        <f t="shared" si="1"/>
        <v>0</v>
      </c>
      <c r="J42" s="5">
        <f t="shared" si="1"/>
        <v>15308.508505249998</v>
      </c>
      <c r="K42" s="5">
        <f t="shared" si="1"/>
        <v>40003.29125056374</v>
      </c>
      <c r="L42" s="5"/>
      <c r="M42" s="5"/>
    </row>
    <row r="43" ht="12.75">
      <c r="M43" s="5"/>
    </row>
    <row r="44" spans="1:13" ht="12.75">
      <c r="A44" t="s">
        <v>118</v>
      </c>
      <c r="B44" s="5">
        <f>NPV(Title_RESULTS!$C$37,'Sheet8(F_24)'!B17:B41)+'Sheet8(F_24)'!B16</f>
        <v>18593.680509563528</v>
      </c>
      <c r="C44" s="5">
        <f>NPV(Title_RESULTS!$C$37,'Sheet8(F_24)'!C17:C41)+'Sheet8(F_24)'!C16</f>
        <v>0</v>
      </c>
      <c r="D44" s="5">
        <f>NPV(Title_RESULTS!$C$37,'Sheet8(F_24)'!D17:D41)+'Sheet8(F_24)'!D16</f>
        <v>11476.742981162322</v>
      </c>
      <c r="E44" s="5">
        <f>NPV(Title_RESULTS!$C$37,'Sheet8(F_24)'!E17:E41)+'Sheet8(F_24)'!E16</f>
        <v>0</v>
      </c>
      <c r="F44" s="5">
        <f>NPV(Title_RESULTS!$C$37,'Sheet8(F_24)'!F17:F41)+'Sheet8(F_24)'!F16</f>
        <v>30070.423490725847</v>
      </c>
      <c r="G44" s="5">
        <f>NPV(Title_RESULTS!$C$37,'Sheet8(F_24)'!G17:G41)+'Sheet8(F_24)'!G16</f>
        <v>14303.802661716687</v>
      </c>
      <c r="H44" s="5">
        <f>NPV(Title_RESULTS!$C$37,'Sheet8(F_24)'!H17:H41)+'Sheet8(F_24)'!H16</f>
        <v>0</v>
      </c>
      <c r="I44" s="5">
        <f>NPV(Title_RESULTS!$C$37,'Sheet8(F_24)'!I17:I41)+'Sheet8(F_24)'!I16</f>
        <v>0</v>
      </c>
      <c r="J44" s="5">
        <f>NPV(Title_RESULTS!$C$37,'Sheet8(F_24)'!J17:J41)+'Sheet8(F_24)'!J16</f>
        <v>14303.802661716687</v>
      </c>
      <c r="K44" s="5">
        <f>NPV(Title_RESULTS!$C$37,'Sheet8(F_24)'!K17:K41)+'Sheet8(F_24)'!K16</f>
        <v>15766.620829009164</v>
      </c>
      <c r="L44" s="5"/>
      <c r="M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1" ht="12.75">
      <c r="A46" t="s">
        <v>174</v>
      </c>
      <c r="D46">
        <f>+Title_RESULTS!H8</f>
        <v>2023</v>
      </c>
      <c r="F46">
        <f>+F44/J44</f>
        <v>2.102267781644361</v>
      </c>
      <c r="K46" s="10"/>
    </row>
    <row r="47" spans="1:10" ht="12.75">
      <c r="A47" t="s">
        <v>175</v>
      </c>
      <c r="D47">
        <f>+Title_RESULTS!C37</f>
        <v>0.0708</v>
      </c>
      <c r="J4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ENERGY STAR Certified Home</v>
      </c>
      <c r="N2" t="s">
        <v>55</v>
      </c>
    </row>
    <row r="3" ht="12.75">
      <c r="N3" s="35">
        <f>+Title_RESULTS!I4</f>
        <v>43599.32860648148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25</v>
      </c>
      <c r="D16" s="5">
        <f>IF(A16&gt;=(Title_RESULTS!$H$7+Title_RESULTS!$C$17),0,(+'Sheet6(p_6)'!$G16))</f>
        <v>4090.05</v>
      </c>
      <c r="E16" s="5">
        <f>+'Sheet6(p_6)'!M16</f>
        <v>159.6347945085</v>
      </c>
      <c r="F16">
        <f>IF(A16&gt;=(Title_RESULTS!$H$7+Title_RESULTS!$C$17),0,(+'f-11B'!$R15))</f>
        <v>0</v>
      </c>
      <c r="G16" s="5">
        <f>IF(A16&gt;=(Title_RESULTS!$H$7+Title_RESULTS!$C$17),0,(SUM(B16:F16)))</f>
        <v>4274.6847945085</v>
      </c>
      <c r="H16" s="5">
        <f>IF(A16&gt;=(Title_RESULTS!$H$7+Title_RESULTS!$C$17),0,(+'Sheet3(F_21)'!$J16+'Sheet4(F_22)'!$H16))</f>
        <v>82.63118453012363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82.63118453012363</v>
      </c>
      <c r="M16" s="23">
        <f>IF(A16&gt;=(Title_RESULTS!$H$7+Title_RESULTS!$C$17),0,(+L16-G16))</f>
        <v>-4192.053609978377</v>
      </c>
      <c r="N16" s="24">
        <f>IF(A16&gt;=(Title_RESULTS!$H$7+Title_RESULTS!$C$17),0,(+$M16/((1+Title_RESULTS!$C$37)^('Sheet9(F_25)'!$A16-Title_RESULTS!$H$7))))</f>
        <v>-4192.053609978377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25.6</v>
      </c>
      <c r="D17" s="5">
        <f>IF(A17&gt;=(Title_RESULTS!$H$7+Title_RESULTS!$C$17),0,(+'Sheet6(p_6)'!$G17))</f>
        <v>4090.05</v>
      </c>
      <c r="E17" s="5">
        <f>+'Sheet6(p_6)'!M17</f>
        <v>483.69342736075504</v>
      </c>
      <c r="F17">
        <f>IF(A17&gt;=(Title_RESULTS!$H$7+Title_RESULTS!$C$17),0,(+'f-11B'!$R16))</f>
        <v>0</v>
      </c>
      <c r="G17" s="5">
        <f>IF(A17&gt;=(Title_RESULTS!$H$7+Title_RESULTS!$C$17),0,(SUM(B17:F17)))</f>
        <v>4599.343427360755</v>
      </c>
      <c r="H17" s="5">
        <f>IF(A17&gt;=(Title_RESULTS!$H$7+Title_RESULTS!$C$17),0,(+'Sheet3(F_21)'!$J17+'Sheet4(F_22)'!$H17))</f>
        <v>245.87722381769504</v>
      </c>
      <c r="I17" s="5">
        <f>IF(A17&gt;=(Title_RESULTS!$H$7+Title_RESULTS!$C$17),0,(+'Sheet4(F_22)'!$D17+'Sheet4(F_22)'!$G17))</f>
        <v>85.17747543796735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331.0546992556624</v>
      </c>
      <c r="M17" s="23">
        <f>IF(A17&gt;=(Title_RESULTS!$H$7+Title_RESULTS!$C$17),0,(+L17-G17))</f>
        <v>-4268.2887281050935</v>
      </c>
      <c r="N17" s="24">
        <f>(IF(A16&gt;=(Title_RESULTS!$H$7+Title_RESULTS!$C$17),0,(+$M17/((1+Title_RESULTS!$C$37)^('Sheet9(F_25)'!$A17-Title_RESULTS!$H$7))+N16)))</f>
        <v>-8178.1282533339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26.214399999999998</v>
      </c>
      <c r="D18" s="5">
        <f>IF(A18&gt;=(Title_RESULTS!$H$7+Title_RESULTS!$C$17),0,(+'Sheet6(p_6)'!$G18))</f>
        <v>4090.05</v>
      </c>
      <c r="E18" s="5">
        <f>+'Sheet6(p_6)'!M18</f>
        <v>814.2172693906041</v>
      </c>
      <c r="F18">
        <f>IF(A18&gt;=(Title_RESULTS!$H$7+Title_RESULTS!$C$17),0,(+'f-11B'!$R17))</f>
        <v>0</v>
      </c>
      <c r="G18" s="5">
        <f>IF(A18&gt;=(Title_RESULTS!$H$7+Title_RESULTS!$C$17),0,(SUM(B18:F18)))</f>
        <v>4930.481669390604</v>
      </c>
      <c r="H18" s="5">
        <f>IF(A18&gt;=(Title_RESULTS!$H$7+Title_RESULTS!$C$17),0,(+'Sheet3(F_21)'!$J18+'Sheet4(F_22)'!$H18))</f>
        <v>422.936253560096</v>
      </c>
      <c r="I18" s="5">
        <f>IF(A18&gt;=(Title_RESULTS!$H$7+Title_RESULTS!$C$17),0,(+'Sheet4(F_22)'!$D18+'Sheet4(F_22)'!$G18))</f>
        <v>87.22173484847853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510.15798840857457</v>
      </c>
      <c r="M18" s="23">
        <f>IF(A18&gt;=(Title_RESULTS!$H$7+Title_RESULTS!$C$17),0,(+L18-G18))</f>
        <v>-4420.323680982029</v>
      </c>
      <c r="N18" s="24">
        <f>(IF(A17&gt;=(Title_RESULTS!$H$7+Title_RESULTS!$C$17),0,(+$M18/((1+Title_RESULTS!$C$37)^('Sheet9(F_25)'!$A18-Title_RESULTS!$H$7))+N17)))</f>
        <v>-12033.243334728808</v>
      </c>
    </row>
    <row r="19" spans="1:14" ht="12.75">
      <c r="A19">
        <f aca="true" t="shared" si="0" ref="A19:A4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986.8313305014123</v>
      </c>
      <c r="F19">
        <f>IF(A19&gt;=(Title_RESULTS!$H$7+Title_RESULTS!$C$17),0,(+'f-11B'!$R18))</f>
        <v>0</v>
      </c>
      <c r="G19" s="5">
        <f>IF(A19&gt;=(Title_RESULTS!$H$7+Title_RESULTS!$C$17),0,(SUM(B19:F19)))</f>
        <v>986.8313305014123</v>
      </c>
      <c r="H19" s="5">
        <f>IF(A19&gt;=(Title_RESULTS!$H$7+Title_RESULTS!$C$17),0,(+'Sheet3(F_21)'!$J19+'Sheet4(F_22)'!$H19))</f>
        <v>1104.2556162814606</v>
      </c>
      <c r="I19" s="5">
        <f>IF(A19&gt;=(Title_RESULTS!$H$7+Title_RESULTS!$C$17),0,(+'Sheet4(F_22)'!$D19+'Sheet4(F_22)'!$G19))</f>
        <v>186.23211590209127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1290.4877321835518</v>
      </c>
      <c r="M19" s="23">
        <f>IF(A19&gt;=(Title_RESULTS!$H$7+Title_RESULTS!$C$17),0,(+L19-G19))</f>
        <v>303.6564016821395</v>
      </c>
      <c r="N19" s="24">
        <f>(IF(A18&gt;=(Title_RESULTS!$H$7+Title_RESULTS!$C$17),0,(+$M19/((1+Title_RESULTS!$C$37)^('Sheet9(F_25)'!$A19-Title_RESULTS!$H$7))+N18)))</f>
        <v>-11785.924407631239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996.6996438064265</v>
      </c>
      <c r="F20">
        <f>IF(A20&gt;=(Title_RESULTS!$H$7+Title_RESULTS!$C$17),0,(+'f-11B'!$R19))</f>
        <v>0</v>
      </c>
      <c r="G20" s="5">
        <f>IF(A20&gt;=(Title_RESULTS!$H$7+Title_RESULTS!$C$17),0,(SUM(B20:F20)))</f>
        <v>996.6996438064265</v>
      </c>
      <c r="H20" s="5">
        <f>IF(A20&gt;=(Title_RESULTS!$H$7+Title_RESULTS!$C$17),0,(+'Sheet3(F_21)'!$J20+'Sheet4(F_22)'!$H20))</f>
        <v>1114.3393765222831</v>
      </c>
      <c r="I20" s="5">
        <f>IF(A20&gt;=(Title_RESULTS!$H$7+Title_RESULTS!$C$17),0,(+'Sheet4(F_22)'!$D20+'Sheet4(F_22)'!$G20))</f>
        <v>185.51372772410826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1299.8531042463915</v>
      </c>
      <c r="M20" s="23">
        <f>IF(A20&gt;=(Title_RESULTS!$H$7+Title_RESULTS!$C$17),0,(+L20-G20))</f>
        <v>303.153460439965</v>
      </c>
      <c r="N20" s="24">
        <f>(IF(A19&gt;=(Title_RESULTS!$H$7+Title_RESULTS!$C$17),0,(+$M20/((1+Title_RESULTS!$C$37)^('Sheet9(F_25)'!$A20-Title_RESULTS!$H$7))+N19)))</f>
        <v>-11555.340454779514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1006.6666402444907</v>
      </c>
      <c r="F21">
        <f>IF(A21&gt;=(Title_RESULTS!$H$7+Title_RESULTS!$C$17),0,(+'f-11B'!$R20))</f>
        <v>0</v>
      </c>
      <c r="G21" s="5">
        <f>IF(A21&gt;=(Title_RESULTS!$H$7+Title_RESULTS!$C$17),0,(SUM(B21:F21)))</f>
        <v>1006.6666402444907</v>
      </c>
      <c r="H21" s="5">
        <f>IF(A21&gt;=(Title_RESULTS!$H$7+Title_RESULTS!$C$17),0,(+'Sheet3(F_21)'!$J21+'Sheet4(F_22)'!$H21))</f>
        <v>1143.5634932163837</v>
      </c>
      <c r="I21" s="5">
        <f>IF(A21&gt;=(Title_RESULTS!$H$7+Title_RESULTS!$C$17),0,(+'Sheet4(F_22)'!$D21+'Sheet4(F_22)'!$G21))</f>
        <v>184.54916313962076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1328.1126563560044</v>
      </c>
      <c r="M21" s="23">
        <f>IF(A21&gt;=(Title_RESULTS!$H$7+Title_RESULTS!$C$17),0,(+L21-G21))</f>
        <v>321.4460161115137</v>
      </c>
      <c r="N21" s="24">
        <f>(IF(A20&gt;=(Title_RESULTS!$H$7+Title_RESULTS!$C$17),0,(+$M21/((1+Title_RESULTS!$C$37)^('Sheet9(F_25)'!$A21-Title_RESULTS!$H$7))+N20)))</f>
        <v>-11327.008741670254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1016.7333066469358</v>
      </c>
      <c r="F22">
        <f>IF(A22&gt;=(Title_RESULTS!$H$7+Title_RESULTS!$C$17),0,(+'f-11B'!$R21))</f>
        <v>0</v>
      </c>
      <c r="G22" s="5">
        <f>IF(A22&gt;=(Title_RESULTS!$H$7+Title_RESULTS!$C$17),0,(SUM(B22:F22)))</f>
        <v>1016.7333066469358</v>
      </c>
      <c r="H22" s="5">
        <f>IF(A22&gt;=(Title_RESULTS!$H$7+Title_RESULTS!$C$17),0,(+'Sheet3(F_21)'!$J22+'Sheet4(F_22)'!$H22))</f>
        <v>1153.317833820557</v>
      </c>
      <c r="I22" s="5">
        <f>IF(A22&gt;=(Title_RESULTS!$H$7+Title_RESULTS!$C$17),0,(+'Sheet4(F_22)'!$D22+'Sheet4(F_22)'!$G22))</f>
        <v>183.788604773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1337.1064385935572</v>
      </c>
      <c r="M22" s="23">
        <f>IF(A22&gt;=(Title_RESULTS!$H$7+Title_RESULTS!$C$17),0,(+L22-G22))</f>
        <v>320.37313194662136</v>
      </c>
      <c r="N22" s="24">
        <f>(IF(A21&gt;=(Title_RESULTS!$H$7+Title_RESULTS!$C$17),0,(+$M22/((1+Title_RESULTS!$C$37)^('Sheet9(F_25)'!$A22-Title_RESULTS!$H$7))+N21)))</f>
        <v>-11114.485754411538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1026.9006397134049</v>
      </c>
      <c r="F23">
        <f>IF(A23&gt;=(Title_RESULTS!$H$7+Title_RESULTS!$C$17),0,(+'f-11B'!$R22))</f>
        <v>0</v>
      </c>
      <c r="G23" s="5">
        <f>IF(A23&gt;=(Title_RESULTS!$H$7+Title_RESULTS!$C$17),0,(SUM(B23:F23)))</f>
        <v>1026.9006397134049</v>
      </c>
      <c r="H23" s="5">
        <f>IF(A23&gt;=(Title_RESULTS!$H$7+Title_RESULTS!$C$17),0,(+'Sheet3(F_21)'!$J23+'Sheet4(F_22)'!$H23))</f>
        <v>1181.1700930304119</v>
      </c>
      <c r="I23" s="5">
        <f>IF(A23&gt;=(Title_RESULTS!$H$7+Title_RESULTS!$C$17),0,(+'Sheet4(F_22)'!$D23+'Sheet4(F_22)'!$G23))</f>
        <v>183.21814242420555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1364.3882354546174</v>
      </c>
      <c r="M23" s="23">
        <f>IF(A23&gt;=(Title_RESULTS!$H$7+Title_RESULTS!$C$17),0,(+L23-G23))</f>
        <v>337.48759574121254</v>
      </c>
      <c r="N23" s="24">
        <f>(IF(A22&gt;=(Title_RESULTS!$H$7+Title_RESULTS!$C$17),0,(+$M23/((1+Title_RESULTS!$C$37)^('Sheet9(F_25)'!$A23-Title_RESULTS!$H$7))+N22)))</f>
        <v>-10905.412115827867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1037.1696461105391</v>
      </c>
      <c r="F24">
        <f>IF(A24&gt;=(Title_RESULTS!$H$7+Title_RESULTS!$C$17),0,(+'f-11B'!$R23))</f>
        <v>0</v>
      </c>
      <c r="G24" s="5">
        <f>IF(A24&gt;=(Title_RESULTS!$H$7+Title_RESULTS!$C$17),0,(SUM(B24:F24)))</f>
        <v>1037.1696461105391</v>
      </c>
      <c r="H24" s="5">
        <f>IF(A24&gt;=(Title_RESULTS!$H$7+Title_RESULTS!$C$17),0,(+'Sheet3(F_21)'!$J24+'Sheet4(F_22)'!$H24))</f>
        <v>1236.3510356412162</v>
      </c>
      <c r="I24" s="5">
        <f>IF(A24&gt;=(Title_RESULTS!$H$7+Title_RESULTS!$C$17),0,(+'Sheet4(F_22)'!$D24+'Sheet4(F_22)'!$G24))</f>
        <v>182.82557297995166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1419.1766086211678</v>
      </c>
      <c r="M24" s="23">
        <f>IF(A24&gt;=(Title_RESULTS!$H$7+Title_RESULTS!$C$17),0,(+L24-G24))</f>
        <v>382.0069625106287</v>
      </c>
      <c r="N24" s="24">
        <f>(IF(A23&gt;=(Title_RESULTS!$H$7+Title_RESULTS!$C$17),0,(+$M24/((1+Title_RESULTS!$C$37)^('Sheet9(F_25)'!$A24-Title_RESULTS!$H$7))+N23)))</f>
        <v>-10684.405956012817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1047.5413425716447</v>
      </c>
      <c r="F25">
        <f>IF(A25&gt;=(Title_RESULTS!$H$7+Title_RESULTS!$C$17),0,(+'f-11B'!$R24))</f>
        <v>0</v>
      </c>
      <c r="G25" s="5">
        <f>IF(A25&gt;=(Title_RESULTS!$H$7+Title_RESULTS!$C$17),0,(SUM(B25:F25)))</f>
        <v>1047.5413425716447</v>
      </c>
      <c r="H25" s="5">
        <f>IF(A25&gt;=(Title_RESULTS!$H$7+Title_RESULTS!$C$17),0,(+'Sheet3(F_21)'!$J25+'Sheet4(F_22)'!$H25))</f>
        <v>1278.5856707588139</v>
      </c>
      <c r="I25" s="5">
        <f>IF(A25&gt;=(Title_RESULTS!$H$7+Title_RESULTS!$C$17),0,(+'Sheet4(F_22)'!$D25+'Sheet4(F_22)'!$G25))</f>
        <v>182.5751661601016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1461.1608369189155</v>
      </c>
      <c r="M25" s="23">
        <f>IF(A25&gt;=(Title_RESULTS!$H$7+Title_RESULTS!$C$17),0,(+L25-G25))</f>
        <v>413.6194943472708</v>
      </c>
      <c r="N25" s="24">
        <f>(IF(A24&gt;=(Title_RESULTS!$H$7+Title_RESULTS!$C$17),0,(+$M25/((1+Title_RESULTS!$C$37)^('Sheet9(F_25)'!$A25-Title_RESULTS!$H$7))+N24)))</f>
        <v>-10460.932607382421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1058.016755997361</v>
      </c>
      <c r="F26">
        <f>IF(A26&gt;=(Title_RESULTS!$H$7+Title_RESULTS!$C$17),0,(+'f-11B'!$R25))</f>
        <v>0</v>
      </c>
      <c r="G26" s="5">
        <f>IF(A26&gt;=(Title_RESULTS!$H$7+Title_RESULTS!$C$17),0,(SUM(B26:F26)))</f>
        <v>1058.016755997361</v>
      </c>
      <c r="H26" s="5">
        <f>IF(A26&gt;=(Title_RESULTS!$H$7+Title_RESULTS!$C$17),0,(+'Sheet3(F_21)'!$J26+'Sheet4(F_22)'!$H26))</f>
        <v>1353.9985389691656</v>
      </c>
      <c r="I26" s="5">
        <f>IF(A26&gt;=(Title_RESULTS!$H$7+Title_RESULTS!$C$17),0,(+'Sheet4(F_22)'!$D26+'Sheet4(F_22)'!$G26))</f>
        <v>182.41009654071772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1536.4086355098832</v>
      </c>
      <c r="M26" s="23">
        <f>IF(A26&gt;=(Title_RESULTS!$H$7+Title_RESULTS!$C$17),0,(+L26-G26))</f>
        <v>478.3918795125221</v>
      </c>
      <c r="N26" s="24">
        <f>(IF(A25&gt;=(Title_RESULTS!$H$7+Title_RESULTS!$C$17),0,(+$M26/((1+Title_RESULTS!$C$37)^('Sheet9(F_25)'!$A26-Title_RESULTS!$H$7))+N25)))</f>
        <v>-10219.553223769874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1068.5969235573345</v>
      </c>
      <c r="F27">
        <f>IF(A27&gt;=(Title_RESULTS!$H$7+Title_RESULTS!$C$17),0,(+'f-11B'!$R26))</f>
        <v>0</v>
      </c>
      <c r="G27" s="5">
        <f>IF(A27&gt;=(Title_RESULTS!$H$7+Title_RESULTS!$C$17),0,(SUM(B27:F27)))</f>
        <v>1068.5969235573345</v>
      </c>
      <c r="H27" s="5">
        <f>IF(A27&gt;=(Title_RESULTS!$H$7+Title_RESULTS!$C$17),0,(+'Sheet3(F_21)'!$J27+'Sheet4(F_22)'!$H27))</f>
        <v>1346.0404605869126</v>
      </c>
      <c r="I27" s="5">
        <f>IF(A27&gt;=(Title_RESULTS!$H$7+Title_RESULTS!$C$17),0,(+'Sheet4(F_22)'!$D27+'Sheet4(F_22)'!$G27))</f>
        <v>182.30433951293446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1528.344800099847</v>
      </c>
      <c r="M27" s="23">
        <f>IF(A27&gt;=(Title_RESULTS!$H$7+Title_RESULTS!$C$17),0,(+L27-G27))</f>
        <v>459.74787654251236</v>
      </c>
      <c r="N27" s="24">
        <f>(IF(A26&gt;=(Title_RESULTS!$H$7+Title_RESULTS!$C$17),0,(+$M27/((1+Title_RESULTS!$C$37)^('Sheet9(F_25)'!$A27-Title_RESULTS!$H$7))+N26)))</f>
        <v>-10002.918662292159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1079.282892792908</v>
      </c>
      <c r="F28">
        <f>IF(A28&gt;=(Title_RESULTS!$H$7+Title_RESULTS!$C$17),0,(+'f-11B'!$R27))</f>
        <v>0</v>
      </c>
      <c r="G28" s="5">
        <f>IF(A28&gt;=(Title_RESULTS!$H$7+Title_RESULTS!$C$17),0,(SUM(B28:F28)))</f>
        <v>1079.282892792908</v>
      </c>
      <c r="H28" s="5">
        <f>IF(A28&gt;=(Title_RESULTS!$H$7+Title_RESULTS!$C$17),0,(+'Sheet3(F_21)'!$J28+'Sheet4(F_22)'!$H28))</f>
        <v>1413.7461306509842</v>
      </c>
      <c r="I28" s="5">
        <f>IF(A28&gt;=(Title_RESULTS!$H$7+Title_RESULTS!$C$17),0,(+'Sheet4(F_22)'!$D28+'Sheet4(F_22)'!$G28))</f>
        <v>182.25931857895017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1596.0054492299344</v>
      </c>
      <c r="M28" s="23">
        <f>IF(A28&gt;=(Title_RESULTS!$H$7+Title_RESULTS!$C$17),0,(+L28-G28))</f>
        <v>516.7225564370265</v>
      </c>
      <c r="N28" s="24">
        <f>(IF(A27&gt;=(Title_RESULTS!$H$7+Title_RESULTS!$C$17),0,(+$M28/((1+Title_RESULTS!$C$37)^('Sheet9(F_25)'!$A28-Title_RESULTS!$H$7))+N27)))</f>
        <v>-9775.536145073796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1090.075721720837</v>
      </c>
      <c r="F29">
        <f>IF(A29&gt;=(Title_RESULTS!$H$7+Title_RESULTS!$C$17),0,(+'f-11B'!$R28))</f>
        <v>0</v>
      </c>
      <c r="G29" s="5">
        <f>IF(A29&gt;=(Title_RESULTS!$H$7+Title_RESULTS!$C$17),0,(SUM(B29:F29)))</f>
        <v>1090.075721720837</v>
      </c>
      <c r="H29" s="5">
        <f>IF(A29&gt;=(Title_RESULTS!$H$7+Title_RESULTS!$C$17),0,(+'Sheet3(F_21)'!$J29+'Sheet4(F_22)'!$H29))</f>
        <v>1472.1657595823613</v>
      </c>
      <c r="I29" s="5">
        <f>IF(A29&gt;=(Title_RESULTS!$H$7+Title_RESULTS!$C$17),0,(+'Sheet4(F_22)'!$D29+'Sheet4(F_22)'!$G29))</f>
        <v>182.27649140501603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1654.4422509873773</v>
      </c>
      <c r="M29" s="23">
        <f>IF(A29&gt;=(Title_RESULTS!$H$7+Title_RESULTS!$C$17),0,(+L29-G29))</f>
        <v>564.3665292665403</v>
      </c>
      <c r="N29" s="24">
        <f>(IF(A28&gt;=(Title_RESULTS!$H$7+Title_RESULTS!$C$17),0,(+$M29/((1+Title_RESULTS!$C$37)^('Sheet9(F_25)'!$A29-Title_RESULTS!$H$7))+N28)))</f>
        <v>-9543.608490251403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1100.9764789380456</v>
      </c>
      <c r="F30">
        <f>IF(A30&gt;=(Title_RESULTS!$H$7+Title_RESULTS!$C$17),0,(+'f-11B'!$R29))</f>
        <v>0</v>
      </c>
      <c r="G30" s="5">
        <f>IF(A30&gt;=(Title_RESULTS!$H$7+Title_RESULTS!$C$17),0,(SUM(B30:F30)))</f>
        <v>1100.9764789380456</v>
      </c>
      <c r="H30" s="5">
        <f>IF(A30&gt;=(Title_RESULTS!$H$7+Title_RESULTS!$C$17),0,(+'Sheet3(F_21)'!$J30+'Sheet4(F_22)'!$H30))</f>
        <v>1506.027072462648</v>
      </c>
      <c r="I30" s="5">
        <f>IF(A30&gt;=(Title_RESULTS!$H$7+Title_RESULTS!$C$17),0,(+'Sheet4(F_22)'!$D30+'Sheet4(F_22)'!$G30))</f>
        <v>182.35735064137327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1688.3844231040212</v>
      </c>
      <c r="M30" s="23">
        <f>IF(A30&gt;=(Title_RESULTS!$H$7+Title_RESULTS!$C$17),0,(+L30-G30))</f>
        <v>587.4079441659756</v>
      </c>
      <c r="N30" s="24">
        <f>(IF(A29&gt;=(Title_RESULTS!$H$7+Title_RESULTS!$C$17),0,(+$M30/((1+Title_RESULTS!$C$37)^('Sheet9(F_25)'!$A30-Title_RESULTS!$H$7))+N29)))</f>
        <v>-9318.172765114054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IF(A31&gt;=(Title_RESULTS!$H$7+Title_RESULTS!$C$17),0,(+'Sheet6(p_6)'!$G31))</f>
        <v>0</v>
      </c>
      <c r="E31" s="5">
        <f>+'Sheet6(p_6)'!M31</f>
        <v>1111.9862437274257</v>
      </c>
      <c r="F31">
        <f>IF(A31&gt;=(Title_RESULTS!$H$7+Title_RESULTS!$C$17),0,(+'f-11B'!$R30))</f>
        <v>0</v>
      </c>
      <c r="G31" s="5">
        <f>IF(A31&gt;=(Title_RESULTS!$H$7+Title_RESULTS!$C$17),0,(SUM(B31:F31)))</f>
        <v>1111.9862437274257</v>
      </c>
      <c r="H31" s="5">
        <f>IF(A31&gt;=(Title_RESULTS!$H$7+Title_RESULTS!$C$17),0,(+'Sheet3(F_21)'!$J31+'Sheet4(F_22)'!$H31))</f>
        <v>1605.1406395143085</v>
      </c>
      <c r="I31" s="5">
        <f>IF(A31&gt;=(Title_RESULTS!$H$7+Title_RESULTS!$C$17),0,(+'Sheet4(F_22)'!$D31+'Sheet4(F_22)'!$G31))</f>
        <v>182.50342476186884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1787.6440642761775</v>
      </c>
      <c r="M31" s="23">
        <f>IF(A31&gt;=(Title_RESULTS!$H$7+Title_RESULTS!$C$17),0,(+L31-G31))</f>
        <v>675.6578205487517</v>
      </c>
      <c r="N31" s="24">
        <f>(IF(A30&gt;=(Title_RESULTS!$H$7+Title_RESULTS!$C$17),0,(+$M31/((1+Title_RESULTS!$C$37)^('Sheet9(F_25)'!$A31-Title_RESULTS!$H$7))+N30)))</f>
        <v>-9076.013343731742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IF(A32&gt;=(Title_RESULTS!$H$7+Title_RESULTS!$C$17),0,(+'Sheet6(p_6)'!$G32))</f>
        <v>0</v>
      </c>
      <c r="E32" s="5">
        <f>+'Sheet6(p_6)'!M32</f>
        <v>1123.1061061647003</v>
      </c>
      <c r="F32">
        <f>IF(A32&gt;=(Title_RESULTS!$H$7+Title_RESULTS!$C$17),0,(+'f-11B'!$R31))</f>
        <v>0</v>
      </c>
      <c r="G32" s="5">
        <f>IF(A32&gt;=(Title_RESULTS!$H$7+Title_RESULTS!$C$17),0,(SUM(B32:F32)))</f>
        <v>1123.1061061647003</v>
      </c>
      <c r="H32" s="5">
        <f>IF(A32&gt;=(Title_RESULTS!$H$7+Title_RESULTS!$C$17),0,(+'Sheet3(F_21)'!$J32+'Sheet4(F_22)'!$H32))</f>
        <v>1589.4381442547433</v>
      </c>
      <c r="I32" s="5">
        <f>IF(A32&gt;=(Title_RESULTS!$H$7+Title_RESULTS!$C$17),0,(+'Sheet4(F_22)'!$D32+'Sheet4(F_22)'!$G32))</f>
        <v>182.71627892372211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1772.1544231784653</v>
      </c>
      <c r="M32" s="23">
        <f>IF(A32&gt;=(Title_RESULTS!$H$7+Title_RESULTS!$C$17),0,(+L32-G32))</f>
        <v>649.048317013765</v>
      </c>
      <c r="N32" s="24">
        <f>(IF(A31&gt;=(Title_RESULTS!$H$7+Title_RESULTS!$C$17),0,(+$M32/((1+Title_RESULTS!$C$37)^('Sheet9(F_25)'!$A32-Title_RESULTS!$H$7))+N31)))</f>
        <v>-8858.771626107187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IF(A33&gt;=(Title_RESULTS!$H$7+Title_RESULTS!$C$17),0,(+'Sheet6(p_6)'!$G33))</f>
        <v>0</v>
      </c>
      <c r="E33" s="5">
        <f>+'Sheet6(p_6)'!M33</f>
        <v>1134.3371672263474</v>
      </c>
      <c r="F33">
        <f>IF(A33&gt;=(Title_RESULTS!$H$7+Title_RESULTS!$C$17),0,(+'f-11B'!$R32))</f>
        <v>0</v>
      </c>
      <c r="G33" s="5">
        <f>IF(A33&gt;=(Title_RESULTS!$H$7+Title_RESULTS!$C$17),0,(SUM(B33:F33)))</f>
        <v>1134.3371672263474</v>
      </c>
      <c r="H33" s="5">
        <f>IF(A33&gt;=(Title_RESULTS!$H$7+Title_RESULTS!$C$17),0,(+'Sheet3(F_21)'!$J33+'Sheet4(F_22)'!$H33))</f>
        <v>1656.0686961929011</v>
      </c>
      <c r="I33" s="5">
        <f>IF(A33&gt;=(Title_RESULTS!$H$7+Title_RESULTS!$C$17),0,(+'Sheet4(F_22)'!$D33+'Sheet4(F_22)'!$G33))</f>
        <v>182.99751584792563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1839.0662120408267</v>
      </c>
      <c r="M33" s="23">
        <f>IF(A33&gt;=(Title_RESULTS!$H$7+Title_RESULTS!$C$17),0,(+L33-G33))</f>
        <v>704.7290448144793</v>
      </c>
      <c r="N33" s="24">
        <f>(IF(A32&gt;=(Title_RESULTS!$H$7+Title_RESULTS!$C$17),0,(+$M33/((1+Title_RESULTS!$C$37)^('Sheet9(F_25)'!$A33-Title_RESULTS!$H$7))+N32)))</f>
        <v>-8638.489120263124</v>
      </c>
    </row>
    <row r="34" spans="1:14" ht="12.75">
      <c r="A34">
        <f t="shared" si="0"/>
        <v>2038</v>
      </c>
      <c r="B34" s="5">
        <f>IF(A34&gt;=(Title_RESULTS!$H$7+Title_RESULTS!$C$17),0,(+'Sheet7(F_23)'!$B34))</f>
        <v>0</v>
      </c>
      <c r="C34" s="5">
        <f>IF(A34&gt;=(Title_RESULTS!$H$7+Title_RESULTS!$C$17),0,(+'Sheet6(p_6)'!$D34))</f>
        <v>0</v>
      </c>
      <c r="D34" s="5">
        <f>IF(A34&gt;=(Title_RESULTS!$H$7+Title_RESULTS!$C$17),0,(+'Sheet6(p_6)'!$G34))</f>
        <v>0</v>
      </c>
      <c r="E34" s="5">
        <f>+'Sheet6(p_6)'!M34</f>
        <v>1145.6805388986108</v>
      </c>
      <c r="F34">
        <f>IF(A34&gt;=(Title_RESULTS!$H$7+Title_RESULTS!$C$17),0,(+'f-11B'!$R33))</f>
        <v>0</v>
      </c>
      <c r="G34" s="5">
        <f>IF(A34&gt;=(Title_RESULTS!$H$7+Title_RESULTS!$C$17),0,(SUM(B34:F34)))</f>
        <v>1145.6805388986108</v>
      </c>
      <c r="H34" s="5">
        <f>IF(A34&gt;=(Title_RESULTS!$H$7+Title_RESULTS!$C$17),0,(+'Sheet3(F_21)'!$J34+'Sheet4(F_22)'!$H34))</f>
        <v>1661.2203884619041</v>
      </c>
      <c r="I34" s="5">
        <f>IF(A34&gt;=(Title_RESULTS!$H$7+Title_RESULTS!$C$17),0,(+'Sheet4(F_22)'!$D34+'Sheet4(F_22)'!$G34))</f>
        <v>183.59634782184756</v>
      </c>
      <c r="J34" s="5">
        <f>IF(A34&gt;=(Title_RESULTS!$H$7+Title_RESULTS!$C$17),0,(+'Sheet6(p_6)'!$R34))</f>
        <v>0</v>
      </c>
      <c r="K34" s="9">
        <f>IF(A34&gt;=(Title_RESULTS!$H$7+Title_RESULTS!$C$17),0,(+'f-11B'!$S33))</f>
        <v>0</v>
      </c>
      <c r="L34" s="5">
        <f>IF(A34&gt;=(Title_RESULTS!$H$7+Title_RESULTS!$C$17),0,(SUM(H34:K34)))</f>
        <v>1844.8167362837517</v>
      </c>
      <c r="M34" s="23">
        <f>IF(A34&gt;=(Title_RESULTS!$H$7+Title_RESULTS!$C$17),0,(+L34-G34))</f>
        <v>699.1361973851408</v>
      </c>
      <c r="N34" s="24">
        <f>(IF(A33&gt;=(Title_RESULTS!$H$7+Title_RESULTS!$C$17),0,(+$M34/((1+Title_RESULTS!$C$37)^('Sheet9(F_25)'!$A34-Title_RESULTS!$H$7))+N33)))</f>
        <v>-8434.404037074833</v>
      </c>
    </row>
    <row r="35" spans="1:14" ht="12.75">
      <c r="A35">
        <f t="shared" si="0"/>
        <v>2039</v>
      </c>
      <c r="B35" s="5">
        <f>IF(A35&gt;=(Title_RESULTS!$H$7+Title_RESULTS!$C$17),0,(+'Sheet7(F_23)'!$B35))</f>
        <v>0</v>
      </c>
      <c r="C35" s="5">
        <f>IF(A35&gt;=(Title_RESULTS!$H$7+Title_RESULTS!$C$17),0,(+'Sheet6(p_6)'!$D35))</f>
        <v>0</v>
      </c>
      <c r="D35" s="5">
        <f>IF(A35&gt;=(Title_RESULTS!$H$7+Title_RESULTS!$C$17),0,(+'Sheet6(p_6)'!$G35))</f>
        <v>0</v>
      </c>
      <c r="E35" s="5">
        <f>+'Sheet6(p_6)'!M35</f>
        <v>1157.1373442875968</v>
      </c>
      <c r="F35">
        <f>IF(A35&gt;=(Title_RESULTS!$H$7+Title_RESULTS!$C$17),0,(+'f-11B'!$R34))</f>
        <v>0</v>
      </c>
      <c r="G35" s="5">
        <f>IF(A35&gt;=(Title_RESULTS!$H$7+Title_RESULTS!$C$17),0,(SUM(B35:F35)))</f>
        <v>1157.1373442875968</v>
      </c>
      <c r="H35" s="5">
        <f>IF(A35&gt;=(Title_RESULTS!$H$7+Title_RESULTS!$C$17),0,(+'Sheet3(F_21)'!$J35+'Sheet4(F_22)'!$H35))</f>
        <v>1660.4429486495726</v>
      </c>
      <c r="I35" s="5">
        <f>IF(A35&gt;=(Title_RESULTS!$H$7+Title_RESULTS!$C$17),0,(+'Sheet4(F_22)'!$D35+'Sheet4(F_22)'!$G35))</f>
        <v>184.76194268417825</v>
      </c>
      <c r="J35" s="5">
        <f>IF(A35&gt;=(Title_RESULTS!$H$7+Title_RESULTS!$C$17),0,(+'Sheet6(p_6)'!$R35))</f>
        <v>0</v>
      </c>
      <c r="K35" s="9">
        <f>IF(A35&gt;=(Title_RESULTS!$H$7+Title_RESULTS!$C$17),0,(+'f-11B'!$S34))</f>
        <v>0</v>
      </c>
      <c r="L35" s="5">
        <f>IF(A35&gt;=(Title_RESULTS!$H$7+Title_RESULTS!$C$17),0,(SUM(H35:K35)))</f>
        <v>1845.2048913337508</v>
      </c>
      <c r="M35" s="23">
        <f>IF(A35&gt;=(Title_RESULTS!$H$7+Title_RESULTS!$C$17),0,(+L35-G35))</f>
        <v>688.067547046154</v>
      </c>
      <c r="N35" s="24">
        <f>(IF(A34&gt;=(Title_RESULTS!$H$7+Title_RESULTS!$C$17),0,(+$M35/((1+Title_RESULTS!$C$37)^('Sheet9(F_25)'!$A35-Title_RESULTS!$H$7))+N34)))</f>
        <v>-8246.830232690705</v>
      </c>
    </row>
    <row r="36" spans="1:14" ht="12.75">
      <c r="A36">
        <f t="shared" si="0"/>
        <v>2040</v>
      </c>
      <c r="B36" s="5">
        <f>IF(A36&gt;=(Title_RESULTS!$H$7+Title_RESULTS!$C$17),0,(+'Sheet7(F_23)'!$B36))</f>
        <v>0</v>
      </c>
      <c r="C36" s="5">
        <f>IF(A36&gt;=(Title_RESULTS!$H$7+Title_RESULTS!$C$17),0,(+'Sheet6(p_6)'!$D36))</f>
        <v>0</v>
      </c>
      <c r="D36" s="5">
        <f>IF(A36&gt;=(Title_RESULTS!$H$7+Title_RESULTS!$C$17),0,(+'Sheet6(p_6)'!$G36))</f>
        <v>0</v>
      </c>
      <c r="E36" s="5">
        <f>+'Sheet6(p_6)'!M36</f>
        <v>1168.7087177304727</v>
      </c>
      <c r="F36">
        <f>IF(A36&gt;=(Title_RESULTS!$H$7+Title_RESULTS!$C$17),0,(+'f-11B'!$R35))</f>
        <v>0</v>
      </c>
      <c r="G36" s="5">
        <f>IF(A36&gt;=(Title_RESULTS!$H$7+Title_RESULTS!$C$17),0,(SUM(B36:F36)))</f>
        <v>1168.7087177304727</v>
      </c>
      <c r="H36" s="5">
        <f>IF(A36&gt;=(Title_RESULTS!$H$7+Title_RESULTS!$C$17),0,(+'Sheet3(F_21)'!$J36+'Sheet4(F_22)'!$H36))</f>
        <v>1764.610020079161</v>
      </c>
      <c r="I36" s="5">
        <f>IF(A36&gt;=(Title_RESULTS!$H$7+Title_RESULTS!$C$17),0,(+'Sheet4(F_22)'!$D36+'Sheet4(F_22)'!$G36))</f>
        <v>186.24845024240778</v>
      </c>
      <c r="J36" s="5">
        <f>IF(A36&gt;=(Title_RESULTS!$H$7+Title_RESULTS!$C$17),0,(+'Sheet6(p_6)'!$R36))</f>
        <v>0</v>
      </c>
      <c r="K36" s="9">
        <f>IF(A36&gt;=(Title_RESULTS!$H$7+Title_RESULTS!$C$17),0,(+'f-11B'!$S35))</f>
        <v>0</v>
      </c>
      <c r="L36" s="5">
        <f>IF(A36&gt;=(Title_RESULTS!$H$7+Title_RESULTS!$C$17),0,(SUM(H36:K36)))</f>
        <v>1950.8584703215688</v>
      </c>
      <c r="M36" s="23">
        <f>IF(A36&gt;=(Title_RESULTS!$H$7+Title_RESULTS!$C$17),0,(+L36-G36))</f>
        <v>782.1497525910961</v>
      </c>
      <c r="N36" s="24">
        <f>(IF(A35&gt;=(Title_RESULTS!$H$7+Title_RESULTS!$C$17),0,(+$M36/((1+Title_RESULTS!$C$37)^('Sheet9(F_25)'!$A36-Title_RESULTS!$H$7))+N35)))</f>
        <v>-8047.706666350236</v>
      </c>
    </row>
    <row r="37" spans="1:14" ht="12.75">
      <c r="A37">
        <f t="shared" si="0"/>
        <v>2041</v>
      </c>
      <c r="B37" s="5">
        <f>IF(A37&gt;=(Title_RESULTS!$H$7+Title_RESULTS!$C$17),0,(+'Sheet7(F_23)'!$B37))</f>
        <v>0</v>
      </c>
      <c r="C37" s="5">
        <f>IF(A37&gt;=(Title_RESULTS!$H$7+Title_RESULTS!$C$17),0,(+'Sheet6(p_6)'!$D37))</f>
        <v>0</v>
      </c>
      <c r="D37" s="5">
        <f>IF(A37&gt;=(Title_RESULTS!$H$7+Title_RESULTS!$C$17),0,(+'Sheet6(p_6)'!$G37))</f>
        <v>0</v>
      </c>
      <c r="E37" s="5">
        <f>+'Sheet6(p_6)'!M37</f>
        <v>1180.3958049077773</v>
      </c>
      <c r="F37">
        <f>IF(A37&gt;=(Title_RESULTS!$H$7+Title_RESULTS!$C$17),0,(+'f-11B'!$R36))</f>
        <v>0</v>
      </c>
      <c r="G37" s="5">
        <f>IF(A37&gt;=(Title_RESULTS!$H$7+Title_RESULTS!$C$17),0,(SUM(B37:F37)))</f>
        <v>1180.3958049077773</v>
      </c>
      <c r="H37" s="5">
        <f>IF(A37&gt;=(Title_RESULTS!$H$7+Title_RESULTS!$C$17),0,(+'Sheet3(F_21)'!$J37+'Sheet4(F_22)'!$H37))</f>
        <v>1797.9424068365793</v>
      </c>
      <c r="I37" s="5">
        <f>IF(A37&gt;=(Title_RESULTS!$H$7+Title_RESULTS!$C$17),0,(+'Sheet4(F_22)'!$D37+'Sheet4(F_22)'!$G37))</f>
        <v>187.81014544298088</v>
      </c>
      <c r="J37" s="5">
        <f>IF(A37&gt;=(Title_RESULTS!$H$7+Title_RESULTS!$C$17),0,(+'Sheet6(p_6)'!$R37))</f>
        <v>0</v>
      </c>
      <c r="K37" s="9">
        <f>IF(A37&gt;=(Title_RESULTS!$H$7+Title_RESULTS!$C$17),0,(+'f-11B'!$S36))</f>
        <v>0</v>
      </c>
      <c r="L37" s="5">
        <f>IF(A37&gt;=(Title_RESULTS!$H$7+Title_RESULTS!$C$17),0,(SUM(H37:K37)))</f>
        <v>1985.7525522795602</v>
      </c>
      <c r="M37" s="23">
        <f>IF(A37&gt;=(Title_RESULTS!$H$7+Title_RESULTS!$C$17),0,(+L37-G37))</f>
        <v>805.3567473717828</v>
      </c>
      <c r="N37" s="24">
        <f>(IF(A36&gt;=(Title_RESULTS!$H$7+Title_RESULTS!$C$17),0,(+$M37/((1+Title_RESULTS!$C$37)^('Sheet9(F_25)'!$A37-Title_RESULTS!$H$7))+N36)))</f>
        <v>-7856.231397146484</v>
      </c>
    </row>
    <row r="38" spans="1:14" ht="12.75">
      <c r="A38">
        <f t="shared" si="0"/>
        <v>2042</v>
      </c>
      <c r="B38" s="5">
        <f>IF(A38&gt;=(Title_RESULTS!$H$7+Title_RESULTS!$C$17),0,(+'Sheet7(F_23)'!$B38))</f>
        <v>0</v>
      </c>
      <c r="C38" s="5">
        <f>IF(A38&gt;=(Title_RESULTS!$H$7+Title_RESULTS!$C$17),0,(+'Sheet6(p_6)'!$D38))</f>
        <v>0</v>
      </c>
      <c r="D38" s="5">
        <f>IF(A38&gt;=(Title_RESULTS!$H$7+Title_RESULTS!$C$17),0,(+'Sheet6(p_6)'!$G38))</f>
        <v>0</v>
      </c>
      <c r="E38" s="5">
        <f>+'Sheet6(p_6)'!M38</f>
        <v>1192.1997629568555</v>
      </c>
      <c r="F38">
        <f>IF(A38&gt;=(Title_RESULTS!$H$7+Title_RESULTS!$C$17),0,(+'f-11B'!$R37))</f>
        <v>0</v>
      </c>
      <c r="G38" s="5">
        <f>IF(A38&gt;=(Title_RESULTS!$H$7+Title_RESULTS!$C$17),0,(SUM(B38:F38)))</f>
        <v>1192.1997629568555</v>
      </c>
      <c r="H38" s="5">
        <f>IF(A38&gt;=(Title_RESULTS!$H$7+Title_RESULTS!$C$17),0,(+'Sheet3(F_21)'!$J38+'Sheet4(F_22)'!$H38))</f>
        <v>1888.118936622601</v>
      </c>
      <c r="I38" s="5">
        <f>IF(A38&gt;=(Title_RESULTS!$H$7+Title_RESULTS!$C$17),0,(+'Sheet4(F_22)'!$D38+'Sheet4(F_22)'!$G38))</f>
        <v>189.4488327893137</v>
      </c>
      <c r="J38" s="5">
        <f>IF(A38&gt;=(Title_RESULTS!$H$7+Title_RESULTS!$C$17),0,(+'Sheet6(p_6)'!$R38))</f>
        <v>0</v>
      </c>
      <c r="K38" s="9">
        <f>IF(A38&gt;=(Title_RESULTS!$H$7+Title_RESULTS!$C$17),0,(+'f-11B'!$S37))</f>
        <v>0</v>
      </c>
      <c r="L38" s="5">
        <f>IF(A38&gt;=(Title_RESULTS!$H$7+Title_RESULTS!$C$17),0,(SUM(H38:K38)))</f>
        <v>2077.567769411915</v>
      </c>
      <c r="M38" s="23">
        <f>IF(A38&gt;=(Title_RESULTS!$H$7+Title_RESULTS!$C$17),0,(+L38-G38))</f>
        <v>885.3680064550595</v>
      </c>
      <c r="N38" s="24">
        <f>(IF(A37&gt;=(Title_RESULTS!$H$7+Title_RESULTS!$C$17),0,(+$M38/((1+Title_RESULTS!$C$37)^('Sheet9(F_25)'!$A38-Title_RESULTS!$H$7))+N37)))</f>
        <v>-7659.65116256131</v>
      </c>
    </row>
    <row r="39" spans="1:14" ht="12.75">
      <c r="A39">
        <f t="shared" si="0"/>
        <v>2043</v>
      </c>
      <c r="B39" s="5">
        <f>IF(A39&gt;=(Title_RESULTS!$H$7+Title_RESULTS!$C$17),0,(+'Sheet7(F_23)'!$B39))</f>
        <v>0</v>
      </c>
      <c r="C39" s="5">
        <f>IF(A39&gt;=(Title_RESULTS!$H$7+Title_RESULTS!$C$17),0,(+'Sheet6(p_6)'!$D39))</f>
        <v>0</v>
      </c>
      <c r="D39" s="5">
        <f>IF(A39&gt;=(Title_RESULTS!$H$7+Title_RESULTS!$C$17),0,(+'Sheet6(p_6)'!$G39))</f>
        <v>0</v>
      </c>
      <c r="E39" s="5">
        <f>+'Sheet6(p_6)'!M39</f>
        <v>1204.1217605864238</v>
      </c>
      <c r="F39">
        <f>IF(A39&gt;=(Title_RESULTS!$H$7+Title_RESULTS!$C$17),0,(+'f-11B'!$R38))</f>
        <v>0</v>
      </c>
      <c r="G39" s="5">
        <f>IF(A39&gt;=(Title_RESULTS!$H$7+Title_RESULTS!$C$17),0,(SUM(B39:F39)))</f>
        <v>1204.1217605864238</v>
      </c>
      <c r="H39" s="5">
        <f>IF(A39&gt;=(Title_RESULTS!$H$7+Title_RESULTS!$C$17),0,(+'Sheet3(F_21)'!$J39+'Sheet4(F_22)'!$H39))</f>
        <v>1922.949989119828</v>
      </c>
      <c r="I39" s="5">
        <f>IF(A39&gt;=(Title_RESULTS!$H$7+Title_RESULTS!$C$17),0,(+'Sheet4(F_22)'!$D39+'Sheet4(F_22)'!$G39))</f>
        <v>191.16636009290468</v>
      </c>
      <c r="J39" s="5">
        <f>IF(A39&gt;=(Title_RESULTS!$H$7+Title_RESULTS!$C$17),0,(+'Sheet6(p_6)'!$R39))</f>
        <v>0</v>
      </c>
      <c r="K39" s="9">
        <f>IF(A39&gt;=(Title_RESULTS!$H$7+Title_RESULTS!$C$17),0,(+'f-11B'!$S38))</f>
        <v>0</v>
      </c>
      <c r="L39" s="5">
        <f>IF(A39&gt;=(Title_RESULTS!$H$7+Title_RESULTS!$C$17),0,(SUM(H39:K39)))</f>
        <v>2114.1163492127325</v>
      </c>
      <c r="M39" s="23">
        <f>IF(A39&gt;=(Title_RESULTS!$H$7+Title_RESULTS!$C$17),0,(+L39-G39))</f>
        <v>909.9945886263088</v>
      </c>
      <c r="N39" s="24">
        <f>(IF(A38&gt;=(Title_RESULTS!$H$7+Title_RESULTS!$C$17),0,(+$M39/((1+Title_RESULTS!$C$37)^('Sheet9(F_25)'!$A39-Title_RESULTS!$H$7))+N38)))</f>
        <v>-7470.962210758576</v>
      </c>
    </row>
    <row r="40" spans="1:14" ht="12.75">
      <c r="A40">
        <f t="shared" si="0"/>
        <v>2044</v>
      </c>
      <c r="B40" s="5">
        <f>IF(A40&gt;=(Title_RESULTS!$H$7+Title_RESULTS!$C$17),0,(+'Sheet7(F_23)'!$B40))</f>
        <v>0</v>
      </c>
      <c r="C40" s="5">
        <f>IF(A40&gt;=(Title_RESULTS!$H$7+Title_RESULTS!$C$17),0,(+'Sheet6(p_6)'!$D40))</f>
        <v>0</v>
      </c>
      <c r="D40" s="5">
        <f>IF(A40&gt;=(Title_RESULTS!$H$7+Title_RESULTS!$C$17),0,(+'Sheet6(p_6)'!$G40))</f>
        <v>0</v>
      </c>
      <c r="E40" s="5">
        <f>+'Sheet6(p_6)'!M40</f>
        <v>1216.1629781922884</v>
      </c>
      <c r="F40">
        <f>IF(A40&gt;=(Title_RESULTS!$H$7+Title_RESULTS!$C$17),0,(+'f-11B'!$R39))</f>
        <v>0</v>
      </c>
      <c r="G40" s="5">
        <f>IF(A40&gt;=(Title_RESULTS!$H$7+Title_RESULTS!$C$17),0,(SUM(B40:F40)))</f>
        <v>1216.1629781922884</v>
      </c>
      <c r="H40" s="5">
        <f>IF(A40&gt;=(Title_RESULTS!$H$7+Title_RESULTS!$C$17),0,(+'Sheet3(F_21)'!$J40+'Sheet4(F_22)'!$H40))</f>
        <v>1884.6589625080865</v>
      </c>
      <c r="I40" s="5">
        <f>IF(A40&gt;=(Title_RESULTS!$H$7+Title_RESULTS!$C$17),0,(+'Sheet4(F_22)'!$D40+'Sheet4(F_22)'!$G40))</f>
        <v>192.96461951272778</v>
      </c>
      <c r="J40" s="5">
        <f>IF(A40&gt;=(Title_RESULTS!$H$7+Title_RESULTS!$C$17),0,(+'Sheet6(p_6)'!$R40))</f>
        <v>0</v>
      </c>
      <c r="K40" s="9">
        <f>IF(A40&gt;=(Title_RESULTS!$H$7+Title_RESULTS!$C$17),0,(+'f-11B'!$S39))</f>
        <v>0</v>
      </c>
      <c r="L40" s="5">
        <f>IF(A40&gt;=(Title_RESULTS!$H$7+Title_RESULTS!$C$17),0,(SUM(H40:K40)))</f>
        <v>2077.6235820208144</v>
      </c>
      <c r="M40" s="23">
        <f>IF(A40&gt;=(Title_RESULTS!$H$7+Title_RESULTS!$C$17),0,(+L40-G40))</f>
        <v>861.460603828526</v>
      </c>
      <c r="N40" s="24">
        <f>(IF(A39&gt;=(Title_RESULTS!$H$7+Title_RESULTS!$C$17),0,(+$M40/((1+Title_RESULTS!$C$37)^('Sheet9(F_25)'!$A40-Title_RESULTS!$H$7))+N39)))</f>
        <v>-7304.147356337054</v>
      </c>
    </row>
    <row r="41" ht="12.75">
      <c r="E41" s="5"/>
    </row>
    <row r="42" spans="1:13" ht="12.75">
      <c r="A42" t="s">
        <v>87</v>
      </c>
      <c r="B42" s="5">
        <f aca="true" t="shared" si="1" ref="B42:M42">SUM(B16:B41)</f>
        <v>0</v>
      </c>
      <c r="C42" s="5">
        <f t="shared" si="1"/>
        <v>76.8144</v>
      </c>
      <c r="D42" s="5">
        <f t="shared" si="1"/>
        <v>12270.150000000001</v>
      </c>
      <c r="E42" s="5">
        <f t="shared" si="1"/>
        <v>25606.873238539694</v>
      </c>
      <c r="F42" s="5">
        <f t="shared" si="1"/>
        <v>0</v>
      </c>
      <c r="G42" s="5">
        <f t="shared" si="1"/>
        <v>37953.8376385397</v>
      </c>
      <c r="H42" s="5">
        <f t="shared" si="1"/>
        <v>33485.5968756708</v>
      </c>
      <c r="I42" s="5">
        <f t="shared" si="1"/>
        <v>4236.923218188394</v>
      </c>
      <c r="J42" s="5">
        <f t="shared" si="1"/>
        <v>0</v>
      </c>
      <c r="K42" s="9">
        <f t="shared" si="1"/>
        <v>0</v>
      </c>
      <c r="L42" s="5">
        <f t="shared" si="1"/>
        <v>37722.52009385919</v>
      </c>
      <c r="M42" s="5">
        <f t="shared" si="1"/>
        <v>-231.31754468050326</v>
      </c>
    </row>
    <row r="44" spans="1:13" ht="12.75">
      <c r="A44" t="s">
        <v>118</v>
      </c>
      <c r="B44" s="5">
        <f>NPV(Title_RESULTS!$C$37,'Sheet9(F_25)'!B17:B41)+'Sheet9(F_25)'!B16</f>
        <v>0</v>
      </c>
      <c r="C44" s="5">
        <f>NPV(Title_RESULTS!$C$37,'Sheet9(F_25)'!C17:C41)+'Sheet9(F_25)'!C16</f>
        <v>71.76983152741104</v>
      </c>
      <c r="D44" s="5">
        <f>NPV(Title_RESULTS!$C$37,'Sheet9(F_25)'!D17:D41)+'Sheet9(F_25)'!D16</f>
        <v>11476.742981162322</v>
      </c>
      <c r="E44" s="5">
        <f>NPV(Title_RESULTS!$C$37,'Sheet9(F_25)'!E17:E41)+'Sheet9(F_25)'!E16</f>
        <v>11564.778945819471</v>
      </c>
      <c r="F44" s="5">
        <f>NPV(Title_RESULTS!$C$37,'Sheet9(F_25)'!F17:F41)+'Sheet9(F_25)'!F16</f>
        <v>0</v>
      </c>
      <c r="G44" s="5">
        <f>NPV(Title_RESULTS!$C$37,'Sheet9(F_25)'!G17:G41)+'Sheet9(F_25)'!G16</f>
        <v>23113.291758509204</v>
      </c>
      <c r="H44" s="5">
        <f>NPV(Title_RESULTS!$C$37,'Sheet9(F_25)'!H17:H41)+'Sheet9(F_25)'!H16</f>
        <v>13887.916405779872</v>
      </c>
      <c r="I44" s="5">
        <f>NPV(Title_RESULTS!$C$37,'Sheet9(F_25)'!I17:I41)+'Sheet9(F_25)'!I16</f>
        <v>1921.2279963922779</v>
      </c>
      <c r="J44" s="5">
        <f>NPV(Title_RESULTS!$C$37,'Sheet9(F_25)'!J17:J41)+'Sheet9(F_25)'!J16</f>
        <v>0</v>
      </c>
      <c r="K44" s="9">
        <f>NPV(Title_RESULTS!$C$37,'Sheet9(F_25)'!K17:K41)+'Sheet9(F_25)'!K16</f>
        <v>0</v>
      </c>
      <c r="L44" s="5">
        <f>NPV(Title_RESULTS!$C$37,'Sheet9(F_25)'!L17:L41)+'Sheet9(F_25)'!L16</f>
        <v>15809.144402172149</v>
      </c>
      <c r="M44" s="5">
        <f>NPV(Title_RESULTS!$C$37,'Sheet9(F_25)'!M17:M41)+'Sheet9(F_25)'!M16</f>
        <v>-7304.147356337055</v>
      </c>
    </row>
    <row r="46" spans="1:10" ht="12.75">
      <c r="A46" t="s">
        <v>175</v>
      </c>
      <c r="D46">
        <f>+Title_RESULTS!C37</f>
        <v>0.0708</v>
      </c>
      <c r="F46" t="s">
        <v>183</v>
      </c>
      <c r="J46" s="10">
        <f>+L44/G44</f>
        <v>0.6839849800430085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3485.974073550212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203.34694399999998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501.03995132928003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3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3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2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1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4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1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20.095213426851696</v>
      </c>
      <c r="P24" s="48">
        <f aca="true" t="shared" si="4" ref="P24:P61">N24*$L$5</f>
        <v>49.51392216320335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20.577498549096138</v>
      </c>
      <c r="P25" s="48">
        <f t="shared" si="4"/>
        <v>50.70225629512023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479.63748140902186</v>
      </c>
      <c r="E26" s="11">
        <f>IF(B26=Title_RESULTS!$H$8,$F$16,+E25*(1+$F$7))</f>
        <v>0.09882230355451863</v>
      </c>
      <c r="F26" s="9">
        <f t="shared" si="1"/>
        <v>344.4919880795609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27.97864069397719</v>
      </c>
      <c r="L26" s="5">
        <f t="shared" si="3"/>
        <v>68.93841872327202</v>
      </c>
      <c r="N26" s="11">
        <f>IF(+B26=Title_RESULTS!$H$9,'Value of Defferal'!$O$16,+'Value of Defferal'!N25*(1+'Value of Defferal'!$F$7))</f>
        <v>0.10362269577198292</v>
      </c>
      <c r="O26" s="5">
        <f t="shared" si="7"/>
        <v>21.071358514274447</v>
      </c>
      <c r="P26" s="48">
        <f t="shared" si="4"/>
        <v>51.91911044620311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465.47384216451024</v>
      </c>
      <c r="E27" s="11">
        <f>IF(B27=Title_RESULTS!$H$8,$F$16,+E26*(1+$F$7))</f>
        <v>0.10119403883982707</v>
      </c>
      <c r="F27" s="9">
        <f t="shared" si="1"/>
        <v>352.75979579347035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27.152434676513415</v>
      </c>
      <c r="L27" s="5">
        <f t="shared" si="3"/>
        <v>66.90267520711664</v>
      </c>
      <c r="N27" s="11">
        <f>IF(+B27=Title_RESULTS!$H$9,'Value of Defferal'!$O$16,+'Value of Defferal'!N26*(1+'Value of Defferal'!$F$7))</f>
        <v>0.10610964047051051</v>
      </c>
      <c r="O27" s="5">
        <f t="shared" si="7"/>
        <v>21.57707111861703</v>
      </c>
      <c r="P27" s="48">
        <f t="shared" si="4"/>
        <v>53.16516909691199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449.8372877352701</v>
      </c>
      <c r="E28" s="11">
        <f>IF(B28=Title_RESULTS!$H$8,$F$16,+E27*(1+$F$7))</f>
        <v>0.10362269577198292</v>
      </c>
      <c r="F28" s="9">
        <f t="shared" si="1"/>
        <v>361.2260308925136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26.240309258828532</v>
      </c>
      <c r="L28" s="5">
        <f t="shared" si="3"/>
        <v>64.6552292121425</v>
      </c>
      <c r="N28" s="11">
        <f>IF(+B28=Title_RESULTS!$H$9,'Value of Defferal'!$O$16,+'Value of Defferal'!N27*(1+'Value of Defferal'!$F$7))</f>
        <v>0.10865627184180277</v>
      </c>
      <c r="O28" s="5">
        <f t="shared" si="7"/>
        <v>22.09492082546384</v>
      </c>
      <c r="P28" s="48">
        <f t="shared" si="4"/>
        <v>54.44113315523788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434.94963806896936</v>
      </c>
      <c r="E29" s="11">
        <f>IF(B29=Title_RESULTS!$H$8,$F$16,+E28*(1+$F$7))</f>
        <v>0.10610964047051051</v>
      </c>
      <c r="F29" s="9">
        <f t="shared" si="1"/>
        <v>369.8954556339339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25.371869620692692</v>
      </c>
      <c r="L29" s="5">
        <f t="shared" si="3"/>
        <v>62.515423491610015</v>
      </c>
      <c r="N29" s="11">
        <f>IF(+B29=Title_RESULTS!$H$9,'Value of Defferal'!$O$16,+'Value of Defferal'!N28*(1+'Value of Defferal'!$F$7))</f>
        <v>0.11126402236600604</v>
      </c>
      <c r="O29" s="5">
        <f t="shared" si="7"/>
        <v>22.625198925274976</v>
      </c>
      <c r="P29" s="48">
        <f t="shared" si="4"/>
        <v>55.74772035096359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420.73579523647123</v>
      </c>
      <c r="E30" s="11">
        <f>IF(B30=Title_RESULTS!$H$8,$F$16,+E29*(1+$F$7))</f>
        <v>0.10865627184180277</v>
      </c>
      <c r="F30" s="9">
        <f t="shared" si="1"/>
        <v>378.77294656914836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24.54273508282701</v>
      </c>
      <c r="L30" s="5">
        <f t="shared" si="3"/>
        <v>60.47246420082448</v>
      </c>
      <c r="N30" s="11">
        <f>IF(+B30=Title_RESULTS!$H$9,'Value of Defferal'!$O$16,+'Value of Defferal'!N29*(1+'Value of Defferal'!$F$7))</f>
        <v>0.11393435890279018</v>
      </c>
      <c r="O30" s="5">
        <f t="shared" si="7"/>
        <v>23.168203699481573</v>
      </c>
      <c r="P30" s="48">
        <f t="shared" si="4"/>
        <v>57.08566563938671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407.12895942235554</v>
      </c>
      <c r="E31" s="11">
        <f>IF(B31=Title_RESULTS!$H$8,$F$16,+E30*(1+$F$7))</f>
        <v>0.11126402236600604</v>
      </c>
      <c r="F31" s="9">
        <f t="shared" si="1"/>
        <v>387.86349728680796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23.749009018911604</v>
      </c>
      <c r="L31" s="5">
        <f t="shared" si="3"/>
        <v>58.516750185112706</v>
      </c>
      <c r="N31" s="11">
        <f>IF(+B31=Title_RESULTS!$H$9,'Value of Defferal'!$O$16,+'Value of Defferal'!N30*(1+'Value of Defferal'!$F$7))</f>
        <v>0.11666878351645714</v>
      </c>
      <c r="O31" s="5">
        <f t="shared" si="7"/>
        <v>23.72424058826913</v>
      </c>
      <c r="P31" s="48">
        <f t="shared" si="4"/>
        <v>58.45572161473199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393.9457423134816</v>
      </c>
      <c r="E32" s="11">
        <f>IF(B32=Title_RESULTS!$H$8,$F$16,+E31*(1+$F$7))</f>
        <v>0.11393435890279018</v>
      </c>
      <c r="F32" s="9">
        <f t="shared" si="1"/>
        <v>397.1722212216913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22.979993858552746</v>
      </c>
      <c r="L32" s="5">
        <f t="shared" si="3"/>
        <v>56.62192299499924</v>
      </c>
      <c r="N32" s="11">
        <f>IF(+B32=Title_RESULTS!$H$9,'Value of Defferal'!$O$16,+'Value of Defferal'!N31*(1+'Value of Defferal'!$F$7))</f>
        <v>0.11946883432085212</v>
      </c>
      <c r="O32" s="5">
        <f t="shared" si="7"/>
        <v>24.29362236238759</v>
      </c>
      <c r="P32" s="48">
        <f t="shared" si="4"/>
        <v>59.858658933485565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380.89819936387704</v>
      </c>
      <c r="E33" s="11">
        <f>IF(B33=Title_RESULTS!$H$8,$F$16,+E32*(1+$F$7))</f>
        <v>0.11666878351645714</v>
      </c>
      <c r="F33" s="9">
        <f t="shared" si="1"/>
        <v>406.7043545310119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22.21889296407341</v>
      </c>
      <c r="L33" s="5">
        <f t="shared" si="3"/>
        <v>54.746596286737535</v>
      </c>
      <c r="N33" s="11">
        <f>IF(+B33=Title_RESULTS!$H$9,'Value of Defferal'!$O$16,+'Value of Defferal'!N32*(1+'Value of Defferal'!$F$7))</f>
        <v>0.12233608634455258</v>
      </c>
      <c r="O33" s="5">
        <f t="shared" si="7"/>
        <v>24.876669299084895</v>
      </c>
      <c r="P33" s="48">
        <f t="shared" si="4"/>
        <v>61.29526674788922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367.8506564142724</v>
      </c>
      <c r="E34" s="11">
        <f>IF(B34=Title_RESULTS!$H$8,$F$16,+E33*(1+$F$7))</f>
        <v>0.11946883432085212</v>
      </c>
      <c r="F34" s="9">
        <f t="shared" si="1"/>
        <v>416.46525903975623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21.457792069594074</v>
      </c>
      <c r="L34" s="5">
        <f t="shared" si="3"/>
        <v>52.871269578475825</v>
      </c>
      <c r="N34" s="11">
        <f>IF(+B34=Title_RESULTS!$H$9,'Value of Defferal'!$O$16,+'Value of Defferal'!N33*(1+'Value of Defferal'!$F$7))</f>
        <v>0.12527215241682185</v>
      </c>
      <c r="O34" s="5">
        <f t="shared" si="7"/>
        <v>25.473709362262934</v>
      </c>
      <c r="P34" s="48">
        <f t="shared" si="4"/>
        <v>62.76635314983857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354.80311346466783</v>
      </c>
      <c r="E35" s="11">
        <f>IF(B35=Title_RESULTS!$H$8,$F$16,+E34*(1+$F$7))</f>
        <v>0.12233608634455258</v>
      </c>
      <c r="F35" s="9">
        <f t="shared" si="1"/>
        <v>426.4604252567104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20.69669117511474</v>
      </c>
      <c r="L35" s="5">
        <f t="shared" si="3"/>
        <v>50.995942870214115</v>
      </c>
      <c r="N35" s="11">
        <f>IF(+B35=Title_RESULTS!$H$9,'Value of Defferal'!$O$16,+'Value of Defferal'!N34*(1+'Value of Defferal'!$F$7))</f>
        <v>0.12827868407482557</v>
      </c>
      <c r="O35" s="5">
        <f t="shared" si="7"/>
        <v>26.085078386957242</v>
      </c>
      <c r="P35" s="48">
        <f t="shared" si="4"/>
        <v>64.2727456254347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341.75557051506325</v>
      </c>
      <c r="E36" s="11">
        <f>IF(B36=Title_RESULTS!$H$8,$F$16,+E35*(1+$F$7))</f>
        <v>0.12527215241682185</v>
      </c>
      <c r="F36" s="9">
        <f t="shared" si="1"/>
        <v>436.6954754628715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19.935590280635406</v>
      </c>
      <c r="L36" s="5">
        <f t="shared" si="3"/>
        <v>49.12061616195241</v>
      </c>
      <c r="N36" s="11">
        <f>IF(+B36=Title_RESULTS!$H$9,'Value of Defferal'!$O$16,+'Value of Defferal'!N35*(1+'Value of Defferal'!$F$7))</f>
        <v>0.1313573724926214</v>
      </c>
      <c r="O36" s="5">
        <f t="shared" si="7"/>
        <v>26.71112026824422</v>
      </c>
      <c r="P36" s="48">
        <f t="shared" si="4"/>
        <v>65.81529152044513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328.7080275654586</v>
      </c>
      <c r="E37" s="11">
        <f>IF(B37&gt;Title_RESULTS!$H$8-1+Title_RESULTS!$C$18,0,+E36*(1+$F$7))</f>
        <v>0.12827868407482557</v>
      </c>
      <c r="F37" s="9">
        <f t="shared" si="1"/>
        <v>447.1761668739804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19.17448938615607</v>
      </c>
      <c r="L37" s="5">
        <f t="shared" si="3"/>
        <v>47.2452894536907</v>
      </c>
      <c r="N37" s="11">
        <f>IF(+B37=Title_RESULTS!$H$9,'Value of Defferal'!$O$16,+'Value of Defferal'!N36*(1+'Value of Defferal'!$F$7))</f>
        <v>0.1345099494324443</v>
      </c>
      <c r="O37" s="5">
        <f t="shared" si="7"/>
        <v>27.352187154682078</v>
      </c>
      <c r="P37" s="48">
        <f t="shared" si="4"/>
        <v>67.39485851693581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315.660484615854</v>
      </c>
      <c r="E38" s="11">
        <f>IF(B38&gt;Title_RESULTS!$H$8-1+Title_RESULTS!$C$18,0,+E37*(1+$F$7))</f>
        <v>0.1313573724926214</v>
      </c>
      <c r="F38" s="9">
        <f t="shared" si="1"/>
        <v>457.9083948789559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18.41338849167673</v>
      </c>
      <c r="L38" s="5">
        <f t="shared" si="3"/>
        <v>45.369962745428985</v>
      </c>
      <c r="N38" s="11">
        <f>IF(+B38=Title_RESULTS!$H$9,'Value of Defferal'!$O$16,+'Value of Defferal'!N37*(1+'Value of Defferal'!$F$7))</f>
        <v>0.13773818821882297</v>
      </c>
      <c r="O38" s="5">
        <f t="shared" si="7"/>
        <v>28.008639646394453</v>
      </c>
      <c r="P38" s="48">
        <f t="shared" si="4"/>
        <v>69.01233512134228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302.61294166624936</v>
      </c>
      <c r="E39" s="11">
        <f>IF(B39&gt;Title_RESULTS!$H$8-1+Title_RESULTS!$C$18,0,+E38*(1+$F$7))</f>
        <v>0.1345099494324443</v>
      </c>
      <c r="F39" s="9">
        <f t="shared" si="1"/>
        <v>468.89819635605085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17.65228759719739</v>
      </c>
      <c r="L39" s="5">
        <f t="shared" si="3"/>
        <v>43.494636037167275</v>
      </c>
      <c r="N39" s="11">
        <f>IF(+B39&gt;Title_RESULTS!$H$9+Title_RESULTS!$C$19-1,0,+'Value of Defferal'!N38*(1+'Value of Defferal'!$F$7))</f>
        <v>0.14104390473607473</v>
      </c>
      <c r="O39" s="5">
        <f t="shared" si="7"/>
        <v>28.68084699790792</v>
      </c>
      <c r="P39" s="48">
        <f t="shared" si="4"/>
        <v>70.66863116425449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289.5653987166449</v>
      </c>
      <c r="E40" s="11">
        <f>IF(B40&gt;Title_RESULTS!$H$8-1+Title_RESULTS!$C$18,0,+E39*(1+$F$7))</f>
        <v>0.13773818821882297</v>
      </c>
      <c r="F40" s="9">
        <f t="shared" si="1"/>
        <v>480.1517530685961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16.891186702718063</v>
      </c>
      <c r="L40" s="5">
        <f t="shared" si="3"/>
        <v>41.61930932890558</v>
      </c>
      <c r="N40" s="11">
        <f>IF(+B40&gt;Title_RESULTS!$H$9+Title_RESULTS!$C$19-1,0,+'Value of Defferal'!N39*(1+'Value of Defferal'!$F$7))</f>
        <v>0.14442895844974052</v>
      </c>
      <c r="O40" s="5">
        <f t="shared" si="7"/>
        <v>29.36918732585771</v>
      </c>
      <c r="P40" s="48">
        <f t="shared" si="4"/>
        <v>72.3646783121966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277.74307225732286</v>
      </c>
      <c r="E41" s="11">
        <f>IF(B41&gt;Title_RESULTS!$H$8-1+Title_RESULTS!$C$18,0,+E40*(1+$F$7))</f>
        <v>0.14104390473607473</v>
      </c>
      <c r="F41" s="9">
        <f t="shared" si="1"/>
        <v>491.67539514224245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16.20155622763391</v>
      </c>
      <c r="L41" s="5">
        <f t="shared" si="3"/>
        <v>39.920083302320435</v>
      </c>
      <c r="N41" s="11">
        <f>IF(+B41&gt;Title_RESULTS!$H$9+Title_RESULTS!$C$19-1,0,+'Value of Defferal'!N40*(1+'Value of Defferal'!$F$7))</f>
        <v>0.1478952534525343</v>
      </c>
      <c r="O41" s="5">
        <f t="shared" si="7"/>
        <v>30.074047821678295</v>
      </c>
      <c r="P41" s="48">
        <f t="shared" si="4"/>
        <v>74.10143059168932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268.37076387288045</v>
      </c>
      <c r="E42" s="11">
        <f>IF(B42&gt;Title_RESULTS!$H$8-1+Title_RESULTS!$C$18,0,+E41*(1+$F$7))</f>
        <v>0.14442895844974052</v>
      </c>
      <c r="F42" s="9">
        <f t="shared" si="1"/>
        <v>503.4756046256563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15.654842388692188</v>
      </c>
      <c r="L42" s="5">
        <f t="shared" si="3"/>
        <v>38.57299900458737</v>
      </c>
      <c r="N42" s="11">
        <f>IF(+B42&gt;Title_RESULTS!$H$9+Title_RESULTS!$C$19-1,0,+'Value of Defferal'!N41*(1+'Value of Defferal'!$F$7))</f>
        <v>0.1514447395353951</v>
      </c>
      <c r="O42" s="5">
        <f t="shared" si="7"/>
        <v>30.795824969398574</v>
      </c>
      <c r="P42" s="48">
        <f t="shared" si="4"/>
        <v>75.87986492588986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260.22325707303486</v>
      </c>
      <c r="E43" s="11">
        <f>IF(B43&gt;Title_RESULTS!$H$8-1+Title_RESULTS!$C$18,0,+E42*(1+$F$7))</f>
        <v>0.1478952534525343</v>
      </c>
      <c r="F43" s="9">
        <f t="shared" si="1"/>
        <v>515.559019136672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15.179574766497707</v>
      </c>
      <c r="L43" s="5">
        <f t="shared" si="3"/>
        <v>37.401955754029814</v>
      </c>
      <c r="N43" s="11">
        <f>IF(+B43&gt;Title_RESULTS!$H$9+Title_RESULTS!$C$19-1,0,+'Value of Defferal'!N42*(1+'Value of Defferal'!$F$7))</f>
        <v>0.1550794132842446</v>
      </c>
      <c r="O43" s="5">
        <f t="shared" si="7"/>
        <v>31.53492476866414</v>
      </c>
      <c r="P43" s="48">
        <f t="shared" si="4"/>
        <v>77.70098168411121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252.0757502731893</v>
      </c>
      <c r="E44" s="11">
        <f>IF(B44&gt;Title_RESULTS!$H$8-1+Title_RESULTS!$C$18,0,+E43*(1+$F$7))</f>
        <v>0.1514447395353951</v>
      </c>
      <c r="F44" s="9">
        <f t="shared" si="1"/>
        <v>527.9324355959521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14.704307144303227</v>
      </c>
      <c r="L44" s="5">
        <f t="shared" si="3"/>
        <v>36.23091250347226</v>
      </c>
      <c r="N44" s="11">
        <f>IF(+B44&gt;Title_RESULTS!$H$9+Title_RESULTS!$C$19-1,0,+'Value of Defferal'!N43*(1+'Value of Defferal'!$F$7))</f>
        <v>0.15880131920306648</v>
      </c>
      <c r="O44" s="5">
        <f t="shared" si="7"/>
        <v>32.29176296311208</v>
      </c>
      <c r="P44" s="48">
        <f t="shared" si="4"/>
        <v>79.56580524452988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243.9282434733436</v>
      </c>
      <c r="E45" s="11">
        <f>IF(B45&gt;Title_RESULTS!$H$8-1+Title_RESULTS!$C$18,0,+E44*(1+$F$7))</f>
        <v>0.1550794132842446</v>
      </c>
      <c r="F45" s="9">
        <f t="shared" si="1"/>
        <v>540.602814050255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14.229039522108739</v>
      </c>
      <c r="L45" s="5">
        <f t="shared" si="3"/>
        <v>35.05986925291469</v>
      </c>
      <c r="N45" s="11">
        <f>IF(+B45&gt;Title_RESULTS!$H$9+Title_RESULTS!$C$19-1,0,+'Value of Defferal'!N44*(1+'Value of Defferal'!$F$7))</f>
        <v>0.16261255086394008</v>
      </c>
      <c r="O45" s="5">
        <f t="shared" si="7"/>
        <v>33.066765274226775</v>
      </c>
      <c r="P45" s="48">
        <f t="shared" si="4"/>
        <v>81.47538457039862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235.78073667349798</v>
      </c>
      <c r="E46" s="11">
        <f>IF(B46&gt;Title_RESULTS!$H$8-1+Title_RESULTS!$C$18,0,+E45*(1+$F$7))</f>
        <v>0.15880131920306648</v>
      </c>
      <c r="F46" s="9">
        <f t="shared" si="1"/>
        <v>553.5772815874611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13.753771899914257</v>
      </c>
      <c r="L46" s="5">
        <f t="shared" si="3"/>
        <v>33.88882600235713</v>
      </c>
      <c r="N46" s="11">
        <f>IF(+B46&gt;Title_RESULTS!$H$9+Title_RESULTS!$C$19-1,0,+'Value of Defferal'!N45*(1+'Value of Defferal'!$F$7))</f>
        <v>0.16651525208467466</v>
      </c>
      <c r="O46" s="5">
        <f t="shared" si="7"/>
        <v>33.86036764080822</v>
      </c>
      <c r="P46" s="48">
        <f t="shared" si="4"/>
        <v>83.43079380008818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227.63322987365245</v>
      </c>
      <c r="E47" s="11">
        <f>IF(B47&gt;Title_RESULTS!$H$8-1+Title_RESULTS!$C$18,0,+E46*(1+$F$7))</f>
        <v>0.16261255086394008</v>
      </c>
      <c r="F47" s="9">
        <f t="shared" si="1"/>
        <v>566.8631363455602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13.278504277719778</v>
      </c>
      <c r="L47" s="5">
        <f t="shared" si="3"/>
        <v>32.717782751799575</v>
      </c>
      <c r="N47" s="11">
        <f>IF(+B47&gt;Title_RESULTS!$H$9+Title_RESULTS!$C$19-1,0,+'Value of Defferal'!N46*(1+'Value of Defferal'!$F$7))</f>
        <v>0.17051161813470686</v>
      </c>
      <c r="O47" s="5">
        <f t="shared" si="7"/>
        <v>34.67301646418762</v>
      </c>
      <c r="P47" s="48">
        <f t="shared" si="4"/>
        <v>85.43313285129031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219.48572307380684</v>
      </c>
      <c r="E48" s="11">
        <f>IF(B48&gt;Title_RESULTS!$H$8-1+Title_RESULTS!$C$18,0,+E47*(1+$F$7))</f>
        <v>0.16651525208467466</v>
      </c>
      <c r="F48" s="9">
        <f t="shared" si="1"/>
        <v>580.4678516178537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12.803236655525295</v>
      </c>
      <c r="L48" s="5">
        <f t="shared" si="3"/>
        <v>31.546739501242016</v>
      </c>
      <c r="N48" s="11">
        <f>IF(+B48&gt;Title_RESULTS!$H$9+Title_RESULTS!$C$19-1,0,+'Value of Defferal'!N47*(1+'Value of Defferal'!$F$7))</f>
        <v>0.17460389696993983</v>
      </c>
      <c r="O48" s="5">
        <f t="shared" si="7"/>
        <v>35.50516885932812</v>
      </c>
      <c r="P48" s="48">
        <f t="shared" si="4"/>
        <v>87.48352803972128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211.33821627396117</v>
      </c>
      <c r="E49" s="11">
        <f>IF(B49&gt;Title_RESULTS!$H$8-1+Title_RESULTS!$C$18,0,+E48*(1+$F$7))</f>
        <v>0.17051161813470686</v>
      </c>
      <c r="F49" s="9">
        <f t="shared" si="1"/>
        <v>594.3990800566822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12.327969033330808</v>
      </c>
      <c r="L49" s="5">
        <f t="shared" si="3"/>
        <v>30.37569625068445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203.19070947411558</v>
      </c>
      <c r="E50" s="11">
        <f>IF(B50&gt;Title_RESULTS!$H$8-1+Title_RESULTS!$C$18,0,+E49*(1+$F$7))</f>
        <v>0.17460389696993983</v>
      </c>
      <c r="F50" s="9">
        <f t="shared" si="1"/>
        <v>608.6646579780427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11.852701411136326</v>
      </c>
      <c r="L50" s="5">
        <f t="shared" si="3"/>
        <v>29.20465300012689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195.04320267427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11.377433788941845</v>
      </c>
      <c r="L51" s="5">
        <f t="shared" si="3"/>
        <v>28.033609749569333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8328.376043665243</v>
      </c>
      <c r="F63" s="9">
        <f>SUM(F23:F61)</f>
        <v>11615.859237081439</v>
      </c>
      <c r="J63" t="s">
        <v>87</v>
      </c>
      <c r="K63" s="9">
        <f>SUM(K23:K61)</f>
        <v>485.81824799327325</v>
      </c>
      <c r="O63" s="9">
        <f>SUM(O23:O61)</f>
        <v>677.5866452125117</v>
      </c>
    </row>
    <row r="64" spans="3:15" ht="12.75">
      <c r="C64" t="s">
        <v>89</v>
      </c>
      <c r="D64" s="9">
        <f>NPV(+Title_RESULTS!$C$37,'Value of Defferal'!D24:D61)+'Value of Defferal'!D23</f>
        <v>3718.6702726545273</v>
      </c>
      <c r="F64" s="9">
        <f>NPV(+Title_RESULTS!$C$37,'Value of Defferal'!F24:F61)+'Value of Defferal'!F23</f>
        <v>4319.305581269457</v>
      </c>
      <c r="J64" t="s">
        <v>89</v>
      </c>
      <c r="K64" s="9">
        <f>NPV(+Title_RESULTS!$C$37,'Value of Defferal'!K24:K61)+'Value of Defferal'!K23</f>
        <v>216.92078590757563</v>
      </c>
      <c r="O64" s="9">
        <f>NPV(+Title_RESULTS!$C$37,'Value of Defferal'!O24:O61)+'Value of Defferal'!O23</f>
        <v>288.8977455240942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1.8967516567613867</v>
      </c>
      <c r="C25" t="s">
        <v>372</v>
      </c>
    </row>
    <row r="26" spans="2:3" ht="18">
      <c r="B26" s="15">
        <f>+((Input!$C$6*'EUE_Line Losses'!C4)+(Input!$C$7*'EUE_Line Losses'!C3))/'EUE_Line Losses'!C22</f>
        <v>1.8906331030298986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0" sqref="C40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0.600508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1.980077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5378.259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1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25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4987.25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4090.05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ENERGY STAR Certified Home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43599.32860648148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1.980077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1.8967516567613867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7.3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5697.308262711865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5.6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5378.259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25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0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4987.25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5.9363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0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4090.05</v>
      </c>
      <c r="D39" s="13" t="s">
        <v>189</v>
      </c>
      <c r="G39" s="20" t="s">
        <v>346</v>
      </c>
      <c r="H39" s="79">
        <f>+'Sheet7(F_23)'!H46</f>
        <v>1.0997227699698058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+'Sheet8(F_24)'!K44</f>
        <v>15766.620829009164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+'Sheet9(F_25)'!J46</f>
        <v>0.6839849800430085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2019-05-14T11:53:13Z</dcterms:created>
  <dcterms:modified xsi:type="dcterms:W3CDTF">2019-05-14T11:53:29Z</dcterms:modified>
  <cp:category/>
  <cp:version/>
  <cp:contentType/>
  <cp:contentStatus/>
</cp:coreProperties>
</file>