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'Sheet2(F_12)'!$A$1:$K$57</definedName>
    <definedName name="_xlnm.Print_Area" localSheetId="11">'Sheet3(F_21)'!$A$1:$J$46</definedName>
    <definedName name="_xlnm.Print_Area" localSheetId="14">'Sheet4(F_22)'!$A$1:$J$46</definedName>
    <definedName name="_xlnm.Print_Area" localSheetId="12">'Sheet5(p_5)'!$A$1:$H$46</definedName>
    <definedName name="_xlnm.Print_Area" localSheetId="15">'Sheet6(p_6)'!$A$1:$R$46</definedName>
    <definedName name="_xlnm.Print_Area" localSheetId="16">'Sheet7(F_23)'!$A$1:$M$46</definedName>
    <definedName name="_xlnm.Print_Area" localSheetId="17">'Sheet8(F_24)'!$A$1:$M$46</definedName>
    <definedName name="_xlnm.Print_Area" localSheetId="18">'Sheet9(F_25)'!$A$1:$N$46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<sst xmlns="http://schemas.openxmlformats.org/spreadsheetml/2006/main" count="1258" uniqueCount="468">
  <si>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</si>
  <si>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</si>
  <si>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</si>
  <si>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</si>
  <si>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</si>
  <si>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</si>
  <si>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</si>
  <si>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</si>
  <si>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</si>
  <si>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</si>
  <si>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</si>
  <si>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</si>
  <si>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</si>
  <si>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</si>
  <si>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</si>
  <si>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</si>
  <si>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</si>
  <si>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</si>
  <si>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</si>
  <si>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</si>
  <si>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</si>
  <si>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</si>
  <si>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</si>
  <si>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</si>
  <si>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</si>
  <si>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</si>
  <si>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</si>
  <si>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</si>
  <si>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</si>
  <si>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</si>
  <si>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</si>
  <si>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</si>
  <si>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</si>
  <si>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</si>
  <si>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</si>
  <si>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</si>
  <si>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</si>
  <si>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</si>
  <si>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</si>
  <si>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</si>
  <si>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</si>
  <si>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</si>
  <si>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</si>
  <si>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</si>
  <si>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</si>
  <si>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</si>
  <si>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</si>
  <si>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</si>
  <si>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</si>
  <si>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</si>
  <si>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</si>
  <si>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</si>
  <si>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</si>
  <si>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</si>
  <si>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</si>
  <si>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</si>
  <si>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</si>
  <si>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</si>
  <si>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</si>
  <si>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</si>
  <si>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</si>
  <si>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</si>
  <si>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</si>
  <si>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</si>
  <si>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</si>
  <si>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</si>
  <si>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</si>
  <si>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</si>
  <si>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</si>
  <si>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</si>
  <si>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</si>
  <si>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</si>
  <si>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</si>
  <si>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</si>
  <si>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</si>
  <si>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</si>
  <si>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</si>
  <si>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</si>
  <si>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</si>
  <si>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</si>
  <si>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</si>
  <si>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</si>
  <si>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</si>
  <si>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</si>
  <si>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</si>
  <si>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</si>
  <si>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</si>
  <si>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</si>
  <si>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</si>
  <si>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</si>
  <si>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</si>
  <si>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</si>
  <si>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</si>
  <si>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</si>
  <si>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</si>
  <si>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</si>
  <si>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</si>
  <si>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</si>
  <si>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</si>
  <si>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</si>
  <si>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</si>
  <si>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</si>
  <si>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</si>
  <si>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</si>
  <si>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</si>
  <si>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</si>
  <si>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</si>
  <si>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</si>
  <si>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</si>
  <si>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</si>
  <si>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</si>
  <si>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</si>
  <si>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</si>
  <si>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</si>
  <si>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</si>
  <si>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</si>
  <si>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</si>
  <si>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</si>
  <si>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</si>
  <si>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</si>
  <si>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</si>
  <si>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</si>
  <si>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</si>
  <si>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</si>
  <si>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</si>
  <si>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</si>
  <si>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</si>
  <si>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</si>
  <si>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</si>
  <si>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</si>
  <si>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</si>
  <si>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</si>
  <si>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</si>
  <si>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</si>
  <si>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</si>
  <si>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</si>
  <si>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</si>
  <si>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</si>
  <si>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</si>
  <si>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</si>
  <si>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</si>
  <si>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</si>
  <si>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</si>
  <si>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</si>
  <si>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</si>
  <si>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</si>
  <si>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</si>
  <si>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</si>
  <si>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</si>
  <si>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</si>
  <si>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</si>
  <si>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</si>
  <si>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</si>
  <si>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</si>
  <si>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</si>
  <si>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</si>
  <si>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</si>
  <si>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</si>
  <si>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</si>
  <si>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</si>
  <si>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</si>
  <si>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</si>
  <si>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</si>
  <si>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</si>
  <si>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</si>
  <si>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</si>
  <si>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</si>
  <si>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</si>
  <si>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</si>
  <si>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</si>
  <si>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</si>
  <si>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</si>
  <si>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</si>
  <si>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</si>
  <si>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</si>
  <si>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</si>
  <si>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</si>
  <si>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</si>
  <si>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</si>
  <si>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</si>
  <si>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</si>
  <si>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</si>
  <si>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</si>
  <si>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</si>
  <si>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</si>
  <si>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</si>
  <si>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</si>
  <si>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</si>
  <si>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</si>
  <si>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</si>
  <si>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</si>
  <si>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</si>
  <si>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</si>
  <si>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</si>
  <si>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</si>
  <si>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</si>
  <si>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</si>
  <si>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</si>
  <si>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</si>
  <si>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</si>
  <si>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</si>
  <si>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</si>
  <si>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</si>
  <si>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</si>
  <si>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</si>
  <si>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</si>
  <si>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</si>
  <si>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</si>
  <si>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</si>
  <si>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</si>
  <si>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</si>
  <si>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</si>
  <si>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</si>
  <si>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</si>
  <si>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</si>
  <si>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</si>
  <si>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</si>
  <si>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</si>
  <si>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</si>
  <si>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</si>
  <si>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</si>
  <si>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</si>
  <si>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</si>
  <si>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</si>
  <si>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</si>
  <si>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</si>
  <si>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</si>
  <si>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</si>
  <si>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</si>
  <si>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</si>
  <si>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</si>
  <si>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</si>
  <si>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</si>
  <si>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</si>
  <si>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</si>
  <si>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</si>
  <si>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</si>
  <si>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</si>
  <si>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</si>
  <si>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</si>
  <si>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</si>
  <si>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</si>
  <si>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</si>
  <si>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</si>
  <si>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</si>
  <si>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</si>
  <si>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</si>
  <si>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</si>
  <si>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</si>
  <si>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</si>
  <si>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</si>
  <si>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</si>
  <si>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</si>
  <si>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</si>
  <si>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</si>
  <si>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</si>
  <si>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</si>
  <si>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</si>
  <si>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</si>
  <si>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</si>
  <si>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</si>
  <si>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</si>
  <si>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</si>
  <si>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</si>
  <si>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</si>
  <si>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</si>
  <si>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</si>
  <si>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</si>
  <si>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</si>
  <si>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</si>
  <si>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</si>
  <si>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</si>
  <si>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</si>
  <si>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</si>
  <si>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</si>
  <si>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</si>
  <si>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</si>
  <si>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</si>
  <si>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</si>
  <si>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</si>
  <si>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</si>
  <si>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</si>
  <si>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</si>
  <si>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</si>
  <si>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</si>
  <si>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</si>
  <si>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</si>
  <si>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</si>
  <si>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</si>
  <si>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</si>
  <si>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</si>
  <si>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</si>
  <si>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</si>
  <si>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</si>
  <si>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</si>
  <si>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</si>
  <si>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</si>
  <si>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</si>
  <si>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</si>
  <si>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</si>
  <si>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</si>
  <si>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</si>
  <si>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</si>
  <si>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</si>
  <si>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</si>
  <si>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</si>
  <si>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</si>
  <si>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</si>
  <si>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</si>
  <si>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</si>
  <si>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</si>
  <si>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</si>
  <si>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</si>
  <si>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</si>
  <si>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</si>
  <si>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</si>
  <si>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</si>
  <si>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</si>
  <si>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</si>
  <si>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</si>
  <si>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</si>
  <si>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</si>
  <si>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</si>
  <si>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</si>
  <si>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</si>
  <si>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</si>
  <si>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</si>
  <si>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</si>
  <si>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</si>
  <si>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</si>
  <si>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</si>
  <si>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</si>
  <si>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</si>
  <si>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</si>
  <si>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</si>
  <si>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</si>
  <si>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</si>
  <si>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</si>
  <si>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</si>
  <si>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</si>
  <si>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</si>
  <si>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</si>
  <si>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</si>
  <si>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</si>
  <si>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</si>
  <si>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</si>
  <si>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</si>
  <si>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</si>
  <si>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</si>
  <si>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</si>
  <si>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</si>
  <si>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</si>
  <si>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</si>
  <si>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</si>
  <si>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</si>
  <si>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</si>
  <si>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</si>
  <si>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</si>
  <si>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</si>
  <si>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</si>
  <si>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</si>
  <si>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</si>
  <si>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</si>
  <si>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</si>
  <si>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</si>
  <si>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</si>
  <si>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</si>
  <si>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</si>
  <si>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</si>
  <si>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</si>
  <si>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</si>
  <si>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</si>
  <si>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</si>
  <si>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</si>
  <si>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</si>
  <si>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</si>
  <si>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</si>
  <si>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</si>
  <si>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</si>
  <si>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</si>
  <si>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</si>
  <si>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</si>
  <si>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</si>
  <si>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</si>
  <si>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</si>
  <si>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</si>
  <si>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</si>
  <si>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</si>
  <si>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</si>
  <si>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</si>
  <si>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</si>
  <si>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</si>
  <si>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</si>
  <si>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</si>
  <si>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</si>
  <si>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</si>
  <si>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</si>
  <si>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</si>
  <si>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</si>
  <si>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</si>
  <si>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</si>
  <si>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</si>
  <si>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</si>
  <si>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</si>
  <si>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</si>
  <si>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</si>
  <si>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</si>
  <si>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</si>
  <si>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</si>
  <si>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</si>
  <si>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</si>
  <si>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</si>
  <si>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</si>
  <si>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</si>
  <si>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</si>
  <si>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</si>
  <si>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</si>
  <si>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</si>
  <si>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</si>
  <si>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</si>
  <si>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</si>
  <si>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</si>
  <si>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</si>
  <si>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</si>
  <si>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</si>
  <si>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</si>
  <si>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</si>
  <si>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</si>
  <si>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</si>
  <si>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</si>
  <si>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</si>
  <si>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</si>
  <si>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</si>
  <si>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</si>
  <si>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</si>
  <si>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</si>
  <si>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</si>
  <si>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</si>
  <si>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</si>
  <si>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</si>
  <si>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</si>
  <si>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</si>
  <si>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</si>
  <si>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</si>
  <si>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</si>
  <si>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</si>
  <si>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</si>
  <si>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</si>
  <si>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</si>
  <si>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</si>
  <si>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</si>
  <si>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</si>
  <si>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</si>
  <si>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</si>
  <si>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</si>
  <si>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</si>
  <si>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</si>
  <si>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</si>
  <si>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</si>
  <si>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</si>
  <si>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</si>
  <si>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</si>
  <si>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</si>
  <si>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</si>
  <si>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</si>
  <si>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</si>
  <si>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</si>
  <si>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Windows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</si>
</sst>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43599.32883784722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2</v>
      </c>
    </row>
    <row r="58" ht="12.75">
      <c r="A58">
        <f>IF(Title_RESULTS!C22=1,3,1)</f>
        <v>1</v>
      </c>
    </row>
    <row r="60" spans="1:3" ht="12.75">
      <c r="A60" t="s">
        <v>254</v>
      </c>
      <c r="C60">
        <f>ROUND(+Title_RESULTS!C8*Partcipation!C26,0)</f>
        <v>321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43599.32883784722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Windows</v>
      </c>
      <c r="J2" t="s">
        <v>55</v>
      </c>
    </row>
    <row r="3" ht="12.75">
      <c r="J3" s="35">
        <f>+Title_RESULTS!I4</f>
        <v>43599.32883784722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321</v>
      </c>
      <c r="H5" t="s">
        <v>59</v>
      </c>
    </row>
    <row r="6" spans="3:7" ht="12.75">
      <c r="C6" t="s">
        <v>61</v>
      </c>
      <c r="G6" s="36">
        <f>+'Value of Defferal'!E3</f>
        <v>196.6604002828854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40">+A18+1</f>
        <v>2023</v>
      </c>
      <c r="B19" s="43">
        <f>VLOOKUP(A19,'Value of Defferal'!$B26:$F$61,'Value of Defferal'!$C$10)</f>
        <v>0.13759066226231162</v>
      </c>
      <c r="C19" s="44">
        <f>VLOOKUP(A19,'Value of Defferal'!$B26:$F$61,'Value of Defferal'!$C$9)</f>
        <v>27.058634715693497</v>
      </c>
      <c r="D19" s="5">
        <f>IF((Title_RESULTS!$H$8-Title_RESULTS!$H$7)&lt;=('Sheet3(F_21)'!A19-Title_RESULTS!$H$7),((Title_RESULTS!$C$8*Partcipation!$C$26*8760*Title_RESULTS!$H$21/100000)),0)</f>
        <v>255.7685934492754</v>
      </c>
      <c r="E19" s="5">
        <f>IF($G19=0,0,((Title_RESULTS!$H$14*((1+Title_RESULTS!$H$15/100)^($A19-Title_RESULTS!$H$7))*'EUE_Line Losses'!$B$25*Partcipation!$C$26))/1000)</f>
        <v>2.0084921624065095</v>
      </c>
      <c r="F19" s="5">
        <f>IF($G19=0,0,(Title_RESULTS!$H$19/100*((1+Title_RESULTS!$H$20/100)^($A19-Title_RESULTS!$H$7))*$D19*1000)/1000)</f>
        <v>0.5767218157094928</v>
      </c>
      <c r="G19" s="5">
        <f>(+Title_RESULTS!$H$22/100*((1+Title_RESULTS!$H$23/100)^(+'Sheet4(F_22)'!A19-Title_RESULTS!$H$7)))*'Sheet3(F_21)'!D19</f>
        <v>10.957865618663229</v>
      </c>
      <c r="H19" s="5">
        <f>IF($G19=0,0,(($D19))*(Partcipation!$G19/100))</f>
        <v>8.1145849314397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32.48712938103303</v>
      </c>
    </row>
    <row r="20" spans="1:10" ht="12.75">
      <c r="A20">
        <f t="shared" si="0"/>
        <v>2024</v>
      </c>
      <c r="B20" s="43">
        <f>VLOOKUP(A20,'Value of Defferal'!$B27:$F$61,'Value of Defferal'!$C$10)</f>
        <v>0.13352762595002862</v>
      </c>
      <c r="C20" s="44">
        <f>VLOOKUP(A20,'Value of Defferal'!$B27:$F$61,'Value of Defferal'!$C$9)</f>
        <v>26.259596368156025</v>
      </c>
      <c r="D20" s="5">
        <f>IF((Title_RESULTS!$H$8-Title_RESULTS!$H$7)&lt;=('Sheet3(F_21)'!A20-Title_RESULTS!$H$7),((Title_RESULTS!$C$8*Partcipation!$C$26*8760*Title_RESULTS!$H$21/100000)),0)</f>
        <v>255.7685934492754</v>
      </c>
      <c r="E20" s="5">
        <f>IF($G20=0,0,((Title_RESULTS!$H$14*((1+Title_RESULTS!$H$15/100)^($A20-Title_RESULTS!$H$7))*'EUE_Line Losses'!$B$25*Partcipation!$C$26))/1000)</f>
        <v>2.056695974304265</v>
      </c>
      <c r="F20" s="5">
        <f>IF($G20=0,0,(Title_RESULTS!$H$19/100*((1+Title_RESULTS!$H$20/100)^($A20-Title_RESULTS!$H$7))*$D20*1000)/1000)</f>
        <v>0.5905631392865205</v>
      </c>
      <c r="G20" s="5">
        <f>(+Title_RESULTS!$H$22/100*((1+Title_RESULTS!$H$23/100)^(+'Sheet4(F_22)'!A20-Title_RESULTS!$H$7)))*'Sheet3(F_21)'!D20</f>
        <v>11.455352717750541</v>
      </c>
      <c r="H20" s="5">
        <f>IF($G20=0,0,(($D20))*(Partcipation!$G20/100))</f>
        <v>8.477586041721473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31.88462215777588</v>
      </c>
    </row>
    <row r="21" spans="1:10" ht="12.75">
      <c r="A21">
        <f t="shared" si="0"/>
        <v>2025</v>
      </c>
      <c r="B21" s="43">
        <f>VLOOKUP(A21,'Value of Defferal'!$B28:$F$61,'Value of Defferal'!$C$10)</f>
        <v>0.1290420634933591</v>
      </c>
      <c r="C21" s="44">
        <f>VLOOKUP(A21,'Value of Defferal'!$B28:$F$61,'Value of Defferal'!$C$9)</f>
        <v>25.377463859933513</v>
      </c>
      <c r="D21" s="5">
        <f>IF((Title_RESULTS!$H$8-Title_RESULTS!$H$7)&lt;=('Sheet3(F_21)'!A21-Title_RESULTS!$H$7),((Title_RESULTS!$C$8*Partcipation!$C$26*8760*Title_RESULTS!$H$21/100000)),0)</f>
        <v>255.7685934492754</v>
      </c>
      <c r="E21" s="5">
        <f>IF($G21=0,0,((Title_RESULTS!$H$14*((1+Title_RESULTS!$H$15/100)^($A21-Title_RESULTS!$H$7))*'EUE_Line Losses'!$B$25*Partcipation!$C$26))/1000)</f>
        <v>2.1060566776875675</v>
      </c>
      <c r="F21" s="5">
        <f>IF($G21=0,0,(Title_RESULTS!$H$19/100*((1+Title_RESULTS!$H$20/100)^($A21-Title_RESULTS!$H$7))*$D21*1000)/1000)</f>
        <v>0.6047366546293971</v>
      </c>
      <c r="G21" s="5">
        <f>(+Title_RESULTS!$H$22/100*((1+Title_RESULTS!$H$23/100)^(+'Sheet4(F_22)'!A21-Title_RESULTS!$H$7)))*'Sheet3(F_21)'!D21</f>
        <v>11.975425731136417</v>
      </c>
      <c r="H21" s="5">
        <f>IF($G21=0,0,(($D21))*(Partcipation!$G21/100))</f>
        <v>8.813538477569601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31.2501444458173</v>
      </c>
    </row>
    <row r="22" spans="1:10" ht="12.75">
      <c r="A22">
        <f t="shared" si="0"/>
        <v>2026</v>
      </c>
      <c r="B22" s="43">
        <f>VLOOKUP(A22,'Value of Defferal'!$B29:$F$61,'Value of Defferal'!$C$10)</f>
        <v>0.12477133475235652</v>
      </c>
      <c r="C22" s="44">
        <f>VLOOKUP(A22,'Value of Defferal'!$B29:$F$61,'Value of Defferal'!$C$9)</f>
        <v>24.537580636228324</v>
      </c>
      <c r="D22" s="5">
        <f>IF((Title_RESULTS!$H$8-Title_RESULTS!$H$7)&lt;=('Sheet3(F_21)'!A22-Title_RESULTS!$H$7),((Title_RESULTS!$C$8*Partcipation!$C$26*8760*Title_RESULTS!$H$21/100000)),0)</f>
        <v>255.7685934492754</v>
      </c>
      <c r="E22" s="5">
        <f>IF($G22=0,0,((Title_RESULTS!$H$14*((1+Title_RESULTS!$H$15/100)^($A22-Title_RESULTS!$H$7))*'EUE_Line Losses'!$B$25*Partcipation!$C$26))/1000)</f>
        <v>2.1566020379520685</v>
      </c>
      <c r="F22" s="5">
        <f>IF($G22=0,0,(Title_RESULTS!$H$19/100*((1+Title_RESULTS!$H$20/100)^($A22-Title_RESULTS!$H$7))*$D22*1000)/1000)</f>
        <v>0.6192503343405025</v>
      </c>
      <c r="G22" s="5">
        <f>(+Title_RESULTS!$H$22/100*((1+Title_RESULTS!$H$23/100)^(+'Sheet4(F_22)'!A22-Title_RESULTS!$H$7)))*'Sheet3(F_21)'!D22</f>
        <v>12.51911005933001</v>
      </c>
      <c r="H22" s="5">
        <f>IF($G22=0,0,(($D22))*(Partcipation!$G22/100))</f>
        <v>9.099100274500662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30.733442793350235</v>
      </c>
    </row>
    <row r="23" spans="1:10" ht="12.75">
      <c r="A23">
        <f t="shared" si="0"/>
        <v>2027</v>
      </c>
      <c r="B23" s="43">
        <f>VLOOKUP(A23,'Value of Defferal'!$B30:$F$61,'Value of Defferal'!$C$10)</f>
        <v>0.12069389684472964</v>
      </c>
      <c r="C23" s="44">
        <f>VLOOKUP(A23,'Value of Defferal'!$B30:$F$61,'Value of Defferal'!$C$9)</f>
        <v>23.73571006518581</v>
      </c>
      <c r="D23" s="5">
        <f>IF((Title_RESULTS!$H$8-Title_RESULTS!$H$7)&lt;=('Sheet3(F_21)'!A23-Title_RESULTS!$H$7),((Title_RESULTS!$C$8*Partcipation!$C$26*8760*Title_RESULTS!$H$21/100000)),0)</f>
        <v>255.7685934492754</v>
      </c>
      <c r="E23" s="5">
        <f>IF($G23=0,0,((Title_RESULTS!$H$14*((1+Title_RESULTS!$H$15/100)^($A23-Title_RESULTS!$H$7))*'EUE_Line Losses'!$B$25*Partcipation!$C$26))/1000)</f>
        <v>2.208360486862919</v>
      </c>
      <c r="F23" s="5">
        <f>IF($G23=0,0,(Title_RESULTS!$H$19/100*((1+Title_RESULTS!$H$20/100)^($A23-Title_RESULTS!$H$7))*$D23*1000)/1000)</f>
        <v>0.6341123423646746</v>
      </c>
      <c r="G23" s="5">
        <f>(+Title_RESULTS!$H$22/100*((1+Title_RESULTS!$H$23/100)^(+'Sheet4(F_22)'!A23-Title_RESULTS!$H$7)))*'Sheet3(F_21)'!D23</f>
        <v>13.087477656023596</v>
      </c>
      <c r="H23" s="5">
        <f>IF($G23=0,0,(($D23))*(Partcipation!$G23/100))</f>
        <v>9.506372990122118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30.159287560314887</v>
      </c>
    </row>
    <row r="24" spans="1:10" ht="12.75">
      <c r="A24">
        <f t="shared" si="0"/>
        <v>2028</v>
      </c>
      <c r="B24" s="43">
        <f>VLOOKUP(A24,'Value of Defferal'!$B31:$F$61,'Value of Defferal'!$C$10)</f>
        <v>0.11679058731716964</v>
      </c>
      <c r="C24" s="44">
        <f>VLOOKUP(A24,'Value of Defferal'!$B31:$F$61,'Value of Defferal'!$C$9)</f>
        <v>22.96808365106786</v>
      </c>
      <c r="D24" s="5">
        <f>IF((Title_RESULTS!$H$8-Title_RESULTS!$H$7)&lt;=('Sheet3(F_21)'!A24-Title_RESULTS!$H$7),((Title_RESULTS!$C$8*Partcipation!$C$26*8760*Title_RESULTS!$H$21/100000)),0)</f>
        <v>255.7685934492754</v>
      </c>
      <c r="E24" s="5">
        <f>IF($G24=0,0,((Title_RESULTS!$H$14*((1+Title_RESULTS!$H$15/100)^($A24-Title_RESULTS!$H$7))*'EUE_Line Losses'!$B$25*Partcipation!$C$26))/1000)</f>
        <v>2.261361138547629</v>
      </c>
      <c r="F24" s="5">
        <f>IF($G24=0,0,(Title_RESULTS!$H$19/100*((1+Title_RESULTS!$H$20/100)^($A24-Title_RESULTS!$H$7))*$D24*1000)/1000)</f>
        <v>0.6493310385814268</v>
      </c>
      <c r="G24" s="5">
        <f>(+Title_RESULTS!$H$22/100*((1+Title_RESULTS!$H$23/100)^(+'Sheet4(F_22)'!A24-Title_RESULTS!$H$7)))*'Sheet3(F_21)'!D24</f>
        <v>13.68164914160707</v>
      </c>
      <c r="H24" s="5">
        <f>IF($G24=0,0,(($D24))*(Partcipation!$G24/100))</f>
        <v>10.231370728279867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29.329054241524123</v>
      </c>
    </row>
    <row r="25" spans="1:10" ht="12.75">
      <c r="A25">
        <f t="shared" si="0"/>
        <v>2029</v>
      </c>
      <c r="B25" s="43">
        <f>VLOOKUP(A25,'Value of Defferal'!$B32:$F$61,'Value of Defferal'!$C$10)</f>
        <v>0.1130087986891642</v>
      </c>
      <c r="C25" s="44">
        <f>VLOOKUP(A25,'Value of Defferal'!$B32:$F$61,'Value of Defferal'!$C$9)</f>
        <v>22.224355585699048</v>
      </c>
      <c r="D25" s="5">
        <f>IF((Title_RESULTS!$H$8-Title_RESULTS!$H$7)&lt;=('Sheet3(F_21)'!A25-Title_RESULTS!$H$7),((Title_RESULTS!$C$8*Partcipation!$C$26*8760*Title_RESULTS!$H$21/100000)),0)</f>
        <v>255.7685934492754</v>
      </c>
      <c r="E25" s="5">
        <f>IF($G25=0,0,((Title_RESULTS!$H$14*((1+Title_RESULTS!$H$15/100)^($A25-Title_RESULTS!$H$7))*'EUE_Line Losses'!$B$25*Partcipation!$C$26))/1000)</f>
        <v>2.315633805872772</v>
      </c>
      <c r="F25" s="5">
        <f>IF($G25=0,0,(Title_RESULTS!$H$19/100*((1+Title_RESULTS!$H$20/100)^($A25-Title_RESULTS!$H$7))*$D25*1000)/1000)</f>
        <v>0.664914983507381</v>
      </c>
      <c r="G25" s="5">
        <f>(+Title_RESULTS!$H$22/100*((1+Title_RESULTS!$H$23/100)^(+'Sheet4(F_22)'!A25-Title_RESULTS!$H$7)))*'Sheet3(F_21)'!D25</f>
        <v>14.302796012636032</v>
      </c>
      <c r="H25" s="5">
        <f>IF($G25=0,0,(($D25))*(Partcipation!$G25/100))</f>
        <v>10.680381119382156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28.827319268333078</v>
      </c>
    </row>
    <row r="26" spans="1:10" ht="12.75">
      <c r="A26">
        <f t="shared" si="0"/>
        <v>2030</v>
      </c>
      <c r="B26" s="43">
        <f>VLOOKUP(A26,'Value of Defferal'!$B33:$F$61,'Value of Defferal'!$C$10)</f>
        <v>0.109265930075022</v>
      </c>
      <c r="C26" s="44">
        <f>VLOOKUP(A26,'Value of Defferal'!$B33:$F$61,'Value of Defferal'!$C$9)</f>
        <v>21.488281545835594</v>
      </c>
      <c r="D26" s="5">
        <f>IF((Title_RESULTS!$H$8-Title_RESULTS!$H$7)&lt;=('Sheet3(F_21)'!A26-Title_RESULTS!$H$7),((Title_RESULTS!$C$8*Partcipation!$C$26*8760*Title_RESULTS!$H$21/100000)),0)</f>
        <v>255.7685934492754</v>
      </c>
      <c r="E26" s="5">
        <f>IF($G26=0,0,((Title_RESULTS!$H$14*((1+Title_RESULTS!$H$15/100)^($A26-Title_RESULTS!$H$7))*'EUE_Line Losses'!$B$25*Partcipation!$C$26))/1000)</f>
        <v>2.3712090172137184</v>
      </c>
      <c r="F26" s="5">
        <f>IF($G26=0,0,(Title_RESULTS!$H$19/100*((1+Title_RESULTS!$H$20/100)^($A26-Title_RESULTS!$H$7))*$D26*1000)/1000)</f>
        <v>0.6808729431115581</v>
      </c>
      <c r="G26" s="5">
        <f>(+Title_RESULTS!$H$22/100*((1+Title_RESULTS!$H$23/100)^(+'Sheet4(F_22)'!A26-Title_RESULTS!$H$7)))*'Sheet3(F_21)'!D26</f>
        <v>14.952142951609709</v>
      </c>
      <c r="H26" s="5">
        <f>IF($G26=0,0,(($D26))*(Partcipation!$G26/100))</f>
        <v>11.474498500162701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28.018007957607878</v>
      </c>
    </row>
    <row r="27" spans="1:10" ht="12.75">
      <c r="A27">
        <f t="shared" si="0"/>
        <v>2031</v>
      </c>
      <c r="B27" s="43">
        <f>VLOOKUP(A27,'Value of Defferal'!$B34:$F$61,'Value of Defferal'!$C$10)</f>
        <v>0.10552306146087977</v>
      </c>
      <c r="C27" s="44">
        <f>VLOOKUP(A27,'Value of Defferal'!$B34:$F$61,'Value of Defferal'!$C$9)</f>
        <v>20.752207505972134</v>
      </c>
      <c r="D27" s="5">
        <f>IF((Title_RESULTS!$H$8-Title_RESULTS!$H$7)&lt;=('Sheet3(F_21)'!A27-Title_RESULTS!$H$7),((Title_RESULTS!$C$8*Partcipation!$C$26*8760*Title_RESULTS!$H$21/100000)),0)</f>
        <v>255.7685934492754</v>
      </c>
      <c r="E27" s="5">
        <f>IF($G27=0,0,((Title_RESULTS!$H$14*((1+Title_RESULTS!$H$15/100)^($A27-Title_RESULTS!$H$7))*'EUE_Line Losses'!$B$25*Partcipation!$C$26))/1000)</f>
        <v>2.428118033626848</v>
      </c>
      <c r="F27" s="5">
        <f>IF($G27=0,0,(Title_RESULTS!$H$19/100*((1+Title_RESULTS!$H$20/100)^($A27-Title_RESULTS!$H$7))*$D27*1000)/1000)</f>
        <v>0.6972138937462357</v>
      </c>
      <c r="G27" s="5">
        <f>(+Title_RESULTS!$H$22/100*((1+Title_RESULTS!$H$23/100)^(+'Sheet4(F_22)'!A27-Title_RESULTS!$H$7)))*'Sheet3(F_21)'!D27</f>
        <v>15.63097024161279</v>
      </c>
      <c r="H27" s="5">
        <f>IF($G27=0,0,(($D27))*(Partcipation!$G27/100))</f>
        <v>11.75983550478616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27.748674170171846</v>
      </c>
    </row>
    <row r="28" spans="1:10" ht="12.75">
      <c r="A28">
        <f t="shared" si="0"/>
        <v>2032</v>
      </c>
      <c r="B28" s="43">
        <f>VLOOKUP(A28,'Value of Defferal'!$B35:$F$61,'Value of Defferal'!$C$10)</f>
        <v>0.10178019284673755</v>
      </c>
      <c r="C28" s="44">
        <f>VLOOKUP(A28,'Value of Defferal'!$B35:$F$61,'Value of Defferal'!$C$9)</f>
        <v>20.016133466108677</v>
      </c>
      <c r="D28" s="5">
        <f>IF((Title_RESULTS!$H$8-Title_RESULTS!$H$7)&lt;=('Sheet3(F_21)'!A28-Title_RESULTS!$H$7),((Title_RESULTS!$C$8*Partcipation!$C$26*8760*Title_RESULTS!$H$21/100000)),0)</f>
        <v>255.7685934492754</v>
      </c>
      <c r="E28" s="5">
        <f>IF($G28=0,0,((Title_RESULTS!$H$14*((1+Title_RESULTS!$H$15/100)^($A28-Title_RESULTS!$H$7))*'EUE_Line Losses'!$B$25*Partcipation!$C$26))/1000)</f>
        <v>2.486392866433892</v>
      </c>
      <c r="F28" s="5">
        <f>IF($G28=0,0,(Title_RESULTS!$H$19/100*((1+Title_RESULTS!$H$20/100)^($A28-Title_RESULTS!$H$7))*$D28*1000)/1000)</f>
        <v>0.7139470271961451</v>
      </c>
      <c r="G28" s="5">
        <f>(+Title_RESULTS!$H$22/100*((1+Title_RESULTS!$H$23/100)^(+'Sheet4(F_22)'!A28-Title_RESULTS!$H$7)))*'Sheet3(F_21)'!D28</f>
        <v>16.340616290582012</v>
      </c>
      <c r="H28" s="5">
        <f>IF($G28=0,0,(($D28))*(Partcipation!$G28/100))</f>
        <v>12.465542192525255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27.09154745779547</v>
      </c>
    </row>
    <row r="29" spans="1:10" ht="12.75">
      <c r="A29">
        <f t="shared" si="0"/>
        <v>2033</v>
      </c>
      <c r="B29" s="43">
        <f>VLOOKUP(A29,'Value of Defferal'!$B36:$F$61,'Value of Defferal'!$C$10)</f>
        <v>0.09803732423259534</v>
      </c>
      <c r="C29" s="44">
        <f>VLOOKUP(A29,'Value of Defferal'!$B36:$F$61,'Value of Defferal'!$C$9)</f>
        <v>19.28005942624522</v>
      </c>
      <c r="D29" s="5">
        <f>IF((Title_RESULTS!$H$8-Title_RESULTS!$H$7)&lt;=('Sheet3(F_21)'!A29-Title_RESULTS!$H$7),((Title_RESULTS!$C$8*Partcipation!$C$26*8760*Title_RESULTS!$H$21/100000)),0)</f>
        <v>255.7685934492754</v>
      </c>
      <c r="E29" s="5">
        <f>IF($G29=0,0,((Title_RESULTS!$H$14*((1+Title_RESULTS!$H$15/100)^($A29-Title_RESULTS!$H$7))*'EUE_Line Losses'!$B$25*Partcipation!$C$26))/1000)</f>
        <v>2.5460662952283055</v>
      </c>
      <c r="F29" s="5">
        <f>IF($G29=0,0,(Title_RESULTS!$H$19/100*((1+Title_RESULTS!$H$20/100)^($A29-Title_RESULTS!$H$7))*$D29*1000)/1000)</f>
        <v>0.7310817558488527</v>
      </c>
      <c r="G29" s="5">
        <f>(+Title_RESULTS!$H$22/100*((1+Title_RESULTS!$H$23/100)^(+'Sheet4(F_22)'!A29-Title_RESULTS!$H$7)))*'Sheet3(F_21)'!D29</f>
        <v>17.082480270174436</v>
      </c>
      <c r="H29" s="5">
        <f>IF($G29=0,0,(($D29))*(Partcipation!$G29/100))</f>
        <v>12.749849532963102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26.889838214533718</v>
      </c>
    </row>
    <row r="30" spans="1:10" ht="12.75">
      <c r="A30">
        <f t="shared" si="0"/>
        <v>2034</v>
      </c>
      <c r="B30" s="43">
        <f>VLOOKUP(A30,'Value of Defferal'!$B37:$F$61,'Value of Defferal'!$C$10)</f>
        <v>0.09429445561845311</v>
      </c>
      <c r="C30" s="44">
        <f>VLOOKUP(A30,'Value of Defferal'!$B37:$F$61,'Value of Defferal'!$C$9)</f>
        <v>18.54398538638176</v>
      </c>
      <c r="D30" s="5">
        <f>IF((Title_RESULTS!$H$8-Title_RESULTS!$H$7)&lt;=('Sheet3(F_21)'!A30-Title_RESULTS!$H$7),((Title_RESULTS!$C$8*Partcipation!$C$26*8760*Title_RESULTS!$H$21/100000)),0)</f>
        <v>255.7685934492754</v>
      </c>
      <c r="E30" s="5">
        <f>IF($G30=0,0,((Title_RESULTS!$H$14*((1+Title_RESULTS!$H$15/100)^($A30-Title_RESULTS!$H$7))*'EUE_Line Losses'!$B$25*Partcipation!$C$26))/1000)</f>
        <v>2.6071718863137843</v>
      </c>
      <c r="F30" s="5">
        <f>IF($G30=0,0,(Title_RESULTS!$H$19/100*((1+Title_RESULTS!$H$20/100)^($A30-Title_RESULTS!$H$7))*$D30*1000)/1000)</f>
        <v>0.7486277179892251</v>
      </c>
      <c r="G30" s="5">
        <f>(+Title_RESULTS!$H$22/100*((1+Title_RESULTS!$H$23/100)^(+'Sheet4(F_22)'!A30-Title_RESULTS!$H$7)))*'Sheet3(F_21)'!D30</f>
        <v>17.858024874440357</v>
      </c>
      <c r="H30" s="5">
        <f>IF($G30=0,0,(($D30))*(Partcipation!$G30/100))</f>
        <v>13.572560324135331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26.185249540989794</v>
      </c>
    </row>
    <row r="31" spans="1:10" ht="12.75">
      <c r="A31">
        <f t="shared" si="0"/>
        <v>2035</v>
      </c>
      <c r="B31" s="43">
        <f>VLOOKUP(A31,'Value of Defferal'!$B38:$F$61,'Value of Defferal'!$C$10)</f>
        <v>0.09055158700431087</v>
      </c>
      <c r="C31" s="44">
        <f>VLOOKUP(A31,'Value of Defferal'!$B38:$F$61,'Value of Defferal'!$C$9)</f>
        <v>17.8079113465183</v>
      </c>
      <c r="D31" s="5">
        <f>IF((Title_RESULTS!$H$8-Title_RESULTS!$H$7)&lt;=('Sheet3(F_21)'!A31-Title_RESULTS!$H$7),((Title_RESULTS!$C$8*Partcipation!$C$26*8760*Title_RESULTS!$H$21/100000)),0)</f>
        <v>255.7685934492754</v>
      </c>
      <c r="E31" s="5">
        <f>IF($G31=0,0,((Title_RESULTS!$H$14*((1+Title_RESULTS!$H$15/100)^($A31-Title_RESULTS!$H$7))*'EUE_Line Losses'!$B$25*Partcipation!$C$26))/1000)</f>
        <v>2.669744011585316</v>
      </c>
      <c r="F31" s="5">
        <f>IF($G31=0,0,(Title_RESULTS!$H$19/100*((1+Title_RESULTS!$H$20/100)^($A31-Title_RESULTS!$H$7))*$D31*1000)/1000)</f>
        <v>0.7665947832209666</v>
      </c>
      <c r="G31" s="5">
        <f>(+Title_RESULTS!$H$22/100*((1+Title_RESULTS!$H$23/100)^(+'Sheet4(F_22)'!A31-Title_RESULTS!$H$7)))*'Sheet3(F_21)'!D31</f>
        <v>18.668779203739952</v>
      </c>
      <c r="H31" s="5">
        <f>IF($G31=0,0,(($D31))*(Partcipation!$G31/100))</f>
        <v>14.092976000447598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25.820053344616937</v>
      </c>
    </row>
    <row r="32" spans="1:10" ht="12.75">
      <c r="A32">
        <f t="shared" si="0"/>
        <v>2036</v>
      </c>
      <c r="B32" s="43">
        <f>VLOOKUP(A32,'Value of Defferal'!$B39:$F$61,'Value of Defferal'!$C$10)</f>
        <v>0.08680871839016864</v>
      </c>
      <c r="C32" s="44">
        <f>VLOOKUP(A32,'Value of Defferal'!$B39:$F$61,'Value of Defferal'!$C$9)</f>
        <v>17.07183730665484</v>
      </c>
      <c r="D32" s="5">
        <f>IF((Title_RESULTS!$H$8-Title_RESULTS!$H$7)&lt;=('Sheet3(F_21)'!A32-Title_RESULTS!$H$7),((Title_RESULTS!$C$8*Partcipation!$C$26*8760*Title_RESULTS!$H$21/100000)),0)</f>
        <v>255.7685934492754</v>
      </c>
      <c r="E32" s="5">
        <f>IF($G32=0,0,((Title_RESULTS!$H$14*((1+Title_RESULTS!$H$15/100)^($A32-Title_RESULTS!$H$7))*'EUE_Line Losses'!$B$25*Partcipation!$C$26))/1000)</f>
        <v>2.733817867863363</v>
      </c>
      <c r="F32" s="5">
        <f>IF($G32=0,0,(Title_RESULTS!$H$19/100*((1+Title_RESULTS!$H$20/100)^($A32-Title_RESULTS!$H$7))*$D32*1000)/1000)</f>
        <v>0.7849930580182697</v>
      </c>
      <c r="G32" s="5">
        <f>(+Title_RESULTS!$H$22/100*((1+Title_RESULTS!$H$23/100)^(+'Sheet4(F_22)'!A32-Title_RESULTS!$H$7)))*'Sheet3(F_21)'!D32</f>
        <v>19.516341779589748</v>
      </c>
      <c r="H32" s="5">
        <f>IF($G32=0,0,(($D32))*(Partcipation!$G32/100))</f>
        <v>14.377113722415931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25.729876289710294</v>
      </c>
    </row>
    <row r="33" spans="1:10" ht="12.75">
      <c r="A33">
        <f t="shared" si="0"/>
        <v>2037</v>
      </c>
      <c r="B33" s="43">
        <f>VLOOKUP(A33,'Value of Defferal'!$B40:$F$61,'Value of Defferal'!$C$10)</f>
        <v>0.08306584977602645</v>
      </c>
      <c r="C33" s="44">
        <f>VLOOKUP(A33,'Value of Defferal'!$B40:$F$61,'Value of Defferal'!$C$9)</f>
        <v>16.33576326679139</v>
      </c>
      <c r="D33" s="5">
        <f>IF((Title_RESULTS!$H$8-Title_RESULTS!$H$7)&lt;=('Sheet3(F_21)'!A33-Title_RESULTS!$H$7),((Title_RESULTS!$C$8*Partcipation!$C$26*8760*Title_RESULTS!$H$21/100000)),0)</f>
        <v>255.7685934492754</v>
      </c>
      <c r="E33" s="5">
        <f>IF($G33=0,0,((Title_RESULTS!$H$14*((1+Title_RESULTS!$H$15/100)^($A33-Title_RESULTS!$H$7))*'EUE_Line Losses'!$B$25*Partcipation!$C$26))/1000)</f>
        <v>2.799429496692084</v>
      </c>
      <c r="F33" s="5">
        <f>IF($G33=0,0,(Title_RESULTS!$H$19/100*((1+Title_RESULTS!$H$20/100)^($A33-Title_RESULTS!$H$7))*$D33*1000)/1000)</f>
        <v>0.8038328914107082</v>
      </c>
      <c r="G33" s="5">
        <f>(+Title_RESULTS!$H$22/100*((1+Title_RESULTS!$H$23/100)^(+'Sheet4(F_22)'!A33-Title_RESULTS!$H$7)))*'Sheet3(F_21)'!D33</f>
        <v>20.40238369638313</v>
      </c>
      <c r="H33" s="5">
        <f>IF($G33=0,0,(($D33))*(Partcipation!$G33/100))</f>
        <v>15.156341462301214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25.185067888976093</v>
      </c>
    </row>
    <row r="34" spans="1:10" ht="12.75">
      <c r="A34">
        <f t="shared" si="0"/>
        <v>2038</v>
      </c>
      <c r="B34" s="43">
        <f>VLOOKUP(A34,'Value of Defferal'!$B41:$F$61,'Value of Defferal'!$C$10)</f>
        <v>0.07967445150114433</v>
      </c>
      <c r="C34" s="44">
        <f>VLOOKUP(A34,'Value of Defferal'!$B41:$F$61,'Value of Defferal'!$C$9)</f>
        <v>15.668809524534383</v>
      </c>
      <c r="D34" s="5">
        <f>IF((Title_RESULTS!$H$8-Title_RESULTS!$H$7)&lt;=('Sheet3(F_21)'!A34-Title_RESULTS!$H$7),((Title_RESULTS!$C$8*Partcipation!$C$26*8760*Title_RESULTS!$H$21/100000)),0)</f>
        <v>255.7685934492754</v>
      </c>
      <c r="E34" s="5">
        <f>IF($G34=0,0,((Title_RESULTS!$H$14*((1+Title_RESULTS!$H$15/100)^($A34-Title_RESULTS!$H$7))*'EUE_Line Losses'!$B$25*Partcipation!$C$26))/1000)</f>
        <v>2.8666158046126933</v>
      </c>
      <c r="F34" s="5">
        <f>IF($G34=0,0,(Title_RESULTS!$H$19/100*((1+Title_RESULTS!$H$20/100)^($A34-Title_RESULTS!$H$7))*$D34*1000)/1000)</f>
        <v>0.8231248808045651</v>
      </c>
      <c r="G34" s="5">
        <f>(+Title_RESULTS!$H$22/100*((1+Title_RESULTS!$H$23/100)^(+'Sheet4(F_22)'!A34-Title_RESULTS!$H$7)))*'Sheet3(F_21)'!D34</f>
        <v>21.328651916198922</v>
      </c>
      <c r="H34" s="5">
        <f>IF($G34=0,0,(($D34))*(Partcipation!$G34/100))</f>
        <v>15.470311984452929</v>
      </c>
      <c r="I34" s="5">
        <f>IF($A34&gt;=+Title_RESULTS!$H$8,+Partcipation!$C$60*Title_RESULTS!$H$24/1000*(1+Title_RESULTS!$H$25/100)^($A34-Title_RESULTS!$H$7),0)</f>
        <v>0</v>
      </c>
      <c r="J34" s="5">
        <f>(+C34+G34+E34+F34-H34+I34)*Partcipation!H34</f>
        <v>25.216890141697633</v>
      </c>
    </row>
    <row r="35" spans="1:10" ht="12.75">
      <c r="A35">
        <f t="shared" si="0"/>
        <v>2039</v>
      </c>
      <c r="B35" s="43">
        <f>VLOOKUP(A35,'Value of Defferal'!$B42:$F$61,'Value of Defferal'!$C$10)</f>
        <v>0.07698587488333333</v>
      </c>
      <c r="C35" s="44">
        <f>VLOOKUP(A35,'Value of Defferal'!$B42:$F$61,'Value of Defferal'!$C$9)</f>
        <v>15.140072970684466</v>
      </c>
      <c r="D35" s="5">
        <f>IF((Title_RESULTS!$H$8-Title_RESULTS!$H$7)&lt;=('Sheet3(F_21)'!A35-Title_RESULTS!$H$7),((Title_RESULTS!$C$8*Partcipation!$C$26*8760*Title_RESULTS!$H$21/100000)),0)</f>
        <v>255.7685934492754</v>
      </c>
      <c r="E35" s="5">
        <f>IF($G35=0,0,((Title_RESULTS!$H$14*((1+Title_RESULTS!$H$15/100)^($A35-Title_RESULTS!$H$7))*'EUE_Line Losses'!$B$25*Partcipation!$C$26))/1000)</f>
        <v>2.9354145839233983</v>
      </c>
      <c r="F35" s="5">
        <f>IF($G35=0,0,(Title_RESULTS!$H$19/100*((1+Title_RESULTS!$H$20/100)^($A35-Title_RESULTS!$H$7))*$D35*1000)/1000)</f>
        <v>0.8428798779438749</v>
      </c>
      <c r="G35" s="5">
        <f>(+Title_RESULTS!$H$22/100*((1+Title_RESULTS!$H$23/100)^(+'Sheet4(F_22)'!A35-Title_RESULTS!$H$7)))*'Sheet3(F_21)'!D35</f>
        <v>22.296972713194354</v>
      </c>
      <c r="H35" s="5">
        <f>IF($G35=0,0,(($D35))*(Partcipation!$G35/100))</f>
        <v>16.11340821419454</v>
      </c>
      <c r="I35" s="5">
        <f>IF($A35&gt;=+Title_RESULTS!$H$8,+Partcipation!$C$60*Title_RESULTS!$H$24/1000*(1+Title_RESULTS!$H$25/100)^($A35-Title_RESULTS!$H$7),0)</f>
        <v>0</v>
      </c>
      <c r="J35" s="5">
        <f>(+C35+G35+E35+F35-H35+I35)*Partcipation!H35</f>
        <v>25.10193193155155</v>
      </c>
    </row>
    <row r="36" spans="1:10" ht="12.75">
      <c r="A36">
        <f t="shared" si="0"/>
        <v>2040</v>
      </c>
      <c r="B36" s="43">
        <f>VLOOKUP(A36,'Value of Defferal'!$B43:$F$61,'Value of Defferal'!$C$10)</f>
        <v>0.07464864958333334</v>
      </c>
      <c r="C36" s="44">
        <f>VLOOKUP(A36,'Value of Defferal'!$B43:$F$61,'Value of Defferal'!$C$9)</f>
        <v>14.68043330763518</v>
      </c>
      <c r="D36" s="5">
        <f>IF((Title_RESULTS!$H$8-Title_RESULTS!$H$7)&lt;=('Sheet3(F_21)'!A36-Title_RESULTS!$H$7),((Title_RESULTS!$C$8*Partcipation!$C$26*8760*Title_RESULTS!$H$21/100000)),0)</f>
        <v>255.7685934492754</v>
      </c>
      <c r="E36" s="5">
        <f>IF($G36=0,0,((Title_RESULTS!$H$14*((1+Title_RESULTS!$H$15/100)^($A36-Title_RESULTS!$H$7))*'EUE_Line Losses'!$B$25*Partcipation!$C$26))/1000)</f>
        <v>3.00586453393756</v>
      </c>
      <c r="F36" s="5">
        <f>IF($G36=0,0,(Title_RESULTS!$H$19/100*((1+Title_RESULTS!$H$20/100)^($A36-Title_RESULTS!$H$7))*$D36*1000)/1000)</f>
        <v>0.8631089950145278</v>
      </c>
      <c r="G36" s="5">
        <f>(+Title_RESULTS!$H$22/100*((1+Title_RESULTS!$H$23/100)^(+'Sheet4(F_22)'!A36-Title_RESULTS!$H$7)))*'Sheet3(F_21)'!D36</f>
        <v>23.30925527437338</v>
      </c>
      <c r="H36" s="5">
        <f>IF($G36=0,0,(($D36))*(Partcipation!$G36/100))</f>
        <v>16.09499024159361</v>
      </c>
      <c r="I36" s="5">
        <f>IF($A36&gt;=+Title_RESULTS!$H$8,+Partcipation!$C$60*Title_RESULTS!$H$24/1000*(1+Title_RESULTS!$H$25/100)^($A36-Title_RESULTS!$H$7),0)</f>
        <v>0</v>
      </c>
      <c r="J36" s="5">
        <f>(+C36+G36+E36+F36-H36+I36)*Partcipation!H36</f>
        <v>25.76367186936704</v>
      </c>
    </row>
    <row r="37" spans="1:10" ht="12.75">
      <c r="A37">
        <f t="shared" si="0"/>
        <v>2041</v>
      </c>
      <c r="B37" s="43">
        <f>VLOOKUP(A37,'Value of Defferal'!$B44:$F$61,'Value of Defferal'!$C$10)</f>
        <v>0.07231142428333336</v>
      </c>
      <c r="C37" s="44">
        <f>VLOOKUP(A37,'Value of Defferal'!$B44:$F$61,'Value of Defferal'!$C$9)</f>
        <v>14.220793644585898</v>
      </c>
      <c r="D37" s="5">
        <f>IF((Title_RESULTS!$H$8-Title_RESULTS!$H$7)&lt;=('Sheet3(F_21)'!A37-Title_RESULTS!$H$7),((Title_RESULTS!$C$8*Partcipation!$C$26*8760*Title_RESULTS!$H$21/100000)),0)</f>
        <v>255.7685934492754</v>
      </c>
      <c r="E37" s="5">
        <f>IF($G37=0,0,((Title_RESULTS!$H$14*((1+Title_RESULTS!$H$15/100)^($A37-Title_RESULTS!$H$7))*'EUE_Line Losses'!$B$25*Partcipation!$C$26))/1000)</f>
        <v>3.0780052827520614</v>
      </c>
      <c r="F37" s="5">
        <f>IF($G37=0,0,(Title_RESULTS!$H$19/100*((1+Title_RESULTS!$H$20/100)^($A37-Title_RESULTS!$H$7))*$D37*1000)/1000)</f>
        <v>0.8838236108948765</v>
      </c>
      <c r="G37" s="5">
        <f>(+Title_RESULTS!$H$22/100*((1+Title_RESULTS!$H$23/100)^(+'Sheet4(F_22)'!A37-Title_RESULTS!$H$7)))*'Sheet3(F_21)'!D37</f>
        <v>24.367495463829936</v>
      </c>
      <c r="H37" s="5">
        <f>IF($G37=0,0,(($D37))*(Partcipation!$G37/100))</f>
        <v>17.1137022280442</v>
      </c>
      <c r="I37" s="5">
        <f>IF($A37&gt;=+Title_RESULTS!$H$8,+Partcipation!$C$60*Title_RESULTS!$H$24/1000*(1+Title_RESULTS!$H$25/100)^($A37-Title_RESULTS!$H$7),0)</f>
        <v>0</v>
      </c>
      <c r="J37" s="5">
        <f>(+C37+G37+E37+F37-H37+I37)*Partcipation!H37</f>
        <v>25.436415774018574</v>
      </c>
    </row>
    <row r="38" spans="1:10" ht="12.75">
      <c r="A38">
        <f t="shared" si="0"/>
        <v>2042</v>
      </c>
      <c r="B38" s="43">
        <f>VLOOKUP(A38,'Value of Defferal'!$B45:$F$61,'Value of Defferal'!$C$10)</f>
        <v>0.06997419898333333</v>
      </c>
      <c r="C38" s="44">
        <f>VLOOKUP(A38,'Value of Defferal'!$B45:$F$61,'Value of Defferal'!$C$9)</f>
        <v>13.761153981536607</v>
      </c>
      <c r="D38" s="5">
        <f>IF((Title_RESULTS!$H$8-Title_RESULTS!$H$7)&lt;=('Sheet3(F_21)'!A38-Title_RESULTS!$H$7),((Title_RESULTS!$C$8*Partcipation!$C$26*8760*Title_RESULTS!$H$21/100000)),0)</f>
        <v>255.7685934492754</v>
      </c>
      <c r="E38" s="5">
        <f>IF($G38=0,0,((Title_RESULTS!$H$14*((1+Title_RESULTS!$H$15/100)^($A38-Title_RESULTS!$H$7))*'EUE_Line Losses'!$B$25*Partcipation!$C$26))/1000)</f>
        <v>3.15187740953811</v>
      </c>
      <c r="F38" s="5">
        <f>IF($G38=0,0,(Title_RESULTS!$H$19/100*((1+Title_RESULTS!$H$20/100)^($A38-Title_RESULTS!$H$7))*$D38*1000)/1000)</f>
        <v>0.9050353775563532</v>
      </c>
      <c r="G38" s="5">
        <f>(+Title_RESULTS!$H$22/100*((1+Title_RESULTS!$H$23/100)^(+'Sheet4(F_22)'!A38-Title_RESULTS!$H$7)))*'Sheet3(F_21)'!D38</f>
        <v>25.47377975788782</v>
      </c>
      <c r="H38" s="5">
        <f>IF($G38=0,0,(($D38))*(Partcipation!$G38/100))</f>
        <v>18.0194966463262</v>
      </c>
      <c r="I38" s="5">
        <f>IF($A38&gt;=+Title_RESULTS!$H$8,+Partcipation!$C$60*Title_RESULTS!$H$24/1000*(1+Title_RESULTS!$H$25/100)^($A38-Title_RESULTS!$H$7),0)</f>
        <v>0</v>
      </c>
      <c r="J38" s="5">
        <f>(+C38+G38+E38+F38-H38+I38)*Partcipation!H38</f>
        <v>25.27234988019269</v>
      </c>
    </row>
    <row r="39" spans="1:10" ht="12.75">
      <c r="A39">
        <f t="shared" si="0"/>
        <v>2043</v>
      </c>
      <c r="B39" s="43">
        <f>VLOOKUP(A39,'Value of Defferal'!$B46:$F$61,'Value of Defferal'!$C$10)</f>
        <v>0.06763697368333334</v>
      </c>
      <c r="C39" s="44">
        <f>VLOOKUP(A39,'Value of Defferal'!$B46:$F$61,'Value of Defferal'!$C$9)</f>
        <v>13.301514318487321</v>
      </c>
      <c r="D39" s="5">
        <f>IF((Title_RESULTS!$H$8-Title_RESULTS!$H$7)&lt;=('Sheet3(F_21)'!A39-Title_RESULTS!$H$7),((Title_RESULTS!$C$8*Partcipation!$C$26*8760*Title_RESULTS!$H$21/100000)),0)</f>
        <v>255.7685934492754</v>
      </c>
      <c r="E39" s="5">
        <f>IF($G39=0,0,((Title_RESULTS!$H$14*((1+Title_RESULTS!$H$15/100)^($A39-Title_RESULTS!$H$7))*'EUE_Line Losses'!$B$25*Partcipation!$C$26))/1000)</f>
        <v>3.227522467367026</v>
      </c>
      <c r="F39" s="5">
        <f>IF($G39=0,0,(Title_RESULTS!$H$19/100*((1+Title_RESULTS!$H$20/100)^($A39-Title_RESULTS!$H$7))*$D39*1000)/1000)</f>
        <v>0.9267562266177061</v>
      </c>
      <c r="G39" s="5">
        <f>(+Title_RESULTS!$H$22/100*((1+Title_RESULTS!$H$23/100)^(+'Sheet4(F_22)'!A39-Title_RESULTS!$H$7)))*'Sheet3(F_21)'!D39</f>
        <v>26.630289358895926</v>
      </c>
      <c r="H39" s="5">
        <f>IF($G39=0,0,(($D39))*(Partcipation!$G39/100))</f>
        <v>18.777475133031505</v>
      </c>
      <c r="I39" s="5">
        <f>IF($A39&gt;=+Title_RESULTS!$H$8,+Partcipation!$C$60*Title_RESULTS!$H$24/1000*(1+Title_RESULTS!$H$25/100)^($A39-Title_RESULTS!$H$7),0)</f>
        <v>0</v>
      </c>
      <c r="J39" s="5">
        <f>(+C39+G39+E39+F39-H39+I39)*Partcipation!H39</f>
        <v>25.308607238336467</v>
      </c>
    </row>
    <row r="40" spans="1:10" ht="12.75">
      <c r="A40">
        <f t="shared" si="0"/>
        <v>2044</v>
      </c>
      <c r="B40" s="43">
        <f>VLOOKUP(A40,'Value of Defferal'!$B47:$F$61,'Value of Defferal'!$C$10)</f>
        <v>0.06529974838333336</v>
      </c>
      <c r="C40" s="44">
        <f>VLOOKUP(A40,'Value of Defferal'!$B47:$F$61,'Value of Defferal'!$C$9)</f>
        <v>12.841874655438037</v>
      </c>
      <c r="D40" s="5">
        <f>IF((Title_RESULTS!$H$8-Title_RESULTS!$H$7)&lt;=('Sheet3(F_21)'!A40-Title_RESULTS!$H$7),((Title_RESULTS!$C$8*Partcipation!$C$26*8760*Title_RESULTS!$H$21/100000)),0)</f>
        <v>255.7685934492754</v>
      </c>
      <c r="E40" s="5">
        <f>IF($G40=0,0,((Title_RESULTS!$H$14*((1+Title_RESULTS!$H$15/100)^($A40-Title_RESULTS!$H$7))*'EUE_Line Losses'!$B$25*Partcipation!$C$26))/1000)</f>
        <v>3.3049830065838335</v>
      </c>
      <c r="F40" s="5">
        <f>IF($G40=0,0,(Title_RESULTS!$H$19/100*((1+Title_RESULTS!$H$20/100)^($A40-Title_RESULTS!$H$7))*$D40*1000)/1000)</f>
        <v>0.9489983760565307</v>
      </c>
      <c r="G40" s="5">
        <f>(+Title_RESULTS!$H$22/100*((1+Title_RESULTS!$H$23/100)^(+'Sheet4(F_22)'!A40-Title_RESULTS!$H$7)))*'Sheet3(F_21)'!D40</f>
        <v>27.839304495789804</v>
      </c>
      <c r="H40" s="5">
        <f>IF($G40=0,0,(($D40))*(Partcipation!$G40/100))</f>
        <v>18.58650804207584</v>
      </c>
      <c r="I40" s="5">
        <f>IF($A40&gt;=+Title_RESULTS!$H$8,+Partcipation!$C$60*Title_RESULTS!$H$24/1000*(1+Title_RESULTS!$H$25/100)^($A40-Title_RESULTS!$H$7),0)</f>
        <v>0</v>
      </c>
      <c r="J40" s="5">
        <f>(+C40+G40+E40+F40-H40+I40)*Partcipation!H40</f>
        <v>26.348652491792357</v>
      </c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87</v>
      </c>
      <c r="B42" s="9"/>
      <c r="C42" s="9">
        <f aca="true" t="shared" si="1" ref="C42:J42">SUM(C16:C41)</f>
        <v>423.0722565353739</v>
      </c>
      <c r="D42" s="9">
        <f t="shared" si="1"/>
        <v>5626.909055884062</v>
      </c>
      <c r="E42" s="9">
        <f t="shared" si="1"/>
        <v>57.32543484730572</v>
      </c>
      <c r="F42" s="9">
        <f t="shared" si="1"/>
        <v>16.46052172384979</v>
      </c>
      <c r="G42" s="9">
        <f t="shared" si="1"/>
        <v>399.6771652254492</v>
      </c>
      <c r="H42" s="9">
        <f t="shared" si="1"/>
        <v>290.7475442924717</v>
      </c>
      <c r="I42" s="9">
        <f t="shared" si="1"/>
        <v>0</v>
      </c>
      <c r="J42" s="9">
        <f t="shared" si="1"/>
        <v>605.7878340395068</v>
      </c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89</v>
      </c>
      <c r="C44" s="5">
        <f>NPV(Title_RESULTS!$C$37,C17:C41)+'Sheet3(F_21)'!C16</f>
        <v>202.10667219493905</v>
      </c>
      <c r="D44" s="5"/>
      <c r="E44" s="5">
        <f>NPV(Title_RESULTS!$C$37,E17:E41)+'Sheet3(F_21)'!E16</f>
        <v>23.42589322282787</v>
      </c>
      <c r="F44" s="5">
        <f>NPV(Title_RESULTS!$C$37,F17:F41)+'Sheet3(F_21)'!F16</f>
        <v>6.7265503580051265</v>
      </c>
      <c r="G44" s="5">
        <f>NPV(Title_RESULTS!$C$37,G17:G41)+'Sheet3(F_21)'!G16</f>
        <v>154.3751269320257</v>
      </c>
      <c r="H44" s="5">
        <f>NPV(Title_RESULTS!$C$37,H17:H41)+'Sheet3(F_21)'!H16</f>
        <v>113.366697773934</v>
      </c>
      <c r="I44" s="5">
        <f>NPV(Title_RESULTS!$C$37,I17:I41)+'Sheet3(F_21)'!I16</f>
        <v>0</v>
      </c>
      <c r="J44" s="5">
        <f>NPV(Title_RESULTS!$C$37,J17:J41)+'Sheet3(F_21)'!J16</f>
        <v>273.2675449338638</v>
      </c>
    </row>
    <row r="46" ht="12.75">
      <c r="A4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Windows</v>
      </c>
      <c r="F2" t="s">
        <v>55</v>
      </c>
    </row>
    <row r="3" spans="6:7" ht="12.75">
      <c r="F3" s="35">
        <f>+Title_RESULTS!I4</f>
        <v>43599.32883784722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305.84523305084747</v>
      </c>
      <c r="C16" s="5">
        <f>$B16*'Sheet2(F_12)'!$E16/100</f>
        <v>8.871682108299277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8.871682108299277</v>
      </c>
      <c r="G16" s="5">
        <f>+$F16*'Sheet2(F_12)'!$I16</f>
        <v>8.871682108299277</v>
      </c>
    </row>
    <row r="17" spans="1:7" ht="12.75">
      <c r="A17">
        <f>+A16+1</f>
        <v>2021</v>
      </c>
      <c r="B17" s="5">
        <f>(+Partcipation!$C16+(Partcipation!$C17-Partcipation!$C16)/2)*Title_RESULTS!$C$10/1000</f>
        <v>917.5356991525424</v>
      </c>
      <c r="C17" s="5">
        <f>$B17*'Sheet2(F_12)'!$E17/100</f>
        <v>26.39856344533608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26.39856344533608</v>
      </c>
      <c r="G17" s="5">
        <f>+$F17*'Sheet2(F_12)'!$I17</f>
        <v>26.39856344533608</v>
      </c>
    </row>
    <row r="18" spans="1:7" ht="12.75">
      <c r="A18">
        <f>+A17+1</f>
        <v>2022</v>
      </c>
      <c r="B18" s="5">
        <f>(+Partcipation!$C17+(Partcipation!$C18-Partcipation!$C17)/2)*Title_RESULTS!$C$10/1000</f>
        <v>1529.2261652542375</v>
      </c>
      <c r="C18" s="5">
        <f>$B18*'Sheet2(F_12)'!$E18/100</f>
        <v>45.4084739919511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45.4084739919511</v>
      </c>
      <c r="G18" s="5">
        <f>+$F18*'Sheet2(F_12)'!$I18</f>
        <v>45.4084739919511</v>
      </c>
    </row>
    <row r="19" spans="1:7" ht="12.75">
      <c r="A19">
        <f aca="true" t="shared" si="0" ref="A19:A40">+A18+1</f>
        <v>2023</v>
      </c>
      <c r="B19" s="5">
        <f>(+Partcipation!$C18+(Partcipation!$C19-Partcipation!$C18)/2)*Title_RESULTS!$C$10/1000</f>
        <v>1835.0713983050848</v>
      </c>
      <c r="C19" s="5">
        <f>$B19*'Sheet2(F_12)'!$E19/100</f>
        <v>56.725562271084875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40">+C19-E19</f>
        <v>56.725562271084875</v>
      </c>
      <c r="G19" s="5">
        <f>+$F19*'Sheet2(F_12)'!$I19</f>
        <v>56.725562271084875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1835.0713983050848</v>
      </c>
      <c r="C20" s="5">
        <f>$B20*'Sheet2(F_12)'!$E20/100</f>
        <v>58.954663056940014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58.954663056940014</v>
      </c>
      <c r="G20" s="5">
        <f>+$F20*'Sheet2(F_12)'!$I20</f>
        <v>58.954663056940014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1835.0713983050848</v>
      </c>
      <c r="C21" s="5">
        <f>$B21*'Sheet2(F_12)'!$E21/100</f>
        <v>63.299558917387394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63.299558917387394</v>
      </c>
      <c r="G21" s="5">
        <f>+$F21*'Sheet2(F_12)'!$I21</f>
        <v>63.299558917387394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1835.0713983050848</v>
      </c>
      <c r="C22" s="5">
        <f>$B22*'Sheet2(F_12)'!$E22/100</f>
        <v>65.32986850555781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65.32986850555781</v>
      </c>
      <c r="G22" s="5">
        <f>+$F22*'Sheet2(F_12)'!$I22</f>
        <v>65.32986850555781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1835.0713983050848</v>
      </c>
      <c r="C23" s="5">
        <f>$B23*'Sheet2(F_12)'!$E23/100</f>
        <v>69.41269288375028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69.41269288375028</v>
      </c>
      <c r="G23" s="5">
        <f>+$F23*'Sheet2(F_12)'!$I23</f>
        <v>69.41269288375028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1835.0713983050848</v>
      </c>
      <c r="C24" s="5">
        <f>$B24*'Sheet2(F_12)'!$E24/100</f>
        <v>76.91729063657728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76.91729063657728</v>
      </c>
      <c r="G24" s="5">
        <f>+$F24*'Sheet2(F_12)'!$I24</f>
        <v>76.91729063657728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1835.0713983050848</v>
      </c>
      <c r="C25" s="5">
        <f>$B25*'Sheet2(F_12)'!$E25/100</f>
        <v>82.40643683393313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82.40643683393313</v>
      </c>
      <c r="G25" s="5">
        <f>+$F25*'Sheet2(F_12)'!$I25</f>
        <v>82.40643683393313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1835.0713983050848</v>
      </c>
      <c r="C26" s="5">
        <f>$B26*'Sheet2(F_12)'!$E26/100</f>
        <v>92.0434246098648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92.0434246098648</v>
      </c>
      <c r="G26" s="5">
        <f>+$F26*'Sheet2(F_12)'!$I26</f>
        <v>92.0434246098648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1835.0713983050848</v>
      </c>
      <c r="C27" s="5">
        <f>$B27*'Sheet2(F_12)'!$E27/100</f>
        <v>91.70112932849142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91.70112932849142</v>
      </c>
      <c r="G27" s="5">
        <f>+$F27*'Sheet2(F_12)'!$I27</f>
        <v>91.70112932849142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1835.0713983050848</v>
      </c>
      <c r="C28" s="5">
        <f>$B28*'Sheet2(F_12)'!$E28/100</f>
        <v>100.22085898108266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100.22085898108266</v>
      </c>
      <c r="G28" s="5">
        <f>+$F28*'Sheet2(F_12)'!$I28</f>
        <v>100.22085898108266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1835.0713983050848</v>
      </c>
      <c r="C29" s="5">
        <f>$B29*'Sheet2(F_12)'!$E29/100</f>
        <v>106.8764296190794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106.8764296190794</v>
      </c>
      <c r="G29" s="5">
        <f>+$F29*'Sheet2(F_12)'!$I29</f>
        <v>106.8764296190794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1835.0713983050848</v>
      </c>
      <c r="C30" s="5">
        <f>$B30*'Sheet2(F_12)'!$E30/100</f>
        <v>111.85283880260332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111.85283880260332</v>
      </c>
      <c r="G30" s="5">
        <f>+$F30*'Sheet2(F_12)'!$I30</f>
        <v>111.85283880260332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1835.0713983050848</v>
      </c>
      <c r="C31" s="5">
        <f>$B31*'Sheet2(F_12)'!$E31/100</f>
        <v>123.18880383090018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123.18880383090018</v>
      </c>
      <c r="G31" s="5">
        <f>+$F31*'Sheet2(F_12)'!$I31</f>
        <v>123.18880383090018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1835.0713983050848</v>
      </c>
      <c r="C32" s="5">
        <f>$B32*'Sheet2(F_12)'!$E32/100</f>
        <v>121.67389653708805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121.67389653708805</v>
      </c>
      <c r="G32" s="5">
        <f>+$F32*'Sheet2(F_12)'!$I32</f>
        <v>121.67389653708805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1835.0713983050848</v>
      </c>
      <c r="C33" s="5">
        <f>$B33*'Sheet2(F_12)'!$E33/100</f>
        <v>129.86432992214708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129.86432992214708</v>
      </c>
      <c r="G33" s="5">
        <f>+$F33*'Sheet2(F_12)'!$I33</f>
        <v>129.86432992214708</v>
      </c>
    </row>
    <row r="34" spans="1:7" ht="12.75">
      <c r="A34">
        <f t="shared" si="0"/>
        <v>2038</v>
      </c>
      <c r="B34" s="5">
        <f>(+Partcipation!$C33+(Partcipation!$C34-Partcipation!$C33)/2)*Title_RESULTS!$C$10/1000</f>
        <v>1835.0713983050848</v>
      </c>
      <c r="C34" s="5">
        <f>$B34*'Sheet2(F_12)'!$E34/100</f>
        <v>130.35619609146448</v>
      </c>
      <c r="D34" s="5">
        <f>(+Partcipation!$C33+(Partcipation!$C34-Partcipation!$C33)/2)*(+Title_RESULTS!$C$31/(1-Title_RESULTS!$C$11/100))/1000</f>
        <v>0</v>
      </c>
      <c r="E34" s="5">
        <f>+$D34*'Sheet2(F_12)'!$F34/100</f>
        <v>0</v>
      </c>
      <c r="F34" s="5">
        <f t="shared" si="1"/>
        <v>130.35619609146448</v>
      </c>
      <c r="G34" s="5">
        <f>+$F34*'Sheet2(F_12)'!$I34</f>
        <v>130.35619609146448</v>
      </c>
    </row>
    <row r="35" spans="1:7" ht="12.75">
      <c r="A35">
        <f t="shared" si="0"/>
        <v>2039</v>
      </c>
      <c r="B35" s="5">
        <f>(+Partcipation!$C34+(Partcipation!$C35-Partcipation!$C34)/2)*Title_RESULTS!$C$10/1000</f>
        <v>1835.0713983050848</v>
      </c>
      <c r="C35" s="5">
        <f>$B35*'Sheet2(F_12)'!$E35/100</f>
        <v>130.4911031668649</v>
      </c>
      <c r="D35" s="5">
        <f>(+Partcipation!$C34+(Partcipation!$C35-Partcipation!$C34)/2)*(+Title_RESULTS!$C$31/(1-Title_RESULTS!$C$11/100))/1000</f>
        <v>0</v>
      </c>
      <c r="E35" s="5">
        <f>+$D35*'Sheet2(F_12)'!$F35/100</f>
        <v>0</v>
      </c>
      <c r="F35" s="5">
        <f t="shared" si="1"/>
        <v>130.4911031668649</v>
      </c>
      <c r="G35" s="5">
        <f>+$F35*'Sheet2(F_12)'!$I35</f>
        <v>130.4911031668649</v>
      </c>
    </row>
    <row r="36" spans="1:7" ht="12.75">
      <c r="A36">
        <f t="shared" si="0"/>
        <v>2040</v>
      </c>
      <c r="B36" s="5">
        <f>(+Partcipation!$C35+(Partcipation!$C36-Partcipation!$C35)/2)*Title_RESULTS!$C$10/1000</f>
        <v>1835.0713983050848</v>
      </c>
      <c r="C36" s="5">
        <f>$B36*'Sheet2(F_12)'!$E36/100</f>
        <v>140.41450748276432</v>
      </c>
      <c r="D36" s="5">
        <f>(+Partcipation!$C35+(Partcipation!$C36-Partcipation!$C35)/2)*(+Title_RESULTS!$C$31/(1-Title_RESULTS!$C$11/100))/1000</f>
        <v>0</v>
      </c>
      <c r="E36" s="5">
        <f>+$D36*'Sheet2(F_12)'!$F36/100</f>
        <v>0</v>
      </c>
      <c r="F36" s="5">
        <f t="shared" si="1"/>
        <v>140.41450748276432</v>
      </c>
      <c r="G36" s="5">
        <f>+$F36*'Sheet2(F_12)'!$I36</f>
        <v>140.41450748276432</v>
      </c>
    </row>
    <row r="37" spans="1:7" ht="12.75">
      <c r="A37">
        <f t="shared" si="0"/>
        <v>2041</v>
      </c>
      <c r="B37" s="5">
        <f>(+Partcipation!$C36+(Partcipation!$C37-Partcipation!$C36)/2)*Title_RESULTS!$C$10/1000</f>
        <v>1835.0713983050848</v>
      </c>
      <c r="C37" s="5">
        <f>$B37*'Sheet2(F_12)'!$E37/100</f>
        <v>144.61591585790575</v>
      </c>
      <c r="D37" s="5">
        <f>(+Partcipation!$C36+(Partcipation!$C37-Partcipation!$C36)/2)*(+Title_RESULTS!$C$31/(1-Title_RESULTS!$C$11/100))/1000</f>
        <v>0</v>
      </c>
      <c r="E37" s="5">
        <f>+$D37*'Sheet2(F_12)'!$F37/100</f>
        <v>0</v>
      </c>
      <c r="F37" s="5">
        <f t="shared" si="1"/>
        <v>144.61591585790575</v>
      </c>
      <c r="G37" s="5">
        <f>+$F37*'Sheet2(F_12)'!$I37</f>
        <v>144.61591585790575</v>
      </c>
    </row>
    <row r="38" spans="1:7" ht="12.75">
      <c r="A38">
        <f t="shared" si="0"/>
        <v>2042</v>
      </c>
      <c r="B38" s="5">
        <f>(+Partcipation!$C37+(Partcipation!$C38-Partcipation!$C37)/2)*Title_RESULTS!$C$10/1000</f>
        <v>1835.0713983050848</v>
      </c>
      <c r="C38" s="5">
        <f>$B38*'Sheet2(F_12)'!$E38/100</f>
        <v>154.60965324471792</v>
      </c>
      <c r="D38" s="5">
        <f>(+Partcipation!$C37+(Partcipation!$C38-Partcipation!$C37)/2)*(+Title_RESULTS!$C$31/(1-Title_RESULTS!$C$11/100))/1000</f>
        <v>0</v>
      </c>
      <c r="E38" s="5">
        <f>+$D38*'Sheet2(F_12)'!$F38/100</f>
        <v>0</v>
      </c>
      <c r="F38" s="5">
        <f t="shared" si="1"/>
        <v>154.60965324471792</v>
      </c>
      <c r="G38" s="5">
        <f>+$F38*'Sheet2(F_12)'!$I38</f>
        <v>154.60965324471792</v>
      </c>
    </row>
    <row r="39" spans="1:7" ht="12.75">
      <c r="A39">
        <f t="shared" si="0"/>
        <v>2043</v>
      </c>
      <c r="B39" s="5">
        <f>(+Partcipation!$C38+(Partcipation!$C39-Partcipation!$C38)/2)*Title_RESULTS!$C$10/1000</f>
        <v>1835.0713983050848</v>
      </c>
      <c r="C39" s="5">
        <f>$B39*'Sheet2(F_12)'!$E39/100</f>
        <v>158.27979604132807</v>
      </c>
      <c r="D39" s="5">
        <f>(+Partcipation!$C38+(Partcipation!$C39-Partcipation!$C38)/2)*(+Title_RESULTS!$C$31/(1-Title_RESULTS!$C$11/100))/1000</f>
        <v>0</v>
      </c>
      <c r="E39" s="5">
        <f>+$D39*'Sheet2(F_12)'!$F39/100</f>
        <v>0</v>
      </c>
      <c r="F39" s="5">
        <f t="shared" si="1"/>
        <v>158.27979604132807</v>
      </c>
      <c r="G39" s="5">
        <f>+$F39*'Sheet2(F_12)'!$I39</f>
        <v>158.27979604132807</v>
      </c>
    </row>
    <row r="40" spans="1:7" ht="12.75">
      <c r="A40">
        <f t="shared" si="0"/>
        <v>2044</v>
      </c>
      <c r="B40" s="5">
        <f>(+Partcipation!$C39+(Partcipation!$C40-Partcipation!$C39)/2)*Title_RESULTS!$C$10/1000</f>
        <v>1835.0713983050848</v>
      </c>
      <c r="C40" s="5">
        <f>$B40*'Sheet2(F_12)'!$E40/100</f>
        <v>152.18787766979543</v>
      </c>
      <c r="D40" s="5">
        <f>(+Partcipation!$C39+(Partcipation!$C40-Partcipation!$C39)/2)*(+Title_RESULTS!$C$31/(1-Title_RESULTS!$C$11/100))/1000</f>
        <v>0</v>
      </c>
      <c r="E40" s="5">
        <f>+$D40*'Sheet2(F_12)'!$F40/100</f>
        <v>0</v>
      </c>
      <c r="F40" s="5">
        <f t="shared" si="1"/>
        <v>152.18787766979543</v>
      </c>
      <c r="G40" s="5">
        <f>+$F40*'Sheet2(F_12)'!$I40</f>
        <v>152.18787766979543</v>
      </c>
    </row>
    <row r="41" spans="2:7" ht="12.75">
      <c r="B41" s="5"/>
      <c r="C41" s="5"/>
      <c r="D41" s="5"/>
      <c r="E41" s="5"/>
      <c r="F41" s="5"/>
      <c r="G41" s="5"/>
    </row>
    <row r="42" spans="1:7" ht="12.75">
      <c r="A42" t="s">
        <v>87</v>
      </c>
      <c r="B42" s="5">
        <f aca="true" t="shared" si="2" ref="B42:G42">SUM(B16:B41)</f>
        <v>43124.17786016951</v>
      </c>
      <c r="C42" s="5">
        <f t="shared" si="2"/>
        <v>2442.101553836915</v>
      </c>
      <c r="D42" s="5">
        <f t="shared" si="2"/>
        <v>0</v>
      </c>
      <c r="E42" s="5">
        <f t="shared" si="2"/>
        <v>0</v>
      </c>
      <c r="F42" s="5">
        <f t="shared" si="2"/>
        <v>2442.101553836915</v>
      </c>
      <c r="G42" s="5">
        <f t="shared" si="2"/>
        <v>2442.101553836915</v>
      </c>
    </row>
    <row r="43" spans="2:7" ht="12.75">
      <c r="B43" s="5"/>
      <c r="C43" s="5"/>
      <c r="D43" s="5"/>
      <c r="E43" s="5"/>
      <c r="F43" s="5"/>
      <c r="G43" s="5"/>
    </row>
    <row r="44" spans="1:7" ht="12.75">
      <c r="A44" t="s">
        <v>118</v>
      </c>
      <c r="B44" s="5"/>
      <c r="C44" s="5">
        <f>NPV(+Title_RESULTS!$C$37,C17:C41)+C16</f>
        <v>970.9395461200066</v>
      </c>
      <c r="D44" s="5"/>
      <c r="E44" s="5">
        <f>NPV(+Title_RESULTS!$C$37,E17:E41)+E16</f>
        <v>0</v>
      </c>
      <c r="F44" s="5">
        <f>NPV(+Title_RESULTS!$C$37,F17:F41)+F16</f>
        <v>970.9395461200066</v>
      </c>
      <c r="G44" s="5">
        <f>NPV(+Title_RESULTS!$C$37,G17:G41)+G16</f>
        <v>970.9395461200066</v>
      </c>
    </row>
    <row r="45" spans="6:7" ht="12.75">
      <c r="F45" s="9"/>
      <c r="G45" s="9"/>
    </row>
    <row r="46" ht="12.75">
      <c r="A4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Windows</v>
      </c>
      <c r="J2" t="s">
        <v>42</v>
      </c>
    </row>
    <row r="3" spans="9:10" ht="12.75">
      <c r="I3" s="4"/>
      <c r="J3" s="35">
        <f>+Title_RESULTS!I4</f>
        <v>43599.32883784722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4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1:16" ht="15">
      <c r="A34">
        <f t="shared" si="0"/>
        <v>2038</v>
      </c>
      <c r="B34" s="28">
        <f>+Partcipation!B34</f>
        <v>3000</v>
      </c>
      <c r="C34" s="28">
        <f>+Partcipation!C34</f>
        <v>3000</v>
      </c>
      <c r="D34" s="10">
        <f>+Partcipation!D34</f>
        <v>5.71220131492689</v>
      </c>
      <c r="E34" s="10">
        <f>+Partcipation!E34</f>
        <v>7.103603500761035</v>
      </c>
      <c r="F34">
        <v>0</v>
      </c>
      <c r="G34" s="10">
        <f>+Partcipation!G34</f>
        <v>6.048558103175024</v>
      </c>
      <c r="H34">
        <v>1</v>
      </c>
      <c r="I34">
        <v>1</v>
      </c>
      <c r="J34">
        <v>0</v>
      </c>
      <c r="K34" s="10">
        <f>+Partcipation!L34</f>
        <v>0</v>
      </c>
      <c r="N34" s="64"/>
      <c r="P34" s="65"/>
    </row>
    <row r="35" spans="1:16" ht="15">
      <c r="A35">
        <f t="shared" si="0"/>
        <v>2039</v>
      </c>
      <c r="B35" s="28">
        <f>+Partcipation!B35</f>
        <v>3000</v>
      </c>
      <c r="C35" s="28">
        <f>+Partcipation!C35</f>
        <v>3000</v>
      </c>
      <c r="D35" s="10">
        <f>+Partcipation!D35</f>
        <v>5.9311440074959005</v>
      </c>
      <c r="E35" s="10">
        <f>+Partcipation!E35</f>
        <v>7.110955098934546</v>
      </c>
      <c r="F35">
        <v>0</v>
      </c>
      <c r="G35" s="10">
        <f>+Partcipation!G35</f>
        <v>6.299994849598368</v>
      </c>
      <c r="H35">
        <v>1</v>
      </c>
      <c r="I35">
        <v>1</v>
      </c>
      <c r="J35">
        <v>0</v>
      </c>
      <c r="K35" s="10">
        <f>+Partcipation!L35</f>
        <v>0</v>
      </c>
      <c r="N35" s="64"/>
      <c r="P35" s="65"/>
    </row>
    <row r="36" spans="1:16" ht="15">
      <c r="A36">
        <f t="shared" si="0"/>
        <v>2040</v>
      </c>
      <c r="B36" s="28">
        <f>+Partcipation!B36</f>
        <v>3000</v>
      </c>
      <c r="C36" s="28">
        <f>+Partcipation!C36</f>
        <v>3000</v>
      </c>
      <c r="D36" s="10">
        <f>+Partcipation!D36</f>
        <v>5.999355829046514</v>
      </c>
      <c r="E36" s="10">
        <f>+Partcipation!E36</f>
        <v>7.651719034608379</v>
      </c>
      <c r="F36">
        <v>0</v>
      </c>
      <c r="G36" s="10">
        <f>+Partcipation!G36</f>
        <v>6.292793819811034</v>
      </c>
      <c r="H36">
        <v>1</v>
      </c>
      <c r="I36">
        <v>1</v>
      </c>
      <c r="J36">
        <v>0</v>
      </c>
      <c r="K36" s="10">
        <f>+Partcipation!L36</f>
        <v>0</v>
      </c>
      <c r="N36" s="64"/>
      <c r="P36" s="65"/>
    </row>
    <row r="37" spans="1:16" ht="15">
      <c r="A37">
        <f t="shared" si="0"/>
        <v>2041</v>
      </c>
      <c r="B37" s="28">
        <f>+Partcipation!B37</f>
        <v>3000</v>
      </c>
      <c r="C37" s="28">
        <f>+Partcipation!C37</f>
        <v>3000</v>
      </c>
      <c r="D37" s="10">
        <f>+Partcipation!D37</f>
        <v>6.297281237877337</v>
      </c>
      <c r="E37" s="10">
        <f>+Partcipation!E37</f>
        <v>7.880669710806697</v>
      </c>
      <c r="F37">
        <v>0</v>
      </c>
      <c r="G37" s="10">
        <f>+Partcipation!G37</f>
        <v>6.691088220508289</v>
      </c>
      <c r="H37">
        <v>1</v>
      </c>
      <c r="I37">
        <v>1</v>
      </c>
      <c r="J37">
        <v>0</v>
      </c>
      <c r="K37" s="10">
        <f>+Partcipation!L37</f>
        <v>0</v>
      </c>
      <c r="N37" s="64"/>
      <c r="P37" s="65"/>
    </row>
    <row r="38" spans="1:16" ht="15">
      <c r="A38">
        <f t="shared" si="0"/>
        <v>2042</v>
      </c>
      <c r="B38" s="28">
        <f>+Partcipation!B38</f>
        <v>3000</v>
      </c>
      <c r="C38" s="28">
        <f>+Partcipation!C38</f>
        <v>3000</v>
      </c>
      <c r="D38" s="10">
        <f>+Partcipation!D38</f>
        <v>6.592646795694974</v>
      </c>
      <c r="E38" s="10">
        <f>+Partcipation!E38</f>
        <v>8.425266362252664</v>
      </c>
      <c r="F38">
        <v>0</v>
      </c>
      <c r="G38" s="10">
        <f>+Partcipation!G38</f>
        <v>7.04523428905663</v>
      </c>
      <c r="H38">
        <v>1</v>
      </c>
      <c r="I38">
        <v>1</v>
      </c>
      <c r="J38">
        <v>0</v>
      </c>
      <c r="K38" s="10">
        <f>+Partcipation!L38</f>
        <v>0</v>
      </c>
      <c r="N38" s="64"/>
      <c r="P38" s="65"/>
    </row>
    <row r="39" spans="1:16" ht="15">
      <c r="A39">
        <f t="shared" si="0"/>
        <v>2043</v>
      </c>
      <c r="B39" s="28">
        <f>+Partcipation!B39</f>
        <v>3000</v>
      </c>
      <c r="C39" s="28">
        <f>+Partcipation!C39</f>
        <v>3000</v>
      </c>
      <c r="D39" s="10">
        <f>+Partcipation!D39</f>
        <v>6.782797747058243</v>
      </c>
      <c r="E39" s="10">
        <f>+Partcipation!E39</f>
        <v>8.625266362252663</v>
      </c>
      <c r="F39">
        <v>0</v>
      </c>
      <c r="G39" s="10">
        <f>+Partcipation!G39</f>
        <v>7.341587518545546</v>
      </c>
      <c r="H39">
        <v>1</v>
      </c>
      <c r="I39">
        <v>1</v>
      </c>
      <c r="J39">
        <v>0</v>
      </c>
      <c r="K39" s="10">
        <f>+Partcipation!L39</f>
        <v>0</v>
      </c>
      <c r="N39" s="64"/>
      <c r="P39" s="65"/>
    </row>
    <row r="40" spans="1:16" ht="15">
      <c r="A40">
        <f t="shared" si="0"/>
        <v>2044</v>
      </c>
      <c r="B40" s="28">
        <f>+Partcipation!B40</f>
        <v>3000</v>
      </c>
      <c r="C40" s="28">
        <f>+Partcipation!C40</f>
        <v>3000</v>
      </c>
      <c r="D40" s="10">
        <f>+Partcipation!D40</f>
        <v>6.682976687154445</v>
      </c>
      <c r="E40" s="10">
        <f>+Partcipation!E40</f>
        <v>8.293294626593806</v>
      </c>
      <c r="F40">
        <v>0</v>
      </c>
      <c r="G40" s="10">
        <f>+Partcipation!G40</f>
        <v>7.266923507464163</v>
      </c>
      <c r="H40">
        <v>1</v>
      </c>
      <c r="I40">
        <v>1</v>
      </c>
      <c r="J40">
        <v>0</v>
      </c>
      <c r="K40" s="10">
        <f>+Partcipation!L40</f>
        <v>0</v>
      </c>
      <c r="N40" s="64"/>
      <c r="P40" s="65"/>
    </row>
    <row r="41" spans="2:14" ht="15">
      <c r="B41" s="28"/>
      <c r="C41" s="28"/>
      <c r="D41" s="10"/>
      <c r="E41" s="10"/>
      <c r="N41" s="64"/>
    </row>
    <row r="42" spans="2:14" ht="15">
      <c r="B42" s="28"/>
      <c r="C42" s="28"/>
      <c r="D42" s="10"/>
      <c r="E42" s="10"/>
      <c r="N42" s="64"/>
    </row>
    <row r="43" spans="2:14" ht="15">
      <c r="B43" s="28"/>
      <c r="C43" s="28"/>
      <c r="D43" s="10"/>
      <c r="E43" s="10"/>
      <c r="N43" s="64"/>
    </row>
    <row r="44" spans="2:14" ht="15">
      <c r="B44" s="28"/>
      <c r="C44" s="28"/>
      <c r="D44" s="10"/>
      <c r="E44" s="10"/>
      <c r="N44" s="64"/>
    </row>
    <row r="45" spans="2:14" ht="15">
      <c r="B45" s="28"/>
      <c r="C45" s="28"/>
      <c r="D45" s="10"/>
      <c r="E45" s="10"/>
      <c r="N45" s="64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  <row r="49" spans="2:5" ht="12.75">
      <c r="B49" s="28"/>
      <c r="C49" s="28"/>
      <c r="D49" s="10"/>
      <c r="E49" s="10"/>
    </row>
    <row r="50" spans="2:5" ht="12.75">
      <c r="B50" s="28"/>
      <c r="C50" s="28"/>
      <c r="D50" s="10"/>
      <c r="E50" s="10"/>
    </row>
    <row r="51" spans="2:5" ht="12.75">
      <c r="B51" s="28"/>
      <c r="C51" s="28"/>
      <c r="D51" s="10"/>
      <c r="E51" s="10"/>
    </row>
    <row r="52" spans="2:5" ht="12.75">
      <c r="B52" s="28"/>
      <c r="C52" s="28"/>
      <c r="D52" s="10"/>
      <c r="E52" s="10"/>
    </row>
    <row r="53" spans="2:5" ht="12.75">
      <c r="B53" s="28"/>
      <c r="C53" s="28"/>
      <c r="D53" s="10"/>
      <c r="E53" s="10"/>
    </row>
    <row r="54" spans="2:5" ht="12.75">
      <c r="B54" s="28"/>
      <c r="C54" s="28"/>
      <c r="D54" s="10"/>
      <c r="E54" s="10"/>
    </row>
    <row r="55" spans="2:5" ht="12.75">
      <c r="B55" s="28"/>
      <c r="C55" s="28"/>
      <c r="D55" s="10"/>
      <c r="E5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Windows</v>
      </c>
      <c r="H2" t="s">
        <v>108</v>
      </c>
    </row>
    <row r="3" ht="12.75">
      <c r="H3" s="35">
        <f>+Title_RESULTS!I4</f>
        <v>43599.32883784722</v>
      </c>
    </row>
    <row r="5" spans="3:6" ht="12.75">
      <c r="C5" t="s">
        <v>60</v>
      </c>
      <c r="F5" s="38">
        <f>+'Value of Defferal'!L4</f>
        <v>11.4717696</v>
      </c>
    </row>
    <row r="6" spans="3:6" ht="12.75">
      <c r="C6" t="s">
        <v>62</v>
      </c>
      <c r="F6" s="38">
        <f>+'Value of Defferal'!L5</f>
        <v>46.983320832000004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8.871682108299277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0.9133694243864735</v>
      </c>
      <c r="D17" s="5">
        <f>(+B17+C17)*+Partcipation!$H17</f>
        <v>0.9133694243864735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6.468263424000001</v>
      </c>
      <c r="G17" s="5">
        <f>(+E17+F17)*Partcipation!$H17</f>
        <v>6.468263424000001</v>
      </c>
      <c r="H17" s="5">
        <f>+'Sheet5(p_5)'!$F17*'Sheet2(F_12)'!$I17</f>
        <v>26.39856344533608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0.9352902905717486</v>
      </c>
      <c r="D18" s="5">
        <f>(+B18+C18)*+Partcipation!$H18</f>
        <v>0.9352902905717486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6.623501746176</v>
      </c>
      <c r="G18" s="5">
        <f>(+E18+F18)*Partcipation!$H18</f>
        <v>6.623501746176</v>
      </c>
      <c r="H18" s="5">
        <f>+'Sheet5(p_5)'!$F18*'Sheet2(F_12)'!$I18</f>
        <v>45.4084739919511</v>
      </c>
      <c r="I18" s="5"/>
      <c r="J18" s="5"/>
    </row>
    <row r="19" spans="1:10" ht="12.75">
      <c r="A19">
        <f aca="true" t="shared" si="0" ref="A19:A40">+A18+1</f>
        <v>2023</v>
      </c>
      <c r="B19" s="5">
        <f>VLOOKUP(A19,'Value of Defferal'!$I26:$P$58,'Value of Defferal'!$K$9)</f>
        <v>1.5784083765846537</v>
      </c>
      <c r="C19" s="5">
        <f>IF(+Title_RESULTS!$H$9&lt;='Sheet4(F_22)'!$A19,(+Title_RESULTS!$H$16*((1+Title_RESULTS!$H$18/100)^('Sheet4(F_22)'!$A19-Title_RESULTS!$H$7))*Title_RESULTS!$C$8*Partcipation!$C$26/1000),0)</f>
        <v>0.9577372575454707</v>
      </c>
      <c r="D19" s="5">
        <f>(+B19+C19)*+Partcipation!$H19</f>
        <v>2.5361456341301243</v>
      </c>
      <c r="E19" s="5">
        <f>VLOOKUP(A19,'Value of Defferal'!$I26:$P$58,'Value of Defferal'!$K$13)</f>
        <v>6.4644662285575425</v>
      </c>
      <c r="F19" s="5">
        <f>IF(+'Value of Defferal'!P26=0,0,Title_RESULTS!$H$17*Title_RESULTS!$C$7*Partcipation!$C$26*(1+Title_RESULTS!$H$18/100)^('Sheet4(F_22)'!A19-Title_RESULTS!$H$7))/1000</f>
        <v>6.782465788084225</v>
      </c>
      <c r="G19" s="5">
        <f>(+E19+F19)*Partcipation!$H19</f>
        <v>13.246932016641768</v>
      </c>
      <c r="H19" s="5">
        <f>+'Sheet5(p_5)'!$F19*'Sheet2(F_12)'!$I19</f>
        <v>56.725562271084875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1.5317981601337094</v>
      </c>
      <c r="C20" s="5">
        <f>IF(+Title_RESULTS!$H$9&lt;='Sheet4(F_22)'!$A20,(+Title_RESULTS!$H$16*((1+Title_RESULTS!$H$18/100)^('Sheet4(F_22)'!$A20-Title_RESULTS!$H$7))*Title_RESULTS!$C$8*Partcipation!$C$26/1000),0)</f>
        <v>0.9807229517265621</v>
      </c>
      <c r="D20" s="5">
        <f>(+B20+C20)*+Partcipation!$H20</f>
        <v>2.5125211118602717</v>
      </c>
      <c r="E20" s="5">
        <f>VLOOKUP(A20,'Value of Defferal'!$I27:$P$58,'Value of Defferal'!$K$13)</f>
        <v>6.273571289945484</v>
      </c>
      <c r="F20" s="5">
        <f>IF(+'Value of Defferal'!P27=0,0,Title_RESULTS!$H$17*Title_RESULTS!$C$7*Partcipation!$C$26*(1+Title_RESULTS!$H$18/100)^('Sheet4(F_22)'!A20-Title_RESULTS!$H$7))/1000</f>
        <v>6.945244966998247</v>
      </c>
      <c r="G20" s="5">
        <f>(+E20+F20)*Partcipation!$H20</f>
        <v>13.21881625694373</v>
      </c>
      <c r="H20" s="5">
        <f>+'Sheet5(p_5)'!$F20*'Sheet2(F_12)'!$I20</f>
        <v>58.954663056940014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1.4803408211043867</v>
      </c>
      <c r="C21" s="5">
        <f>IF(+Title_RESULTS!$H$9&lt;='Sheet4(F_22)'!$A21,(+Title_RESULTS!$H$16*((1+Title_RESULTS!$H$18/100)^('Sheet4(F_22)'!$A21-Title_RESULTS!$H$7))*Title_RESULTS!$C$8*Partcipation!$C$26/1000),0)</f>
        <v>1.0042603025679997</v>
      </c>
      <c r="D21" s="5">
        <f>(+B21+C21)*+Partcipation!$H21</f>
        <v>2.4846011236723866</v>
      </c>
      <c r="E21" s="5">
        <f>VLOOKUP(A21,'Value of Defferal'!$I28:$P$58,'Value of Defferal'!$K$13)</f>
        <v>6.062824669931805</v>
      </c>
      <c r="F21" s="5">
        <f>IF(+'Value of Defferal'!P28=0,0,Title_RESULTS!$H$17*Title_RESULTS!$C$7*Partcipation!$C$26*(1+Title_RESULTS!$H$18/100)^('Sheet4(F_22)'!A21-Title_RESULTS!$H$7))/1000</f>
        <v>7.111930846206205</v>
      </c>
      <c r="G21" s="5">
        <f>(+E21+F21)*Partcipation!$H21</f>
        <v>13.17475551613801</v>
      </c>
      <c r="H21" s="5">
        <f>+'Sheet5(p_5)'!$F21*'Sheet2(F_12)'!$I21</f>
        <v>63.299558917387394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1.431348004963507</v>
      </c>
      <c r="C22" s="5">
        <f>IF(+Title_RESULTS!$H$9&lt;='Sheet4(F_22)'!$A22,(+Title_RESULTS!$H$16*((1+Title_RESULTS!$H$18/100)^('Sheet4(F_22)'!$A22-Title_RESULTS!$H$7))*Title_RESULTS!$C$8*Partcipation!$C$26/1000),0)</f>
        <v>1.0283625498296314</v>
      </c>
      <c r="D22" s="5">
        <f>(+B22+C22)*+Partcipation!$H22</f>
        <v>2.4597105547931384</v>
      </c>
      <c r="E22" s="5">
        <f>VLOOKUP(A22,'Value of Defferal'!$I29:$P$58,'Value of Defferal'!$K$13)</f>
        <v>5.862171651306838</v>
      </c>
      <c r="F22" s="5">
        <f>IF(+'Value of Defferal'!P29=0,0,Title_RESULTS!$H$17*Title_RESULTS!$C$7*Partcipation!$C$26*(1+Title_RESULTS!$H$18/100)^('Sheet4(F_22)'!A22-Title_RESULTS!$H$7))/1000</f>
        <v>7.282617186515152</v>
      </c>
      <c r="G22" s="5">
        <f>(+E22+F22)*Partcipation!$H22</f>
        <v>13.14478883782199</v>
      </c>
      <c r="H22" s="5">
        <f>+'Sheet5(p_5)'!$F22*'Sheet2(F_12)'!$I22</f>
        <v>65.32986850555781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1.3845725767289054</v>
      </c>
      <c r="C23" s="5">
        <f>IF(+Title_RESULTS!$H$9&lt;='Sheet4(F_22)'!$A23,(+Title_RESULTS!$H$16*((1+Title_RESULTS!$H$18/100)^('Sheet4(F_22)'!$A23-Title_RESULTS!$H$7))*Title_RESULTS!$C$8*Partcipation!$C$26/1000),0)</f>
        <v>1.0530432510255427</v>
      </c>
      <c r="D23" s="5">
        <f>(+B23+C23)*+Partcipation!$H23</f>
        <v>2.437615827754448</v>
      </c>
      <c r="E23" s="5">
        <f>VLOOKUP(A23,'Value of Defferal'!$I30:$P$58,'Value of Defferal'!$K$13)</f>
        <v>5.670600077920246</v>
      </c>
      <c r="F23" s="5">
        <f>IF(+'Value of Defferal'!P30=0,0,Title_RESULTS!$H$17*Title_RESULTS!$C$7*Partcipation!$C$26*(1+Title_RESULTS!$H$18/100)^('Sheet4(F_22)'!A23-Title_RESULTS!$H$7))/1000</f>
        <v>7.457399998991518</v>
      </c>
      <c r="G23" s="5">
        <f>(+E23+F23)*Partcipation!$H23</f>
        <v>13.128000076911764</v>
      </c>
      <c r="H23" s="5">
        <f>+'Sheet5(p_5)'!$F23*'Sheet2(F_12)'!$I23</f>
        <v>69.41269288375028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1.3397947091512523</v>
      </c>
      <c r="C24" s="5">
        <f>IF(+Title_RESULTS!$H$9&lt;='Sheet4(F_22)'!$A24,(+Title_RESULTS!$H$16*((1+Title_RESULTS!$H$18/100)^('Sheet4(F_22)'!$A24-Title_RESULTS!$H$7))*Title_RESULTS!$C$8*Partcipation!$C$26/1000),0)</f>
        <v>1.0783162890501556</v>
      </c>
      <c r="D24" s="5">
        <f>(+B24+C24)*+Partcipation!$H24</f>
        <v>2.418110998201408</v>
      </c>
      <c r="E24" s="5">
        <f>VLOOKUP(A24,'Value of Defferal'!$I31:$P$58,'Value of Defferal'!$K$13)</f>
        <v>5.487209634080291</v>
      </c>
      <c r="F24" s="5">
        <f>IF(+'Value of Defferal'!P31=0,0,Title_RESULTS!$H$17*Title_RESULTS!$C$7*Partcipation!$C$26*(1+Title_RESULTS!$H$18/100)^('Sheet4(F_22)'!A24-Title_RESULTS!$H$7))/1000</f>
        <v>7.636377598967313</v>
      </c>
      <c r="G24" s="5">
        <f>(+E24+F24)*Partcipation!$H24</f>
        <v>13.123587233047605</v>
      </c>
      <c r="H24" s="5">
        <f>+'Sheet5(p_5)'!$F24*'Sheet2(F_12)'!$I24</f>
        <v>76.91729063657728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1.2964109013348737</v>
      </c>
      <c r="C25" s="5">
        <f>IF(+Title_RESULTS!$H$9&lt;='Sheet4(F_22)'!$A25,(+Title_RESULTS!$H$16*((1+Title_RESULTS!$H$18/100)^('Sheet4(F_22)'!$A25-Title_RESULTS!$H$7))*Title_RESULTS!$C$8*Partcipation!$C$26/1000),0)</f>
        <v>1.1041958799873595</v>
      </c>
      <c r="D25" s="5">
        <f>(+B25+C25)*+Partcipation!$H25</f>
        <v>2.4006067813222334</v>
      </c>
      <c r="E25" s="5">
        <f>VLOOKUP(A25,'Value of Defferal'!$I32:$P$58,'Value of Defferal'!$K$13)</f>
        <v>5.309528645651904</v>
      </c>
      <c r="F25" s="5">
        <f>IF(+'Value of Defferal'!P32=0,0,Title_RESULTS!$H$17*Title_RESULTS!$C$7*Partcipation!$C$26*(1+Title_RESULTS!$H$18/100)^('Sheet4(F_22)'!A25-Title_RESULTS!$H$7))/1000</f>
        <v>7.819650661342528</v>
      </c>
      <c r="G25" s="5">
        <f>(+E25+F25)*Partcipation!$H25</f>
        <v>13.12917930699443</v>
      </c>
      <c r="H25" s="5">
        <f>+'Sheet5(p_5)'!$F25*'Sheet2(F_12)'!$I25</f>
        <v>82.40643683393313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1.2534735749503632</v>
      </c>
      <c r="C26" s="5">
        <f>IF(+Title_RESULTS!$H$9&lt;='Sheet4(F_22)'!$A26,(+Title_RESULTS!$H$16*((1+Title_RESULTS!$H$18/100)^('Sheet4(F_22)'!$A26-Title_RESULTS!$H$7))*Title_RESULTS!$C$8*Partcipation!$C$26/1000),0)</f>
        <v>1.1306965811070562</v>
      </c>
      <c r="D26" s="5">
        <f>(+B26+C26)*+Partcipation!$H26</f>
        <v>2.3841701560574196</v>
      </c>
      <c r="E26" s="5">
        <f>VLOOKUP(A26,'Value of Defferal'!$I33:$P$58,'Value of Defferal'!$K$13)</f>
        <v>5.1336762487216365</v>
      </c>
      <c r="F26" s="5">
        <f>IF(+'Value of Defferal'!P33=0,0,Title_RESULTS!$H$17*Title_RESULTS!$C$7*Partcipation!$C$26*(1+Title_RESULTS!$H$18/100)^('Sheet4(F_22)'!A26-Title_RESULTS!$H$7))/1000</f>
        <v>8.007322277214747</v>
      </c>
      <c r="G26" s="5">
        <f>(+E26+F26)*Partcipation!$H26</f>
        <v>13.140998525936384</v>
      </c>
      <c r="H26" s="5">
        <f>+'Sheet5(p_5)'!$F26*'Sheet2(F_12)'!$I26</f>
        <v>92.0434246098648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1.2105362485658522</v>
      </c>
      <c r="C27" s="5">
        <f>IF(+Title_RESULTS!$H$9&lt;='Sheet4(F_22)'!$A27,(+Title_RESULTS!$H$16*((1+Title_RESULTS!$H$18/100)^('Sheet4(F_22)'!$A27-Title_RESULTS!$H$7))*Title_RESULTS!$C$8*Partcipation!$C$26/1000),0)</f>
        <v>1.1578332990536255</v>
      </c>
      <c r="D27" s="5">
        <f>(+B27+C27)*+Partcipation!$H27</f>
        <v>2.3683695476194777</v>
      </c>
      <c r="E27" s="5">
        <f>VLOOKUP(A27,'Value of Defferal'!$I34:$P$58,'Value of Defferal'!$K$13)</f>
        <v>4.957823851791369</v>
      </c>
      <c r="F27" s="5">
        <f>IF(+'Value of Defferal'!P34=0,0,Title_RESULTS!$H$17*Title_RESULTS!$C$7*Partcipation!$C$26*(1+Title_RESULTS!$H$18/100)^('Sheet4(F_22)'!A27-Title_RESULTS!$H$7))/1000</f>
        <v>8.199498011867902</v>
      </c>
      <c r="G27" s="5">
        <f>(+E27+F27)*Partcipation!$H27</f>
        <v>13.157321863659272</v>
      </c>
      <c r="H27" s="5">
        <f>+'Sheet5(p_5)'!$F27*'Sheet2(F_12)'!$I27</f>
        <v>91.70112932849142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1.1675989221813412</v>
      </c>
      <c r="C28" s="5">
        <f>IF(+Title_RESULTS!$H$9&lt;='Sheet4(F_22)'!$A28,(+Title_RESULTS!$H$16*((1+Title_RESULTS!$H$18/100)^('Sheet4(F_22)'!$A28-Title_RESULTS!$H$7))*Title_RESULTS!$C$8*Partcipation!$C$26/1000),0)</f>
        <v>1.1856212982309122</v>
      </c>
      <c r="D28" s="5">
        <f>(+B28+C28)*+Partcipation!$H28</f>
        <v>2.353220220412253</v>
      </c>
      <c r="E28" s="5">
        <f>VLOOKUP(A28,'Value of Defferal'!$I35:$P$58,'Value of Defferal'!$K$13)</f>
        <v>4.781971454861102</v>
      </c>
      <c r="F28" s="5">
        <f>IF(+'Value of Defferal'!P35=0,0,Title_RESULTS!$H$17*Title_RESULTS!$C$7*Partcipation!$C$26*(1+Title_RESULTS!$H$18/100)^('Sheet4(F_22)'!A28-Title_RESULTS!$H$7))/1000</f>
        <v>8.396285964152732</v>
      </c>
      <c r="G28" s="5">
        <f>(+E28+F28)*Partcipation!$H28</f>
        <v>13.178257419013834</v>
      </c>
      <c r="H28" s="5">
        <f>+'Sheet5(p_5)'!$F28*'Sheet2(F_12)'!$I28</f>
        <v>100.22085898108266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1.1246615957968307</v>
      </c>
      <c r="C29" s="5">
        <f>IF(+Title_RESULTS!$H$9&lt;='Sheet4(F_22)'!$A29,(+Title_RESULTS!$H$16*((1+Title_RESULTS!$H$18/100)^('Sheet4(F_22)'!$A29-Title_RESULTS!$H$7))*Title_RESULTS!$C$8*Partcipation!$C$26/1000),0)</f>
        <v>1.214076209388454</v>
      </c>
      <c r="D29" s="5">
        <f>(+B29+C29)*+Partcipation!$H29</f>
        <v>2.3387378051852847</v>
      </c>
      <c r="E29" s="5">
        <f>VLOOKUP(A29,'Value of Defferal'!$I36:$P$58,'Value of Defferal'!$K$13)</f>
        <v>4.606119057930836</v>
      </c>
      <c r="F29" s="5">
        <f>IF(+'Value of Defferal'!P36=0,0,Title_RESULTS!$H$17*Title_RESULTS!$C$7*Partcipation!$C$26*(1+Title_RESULTS!$H$18/100)^('Sheet4(F_22)'!A29-Title_RESULTS!$H$7))/1000</f>
        <v>8.597796827292397</v>
      </c>
      <c r="G29" s="5">
        <f>(+E29+F29)*Partcipation!$H29</f>
        <v>13.203915885223232</v>
      </c>
      <c r="H29" s="5">
        <f>+'Sheet5(p_5)'!$F29*'Sheet2(F_12)'!$I29</f>
        <v>106.8764296190794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1.0817242694123195</v>
      </c>
      <c r="C30" s="5">
        <f>IF(+Title_RESULTS!$H$9&lt;='Sheet4(F_22)'!$A30,(+Title_RESULTS!$H$16*((1+Title_RESULTS!$H$18/100)^('Sheet4(F_22)'!$A30-Title_RESULTS!$H$7))*Title_RESULTS!$C$8*Partcipation!$C$26/1000),0)</f>
        <v>1.243214038413777</v>
      </c>
      <c r="D30" s="5">
        <f>(+B30+C30)*+Partcipation!$H30</f>
        <v>2.3249383078260966</v>
      </c>
      <c r="E30" s="5">
        <f>VLOOKUP(A30,'Value of Defferal'!$I37:$P$58,'Value of Defferal'!$K$13)</f>
        <v>4.430266661000568</v>
      </c>
      <c r="F30" s="5">
        <f>IF(+'Value of Defferal'!P37=0,0,Title_RESULTS!$H$17*Title_RESULTS!$C$7*Partcipation!$C$26*(1+Title_RESULTS!$H$18/100)^('Sheet4(F_22)'!A30-Title_RESULTS!$H$7))/1000</f>
        <v>8.804143951147415</v>
      </c>
      <c r="G30" s="5">
        <f>(+E30+F30)*Partcipation!$H30</f>
        <v>13.234410612147983</v>
      </c>
      <c r="H30" s="5">
        <f>+'Sheet5(p_5)'!$F30*'Sheet2(F_12)'!$I30</f>
        <v>111.85283880260332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1.0387869430278085</v>
      </c>
      <c r="C31" s="5">
        <f>IF(+Title_RESULTS!$H$9&lt;='Sheet4(F_22)'!$A31,(+Title_RESULTS!$H$16*((1+Title_RESULTS!$H$18/100)^('Sheet4(F_22)'!$A31-Title_RESULTS!$H$7))*Title_RESULTS!$C$8*Partcipation!$C$26/1000),0)</f>
        <v>1.2730511753357079</v>
      </c>
      <c r="D31" s="5">
        <f>(+B31+C31)*+Partcipation!$H31</f>
        <v>2.311838118363516</v>
      </c>
      <c r="E31" s="5">
        <f>VLOOKUP(A31,'Value of Defferal'!$I38:$P$58,'Value of Defferal'!$K$13)</f>
        <v>4.2544142640702995</v>
      </c>
      <c r="F31" s="5">
        <f>IF(+'Value of Defferal'!P38=0,0,Title_RESULTS!$H$17*Title_RESULTS!$C$7*Partcipation!$C$26*(1+Title_RESULTS!$H$18/100)^('Sheet4(F_22)'!A31-Title_RESULTS!$H$7))/1000</f>
        <v>9.015443405974953</v>
      </c>
      <c r="G31" s="5">
        <f>(+E31+F31)*Partcipation!$H31</f>
        <v>13.269857670045251</v>
      </c>
      <c r="H31" s="5">
        <f>+'Sheet5(p_5)'!$F31*'Sheet2(F_12)'!$I31</f>
        <v>123.18880383090018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0.9958496166432975</v>
      </c>
      <c r="C32" s="5">
        <f>IF(+Title_RESULTS!$H$9&lt;='Sheet4(F_22)'!$A32,(+Title_RESULTS!$H$16*((1+Title_RESULTS!$H$18/100)^('Sheet4(F_22)'!$A32-Title_RESULTS!$H$7))*Title_RESULTS!$C$8*Partcipation!$C$26/1000),0)</f>
        <v>1.3036044035437648</v>
      </c>
      <c r="D32" s="5">
        <f>(+B32+C32)*+Partcipation!$H32</f>
        <v>2.2994540201870626</v>
      </c>
      <c r="E32" s="5">
        <f>VLOOKUP(A32,'Value of Defferal'!$I39:$P$58,'Value of Defferal'!$K$13)</f>
        <v>4.078561867140032</v>
      </c>
      <c r="F32" s="5">
        <f>IF(+'Value of Defferal'!P39=0,0,Title_RESULTS!$H$17*Title_RESULTS!$C$7*Partcipation!$C$26*(1+Title_RESULTS!$H$18/100)^('Sheet4(F_22)'!A32-Title_RESULTS!$H$7))/1000</f>
        <v>9.231814047718352</v>
      </c>
      <c r="G32" s="5">
        <f>(+E32+F32)*Partcipation!$H32</f>
        <v>13.310375914858383</v>
      </c>
      <c r="H32" s="5">
        <f>+'Sheet5(p_5)'!$F32*'Sheet2(F_12)'!$I32</f>
        <v>121.67389653708805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0.952912290258787</v>
      </c>
      <c r="C33" s="5">
        <f>IF(+Title_RESULTS!$H$9&lt;='Sheet4(F_22)'!$A33,(+Title_RESULTS!$H$16*((1+Title_RESULTS!$H$18/100)^('Sheet4(F_22)'!$A33-Title_RESULTS!$H$7))*Title_RESULTS!$C$8*Partcipation!$C$26/1000),0)</f>
        <v>1.3348909092288153</v>
      </c>
      <c r="D33" s="5">
        <f>(+B33+C33)*+Partcipation!$H33</f>
        <v>2.2878031994876022</v>
      </c>
      <c r="E33" s="5">
        <f>VLOOKUP(A33,'Value of Defferal'!$I40:$P$58,'Value of Defferal'!$K$13)</f>
        <v>3.9027094702097664</v>
      </c>
      <c r="F33" s="5">
        <f>IF(+'Value of Defferal'!P40=0,0,Title_RESULTS!$H$17*Title_RESULTS!$C$7*Partcipation!$C$26*(1+Title_RESULTS!$H$18/100)^('Sheet4(F_22)'!A33-Title_RESULTS!$H$7))/1000</f>
        <v>9.453377584863592</v>
      </c>
      <c r="G33" s="5">
        <f>(+E33+F33)*Partcipation!$H33</f>
        <v>13.356087055073358</v>
      </c>
      <c r="H33" s="5">
        <f>+'Sheet5(p_5)'!$F33*'Sheet2(F_12)'!$I33</f>
        <v>129.86432992214708</v>
      </c>
      <c r="I33" s="5"/>
      <c r="J33" s="5"/>
    </row>
    <row r="34" spans="1:10" ht="12.75">
      <c r="A34">
        <f t="shared" si="0"/>
        <v>2038</v>
      </c>
      <c r="B34" s="5">
        <f>VLOOKUP(A34,'Value of Defferal'!$I41:$P$58,'Value of Defferal'!$K$9)</f>
        <v>0.9140069506275018</v>
      </c>
      <c r="C34" s="5">
        <f>IF(+Title_RESULTS!$H$9&lt;='Sheet4(F_22)'!$A34,(+Title_RESULTS!$H$16*((1+Title_RESULTS!$H$18/100)^('Sheet4(F_22)'!$A34-Title_RESULTS!$H$7))*Title_RESULTS!$C$8*Partcipation!$C$26/1000),0)</f>
        <v>1.3669282910503064</v>
      </c>
      <c r="D34" s="5">
        <f>(+B34+C34)*+Partcipation!$H34</f>
        <v>2.2809352416778084</v>
      </c>
      <c r="E34" s="5">
        <f>VLOOKUP(A34,'Value of Defferal'!$I41:$P$58,'Value of Defferal'!$K$13)</f>
        <v>3.7433703169918884</v>
      </c>
      <c r="F34" s="5">
        <f>IF(+'Value of Defferal'!P41=0,0,Title_RESULTS!$H$17*Title_RESULTS!$C$7*Partcipation!$C$26*(1+Title_RESULTS!$H$18/100)^('Sheet4(F_22)'!A34-Title_RESULTS!$H$7))/1000</f>
        <v>9.680258646900317</v>
      </c>
      <c r="G34" s="5">
        <f>(+E34+F34)*Partcipation!$H34</f>
        <v>13.423628963892206</v>
      </c>
      <c r="H34" s="5">
        <f>+'Sheet5(p_5)'!$F34*'Sheet2(F_12)'!$I34</f>
        <v>130.35619609146448</v>
      </c>
      <c r="I34" s="5"/>
      <c r="J34" s="5"/>
    </row>
    <row r="35" spans="1:10" ht="12.75">
      <c r="A35">
        <f t="shared" si="0"/>
        <v>2039</v>
      </c>
      <c r="B35" s="5">
        <f>VLOOKUP(A35,'Value of Defferal'!$I42:$P$58,'Value of Defferal'!$K$9)</f>
        <v>0.8831642191160268</v>
      </c>
      <c r="C35" s="5">
        <f>IF(+Title_RESULTS!$H$9&lt;='Sheet4(F_22)'!$A35,(+Title_RESULTS!$H$16*((1+Title_RESULTS!$H$18/100)^('Sheet4(F_22)'!$A35-Title_RESULTS!$H$7))*Title_RESULTS!$C$8*Partcipation!$C$26/1000),0)</f>
        <v>1.399734570035514</v>
      </c>
      <c r="D35" s="5">
        <f>(+B35+C35)*+Partcipation!$H35</f>
        <v>2.282898789151541</v>
      </c>
      <c r="E35" s="5">
        <f>VLOOKUP(A35,'Value of Defferal'!$I42:$P$58,'Value of Defferal'!$K$13)</f>
        <v>3.617052059175861</v>
      </c>
      <c r="F35" s="5">
        <f>IF(+'Value of Defferal'!P42=0,0,Title_RESULTS!$H$17*Title_RESULTS!$C$7*Partcipation!$C$26*(1+Title_RESULTS!$H$18/100)^('Sheet4(F_22)'!A35-Title_RESULTS!$H$7))/1000</f>
        <v>9.912584854425926</v>
      </c>
      <c r="G35" s="5">
        <f>(+E35+F35)*Partcipation!$H35</f>
        <v>13.529636913601788</v>
      </c>
      <c r="H35" s="5">
        <f>+'Sheet5(p_5)'!$F35*'Sheet2(F_12)'!$I35</f>
        <v>130.4911031668649</v>
      </c>
      <c r="I35" s="5"/>
      <c r="J35" s="5"/>
    </row>
    <row r="36" spans="1:10" ht="12.75">
      <c r="A36">
        <f t="shared" si="0"/>
        <v>2040</v>
      </c>
      <c r="B36" s="5">
        <f>VLOOKUP(A36,'Value of Defferal'!$I43:$P$58,'Value of Defferal'!$K$9)</f>
        <v>0.856352108971136</v>
      </c>
      <c r="C36" s="5">
        <f>IF(+Title_RESULTS!$H$9&lt;='Sheet4(F_22)'!$A36,(+Title_RESULTS!$H$16*((1+Title_RESULTS!$H$18/100)^('Sheet4(F_22)'!$A36-Title_RESULTS!$H$7))*Title_RESULTS!$C$8*Partcipation!$C$26/1000),0)</f>
        <v>1.4333281997163663</v>
      </c>
      <c r="D36" s="5">
        <f>(+B36+C36)*+Partcipation!$H36</f>
        <v>2.2896803086875024</v>
      </c>
      <c r="E36" s="5">
        <f>VLOOKUP(A36,'Value of Defferal'!$I43:$P$58,'Value of Defferal'!$K$13)</f>
        <v>3.5072414530492937</v>
      </c>
      <c r="F36" s="5">
        <f>IF(+'Value of Defferal'!P43=0,0,Title_RESULTS!$H$17*Title_RESULTS!$C$7*Partcipation!$C$26*(1+Title_RESULTS!$H$18/100)^('Sheet4(F_22)'!A36-Title_RESULTS!$H$7))/1000</f>
        <v>10.150486890932148</v>
      </c>
      <c r="G36" s="5">
        <f>(+E36+F36)*Partcipation!$H36</f>
        <v>13.657728343981443</v>
      </c>
      <c r="H36" s="5">
        <f>+'Sheet5(p_5)'!$F36*'Sheet2(F_12)'!$I36</f>
        <v>140.41450748276432</v>
      </c>
      <c r="I36" s="5"/>
      <c r="J36" s="5"/>
    </row>
    <row r="37" spans="1:10" ht="12.75">
      <c r="A37">
        <f t="shared" si="0"/>
        <v>2041</v>
      </c>
      <c r="B37" s="5">
        <f>VLOOKUP(A37,'Value of Defferal'!$I44:$P$58,'Value of Defferal'!$K$9)</f>
        <v>0.8295399988262454</v>
      </c>
      <c r="C37" s="5">
        <f>IF(+Title_RESULTS!$H$9&lt;='Sheet4(F_22)'!$A37,(+Title_RESULTS!$H$16*((1+Title_RESULTS!$H$18/100)^('Sheet4(F_22)'!$A37-Title_RESULTS!$H$7))*Title_RESULTS!$C$8*Partcipation!$C$26/1000),0)</f>
        <v>1.4677280765095593</v>
      </c>
      <c r="D37" s="5">
        <f>(+B37+C37)*+Partcipation!$H37</f>
        <v>2.2972680753358046</v>
      </c>
      <c r="E37" s="5">
        <f>VLOOKUP(A37,'Value of Defferal'!$I44:$P$58,'Value of Defferal'!$K$13)</f>
        <v>3.397430846922727</v>
      </c>
      <c r="F37" s="5">
        <f>IF(+'Value of Defferal'!P44=0,0,Title_RESULTS!$H$17*Title_RESULTS!$C$7*Partcipation!$C$26*(1+Title_RESULTS!$H$18/100)^('Sheet4(F_22)'!A37-Title_RESULTS!$H$7))/1000</f>
        <v>10.39409857631452</v>
      </c>
      <c r="G37" s="5">
        <f>(+E37+F37)*Partcipation!$H37</f>
        <v>13.791529423237247</v>
      </c>
      <c r="H37" s="5">
        <f>+'Sheet5(p_5)'!$F37*'Sheet2(F_12)'!$I37</f>
        <v>144.61591585790575</v>
      </c>
      <c r="I37" s="5"/>
      <c r="J37" s="5"/>
    </row>
    <row r="38" spans="1:10" ht="12.75">
      <c r="A38">
        <f t="shared" si="0"/>
        <v>2042</v>
      </c>
      <c r="B38" s="5">
        <f>VLOOKUP(A38,'Value of Defferal'!$I45:$P$58,'Value of Defferal'!$K$9)</f>
        <v>0.8027278886813543</v>
      </c>
      <c r="C38" s="5">
        <f>IF(+Title_RESULTS!$H$9&lt;='Sheet4(F_22)'!$A38,(+Title_RESULTS!$H$16*((1+Title_RESULTS!$H$18/100)^('Sheet4(F_22)'!$A38-Title_RESULTS!$H$7))*Title_RESULTS!$C$8*Partcipation!$C$26/1000),0)</f>
        <v>1.5029535503457885</v>
      </c>
      <c r="D38" s="5">
        <f>(+B38+C38)*+Partcipation!$H38</f>
        <v>2.3056814390271425</v>
      </c>
      <c r="E38" s="5">
        <f>VLOOKUP(A38,'Value of Defferal'!$I45:$P$58,'Value of Defferal'!$K$13)</f>
        <v>3.2876202407961586</v>
      </c>
      <c r="F38" s="5">
        <f>IF(+'Value of Defferal'!P45=0,0,Title_RESULTS!$H$17*Title_RESULTS!$C$7*Partcipation!$C$26*(1+Title_RESULTS!$H$18/100)^('Sheet4(F_22)'!A38-Title_RESULTS!$H$7))/1000</f>
        <v>10.643556942146066</v>
      </c>
      <c r="G38" s="5">
        <f>(+E38+F38)*Partcipation!$H38</f>
        <v>13.931177182942225</v>
      </c>
      <c r="H38" s="5">
        <f>+'Sheet5(p_5)'!$F38*'Sheet2(F_12)'!$I38</f>
        <v>154.60965324471792</v>
      </c>
      <c r="I38" s="5"/>
      <c r="J38" s="5"/>
    </row>
    <row r="39" spans="1:10" ht="12.75">
      <c r="A39">
        <f t="shared" si="0"/>
        <v>2043</v>
      </c>
      <c r="B39" s="5">
        <f>VLOOKUP(A39,'Value of Defferal'!$I46:$P$58,'Value of Defferal'!$K$9)</f>
        <v>0.7759157785364634</v>
      </c>
      <c r="C39" s="5">
        <f>IF(+Title_RESULTS!$H$9&lt;='Sheet4(F_22)'!$A39,(+Title_RESULTS!$H$16*((1+Title_RESULTS!$H$18/100)^('Sheet4(F_22)'!$A39-Title_RESULTS!$H$7))*Title_RESULTS!$C$8*Partcipation!$C$26/1000),0)</f>
        <v>1.5390244355540876</v>
      </c>
      <c r="D39" s="5">
        <f>(+B39+C39)*+Partcipation!$H39</f>
        <v>2.314940214090551</v>
      </c>
      <c r="E39" s="5">
        <f>VLOOKUP(A39,'Value of Defferal'!$I46:$P$58,'Value of Defferal'!$K$13)</f>
        <v>3.1778096346695914</v>
      </c>
      <c r="F39" s="5">
        <f>IF(+'Value of Defferal'!P46=0,0,Title_RESULTS!$H$17*Title_RESULTS!$C$7*Partcipation!$C$26*(1+Title_RESULTS!$H$18/100)^('Sheet4(F_22)'!A39-Title_RESULTS!$H$7))/1000</f>
        <v>10.899002308757575</v>
      </c>
      <c r="G39" s="5">
        <f>(+E39+F39)*Partcipation!$H39</f>
        <v>14.076811943427167</v>
      </c>
      <c r="H39" s="5">
        <f>+'Sheet5(p_5)'!$F39*'Sheet2(F_12)'!$I39</f>
        <v>158.27979604132807</v>
      </c>
      <c r="I39" s="5"/>
      <c r="J39" s="5"/>
    </row>
    <row r="40" spans="1:10" ht="12.75">
      <c r="A40">
        <f t="shared" si="0"/>
        <v>2044</v>
      </c>
      <c r="B40" s="5">
        <f>VLOOKUP(A40,'Value of Defferal'!$I47:$P$58,'Value of Defferal'!$K$9)</f>
        <v>0.7491036683915727</v>
      </c>
      <c r="C40" s="5">
        <f>IF(+Title_RESULTS!$H$9&lt;='Sheet4(F_22)'!$A40,(+Title_RESULTS!$H$16*((1+Title_RESULTS!$H$18/100)^('Sheet4(F_22)'!$A40-Title_RESULTS!$H$7))*Title_RESULTS!$C$8*Partcipation!$C$26/1000),0)</f>
        <v>1.575961022007385</v>
      </c>
      <c r="D40" s="5">
        <f>(+B40+C40)*+Partcipation!$H40</f>
        <v>2.325064690398958</v>
      </c>
      <c r="E40" s="5">
        <f>VLOOKUP(A40,'Value of Defferal'!$I47:$P$58,'Value of Defferal'!$K$13)</f>
        <v>3.0679990285430248</v>
      </c>
      <c r="F40" s="5">
        <f>IF(+'Value of Defferal'!P47=0,0,Title_RESULTS!$H$17*Title_RESULTS!$C$7*Partcipation!$C$26*(1+Title_RESULTS!$H$18/100)^('Sheet4(F_22)'!A40-Title_RESULTS!$H$7))/1000</f>
        <v>11.160578364167753</v>
      </c>
      <c r="G40" s="5">
        <f>(+E40+F40)*Partcipation!$H40</f>
        <v>14.228577392710777</v>
      </c>
      <c r="H40" s="5">
        <f>+'Sheet5(p_5)'!$F40*'Sheet2(F_12)'!$I40</f>
        <v>152.18787766979543</v>
      </c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t="s">
        <v>88</v>
      </c>
      <c r="B42" s="5">
        <f aca="true" t="shared" si="1" ref="B42:H42">SUM(B16:B41)</f>
        <v>24.679027623988187</v>
      </c>
      <c r="C42" s="5">
        <f t="shared" si="1"/>
        <v>29.183944256212065</v>
      </c>
      <c r="D42" s="5">
        <f t="shared" si="1"/>
        <v>53.862971880200256</v>
      </c>
      <c r="E42" s="5">
        <f t="shared" si="1"/>
        <v>101.07443865326827</v>
      </c>
      <c r="F42" s="5">
        <f t="shared" si="1"/>
        <v>206.67370087115756</v>
      </c>
      <c r="G42" s="5">
        <f t="shared" si="1"/>
        <v>307.7481395244259</v>
      </c>
      <c r="H42" s="5">
        <f t="shared" si="1"/>
        <v>2442.101553836915</v>
      </c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t="s">
        <v>90</v>
      </c>
      <c r="B44" s="5">
        <f>NPV(Title_RESULTS!$C$37,'Sheet4(F_22)'!B17:B41)+'Sheet4(F_22)'!B16</f>
        <v>11.789466383206786</v>
      </c>
      <c r="C44" s="5">
        <f>NPV(Title_RESULTS!$C$37,'Sheet4(F_22)'!C17:C41)+'Sheet4(F_22)'!C16</f>
        <v>12.839171651815322</v>
      </c>
      <c r="D44" s="5">
        <f>NPV(Title_RESULTS!$C$37,'Sheet4(F_22)'!D17:D41)+'Sheet4(F_22)'!D16</f>
        <v>24.628638035022096</v>
      </c>
      <c r="E44" s="5">
        <f>NPV(Title_RESULTS!$C$37,'Sheet4(F_22)'!E17:E41)+'Sheet4(F_22)'!E16</f>
        <v>48.28446707300355</v>
      </c>
      <c r="F44" s="5">
        <f>NPV(Title_RESULTS!$C$37,'Sheet4(F_22)'!F17:F41)+'Sheet4(F_22)'!F16</f>
        <v>90.92393742617227</v>
      </c>
      <c r="G44" s="5">
        <f>NPV(Title_RESULTS!$C$37,'Sheet4(F_22)'!G17:G41)+'Sheet4(F_22)'!G16</f>
        <v>139.20840449917586</v>
      </c>
      <c r="H44" s="5">
        <f>NPV(Title_RESULTS!$C$37,'Sheet4(F_22)'!H17:H41)+'Sheet4(F_22)'!H16</f>
        <v>970.9395461200066</v>
      </c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ht="12.75">
      <c r="A4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Windows</v>
      </c>
      <c r="P2" t="s">
        <v>121</v>
      </c>
    </row>
    <row r="3" ht="12.75">
      <c r="P3" s="35">
        <f>+Title_RESULTS!I4</f>
        <v>43599.32883784722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55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55</v>
      </c>
      <c r="E16" s="5">
        <f>IF(+'Sheet9(F_25)'!$A16&gt;=Title_RESULTS!$H$8,0,((Partcipation!$B16-Partcipation!$B15)*(Title_RESULTS!$C$39*((1+Title_RESULTS!$C$41/100)^('Sheet9(F_25)'!$A16-Title_RESULTS!$H$7)))/1000))</f>
        <v>263.67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263.67</v>
      </c>
      <c r="H16" s="5">
        <f>IF(Partcipation!$B17&lt;Partcipation!$B16,0,IF(Partcipation!$B16=0,0,(Partcipation!$B16-Partcipation!$B15)*(+Title_RESULTS!$C$29*(1+Title_RESULTS!$C$30/100)^(+'Sheet8(F_24)'!$A16-Title_RESULTS!$H$7))/1000))</f>
        <v>360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360</v>
      </c>
      <c r="K16" s="5">
        <f>(+Partcipation!$B15+(Partcipation!$B16-Partcipation!$B15)/2)*(+Title_RESULTS!$C$14)/1000</f>
        <v>288.7179</v>
      </c>
      <c r="L16" s="5">
        <f>($K16)*Partcipation!$E73*Title_RESULTS!$C$12/100</f>
        <v>7.02916220313351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17.1391606977</v>
      </c>
      <c r="N16" s="5">
        <f>'Sheet2(F_12)'!$I16*('Sheet6(p_6)'!$L16+'Sheet6(p_6)'!$M16)</f>
        <v>24.16832290083351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56.32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56.32</v>
      </c>
      <c r="E17" s="5">
        <f>IF(+'Sheet9(F_25)'!$A17&gt;=Title_RESULTS!$H$8,0,((Partcipation!$B17-Partcipation!$B16)*(Title_RESULTS!$C$39*((1+Title_RESULTS!$C$41/100)^('Sheet9(F_25)'!$A17-Title_RESULTS!$H$7)))/1000))</f>
        <v>263.67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263.67</v>
      </c>
      <c r="H17" s="5">
        <f>IF(Partcipation!$B18&lt;Partcipation!$B17,0,IF(Partcipation!$B17=0,0,(Partcipation!$B17-Partcipation!$B16)*(+Title_RESULTS!$C$29*(1+Title_RESULTS!$C$30/100)^(+'Sheet8(F_24)'!$A17-Title_RESULTS!$H$7))/1000))</f>
        <v>368.28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368.28</v>
      </c>
      <c r="K17" s="5">
        <f>(+Partcipation!$B16+(Partcipation!$B17-Partcipation!$B16)/2)*(+Title_RESULTS!$C$14)/1000</f>
        <v>866.1537</v>
      </c>
      <c r="L17" s="5">
        <f>($K17)*Partcipation!$E74*Title_RESULTS!$C$12/100</f>
        <v>22.091113561721034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51.931656914031</v>
      </c>
      <c r="N17" s="5">
        <f>'Sheet2(F_12)'!$I17*('Sheet6(p_6)'!$L17+'Sheet6(p_6)'!$M17)</f>
        <v>74.02277047575204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57.671679999999995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57.671679999999995</v>
      </c>
      <c r="E18" s="5">
        <f>IF(+'Sheet9(F_25)'!$A18&gt;=Title_RESULTS!$H$8,0,((Partcipation!$B18-Partcipation!$B17)*(Title_RESULTS!$C$39*((1+Title_RESULTS!$C$41/100)^('Sheet9(F_25)'!$A18-Title_RESULTS!$H$7)))/1000))</f>
        <v>263.67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263.67</v>
      </c>
      <c r="H18" s="5">
        <f>IF(Partcipation!$B19&lt;Partcipation!$B18,0,IF(Partcipation!$B18=0,0,(Partcipation!$B18-Partcipation!$B17)*(+Title_RESULTS!$C$29*(1+Title_RESULTS!$C$30/100)^(+'Sheet8(F_24)'!$A18-Title_RESULTS!$H$7))/1000))</f>
        <v>376.7504399999999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376.7504399999999</v>
      </c>
      <c r="K18" s="5">
        <f>(+Partcipation!$B17+(Partcipation!$B18-Partcipation!$B17)/2)*(+Title_RESULTS!$C$14)/1000</f>
        <v>1443.5895</v>
      </c>
      <c r="L18" s="5">
        <f>($K18)*Partcipation!$E75*Title_RESULTS!$C$12/100</f>
        <v>38.1747471714699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87.41828913861886</v>
      </c>
      <c r="N18" s="5">
        <f>'Sheet2(F_12)'!$I18*('Sheet6(p_6)'!$L18+'Sheet6(p_6)'!$M18)</f>
        <v>125.59303631008876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4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4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4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40">SUM(H19:I19)</f>
        <v>0</v>
      </c>
      <c r="K19" s="5">
        <f>(+Partcipation!$B18+(Partcipation!$B19-Partcipation!$B18)/2)*(+Title_RESULTS!$C$14)/1000</f>
        <v>1732.3074</v>
      </c>
      <c r="L19" s="5">
        <f>($K19)*Partcipation!$E76*Title_RESULTS!$C$12/100</f>
        <v>45.4341767266293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105.95096643600603</v>
      </c>
      <c r="N19" s="5">
        <f>'Sheet2(F_12)'!$I19*('Sheet6(p_6)'!$L19+'Sheet6(p_6)'!$M19)</f>
        <v>151.38514316263533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1732.3074</v>
      </c>
      <c r="L20" s="5">
        <f>($K20)*Partcipation!$E77*Title_RESULTS!$C$12/100</f>
        <v>48.011191124410715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107.0104761003661</v>
      </c>
      <c r="N20" s="5">
        <f>'Sheet2(F_12)'!$I20*('Sheet6(p_6)'!$L20+'Sheet6(p_6)'!$M20)</f>
        <v>155.02166722477682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1732.3074</v>
      </c>
      <c r="L21" s="5">
        <f>($K21)*Partcipation!$E78*Title_RESULTS!$C$12/100</f>
        <v>50.766969973018206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108.08058086136975</v>
      </c>
      <c r="N21" s="5">
        <f>'Sheet2(F_12)'!$I21*('Sheet6(p_6)'!$L21+'Sheet6(p_6)'!$M21)</f>
        <v>158.84755083438796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1732.3074</v>
      </c>
      <c r="L22" s="5">
        <f>($K22)*Partcipation!$E79*Title_RESULTS!$C$12/100</f>
        <v>53.06235620413636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109.16138666998347</v>
      </c>
      <c r="N22" s="5">
        <f>'Sheet2(F_12)'!$I22*('Sheet6(p_6)'!$L22+'Sheet6(p_6)'!$M22)</f>
        <v>162.22374287411984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1732.3074</v>
      </c>
      <c r="L23" s="5">
        <f>($K23)*Partcipation!$E80*Title_RESULTS!$C$12/100</f>
        <v>56.18671909789322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110.25300053668327</v>
      </c>
      <c r="N23" s="5">
        <f>'Sheet2(F_12)'!$I23*('Sheet6(p_6)'!$L23+'Sheet6(p_6)'!$M23)</f>
        <v>166.43971963457648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1732.3074</v>
      </c>
      <c r="L24" s="5">
        <f>($K24)*Partcipation!$E81*Title_RESULTS!$C$12/100</f>
        <v>61.50732672447864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111.35553054205015</v>
      </c>
      <c r="N24" s="5">
        <f>'Sheet2(F_12)'!$I24*('Sheet6(p_6)'!$L24+'Sheet6(p_6)'!$M24)</f>
        <v>172.86285726652878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1732.3074</v>
      </c>
      <c r="L25" s="5">
        <f>($K25)*Partcipation!$E82*Title_RESULTS!$C$12/100</f>
        <v>64.64098652272997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112.46908584747065</v>
      </c>
      <c r="N25" s="5">
        <f>'Sheet2(F_12)'!$I25*('Sheet6(p_6)'!$L25+'Sheet6(p_6)'!$M25)</f>
        <v>177.1100723702006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1732.3074</v>
      </c>
      <c r="L26" s="5">
        <f>($K26)*Partcipation!$E83*Title_RESULTS!$C$12/100</f>
        <v>70.42971532172209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113.59377670594536</v>
      </c>
      <c r="N26" s="5">
        <f>'Sheet2(F_12)'!$I26*('Sheet6(p_6)'!$L26+'Sheet6(p_6)'!$M26)</f>
        <v>184.02349202766743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1732.3074</v>
      </c>
      <c r="L27" s="5">
        <f>($K27)*Partcipation!$E84*Title_RESULTS!$C$12/100</f>
        <v>72.85757425048979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114.72971447300479</v>
      </c>
      <c r="N27" s="5">
        <f>'Sheet2(F_12)'!$I27*('Sheet6(p_6)'!$L27+'Sheet6(p_6)'!$M27)</f>
        <v>187.58728872349457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1732.3074</v>
      </c>
      <c r="L28" s="5">
        <f>($K28)*Partcipation!$E85*Title_RESULTS!$C$12/100</f>
        <v>78.05603851653613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115.87701161773485</v>
      </c>
      <c r="N28" s="5">
        <f>'Sheet2(F_12)'!$I28*('Sheet6(p_6)'!$L28+'Sheet6(p_6)'!$M28)</f>
        <v>193.93305013427099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1732.3074</v>
      </c>
      <c r="L29" s="5">
        <f>($K29)*Partcipation!$E86*Title_RESULTS!$C$12/100</f>
        <v>79.6932938829732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117.0357817339122</v>
      </c>
      <c r="N29" s="5">
        <f>'Sheet2(F_12)'!$I29*('Sheet6(p_6)'!$L29+'Sheet6(p_6)'!$M29)</f>
        <v>196.72907561688538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1732.3074</v>
      </c>
      <c r="L30" s="5">
        <f>($K30)*Partcipation!$E87*Title_RESULTS!$C$12/100</f>
        <v>84.95661876698567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118.20613955125134</v>
      </c>
      <c r="N30" s="5">
        <f>'Sheet2(F_12)'!$I30*('Sheet6(p_6)'!$L30+'Sheet6(p_6)'!$M30)</f>
        <v>203.16275831823702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1732.3074</v>
      </c>
      <c r="L31" s="5">
        <f>($K31)*Partcipation!$E88*Title_RESULTS!$C$12/100</f>
        <v>88.57126640233588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119.38820094676382</v>
      </c>
      <c r="N31" s="5">
        <f>'Sheet2(F_12)'!$I31*('Sheet6(p_6)'!$L31+'Sheet6(p_6)'!$M31)</f>
        <v>207.9594673490997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1732.3074</v>
      </c>
      <c r="L32" s="5">
        <f>($K32)*Partcipation!$E89*Title_RESULTS!$C$12/100</f>
        <v>91.54853973317822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120.58208295623149</v>
      </c>
      <c r="N32" s="5">
        <f>'Sheet2(F_12)'!$I32*('Sheet6(p_6)'!$L32+'Sheet6(p_6)'!$M32)</f>
        <v>212.1306226894097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1732.3074</v>
      </c>
      <c r="L33" s="5">
        <f>($K33)*Partcipation!$E90*Title_RESULTS!$C$12/100</f>
        <v>96.67621392635816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121.78790378579382</v>
      </c>
      <c r="N33" s="5">
        <f>'Sheet2(F_12)'!$I33*('Sheet6(p_6)'!$L33+'Sheet6(p_6)'!$M33)</f>
        <v>218.46411771215196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1:18" ht="12.75">
      <c r="A34">
        <f t="shared" si="0"/>
        <v>2038</v>
      </c>
      <c r="B34" s="5">
        <f>IF(+'Sheet9(F_25)'!$A34&gt;=Title_RESULTS!$H$8,0,((Partcipation!$B34-Partcipation!$B33)*(Title_RESULTS!$C$26*((1+Title_RESULTS!$C$28/100)^('Sheet9(F_25)'!$A34-Title_RESULTS!$H$7)))/1000))</f>
        <v>0</v>
      </c>
      <c r="C34" s="5">
        <f>(Partcipation!$C33+(Partcipation!$C34-Partcipation!$C33)/2)*(Title_RESULTS!$C$27*((1+Title_RESULTS!$C$28/100)^('Sheet9(F_25)'!$A34-Title_RESULTS!$H$7)))/1000</f>
        <v>0</v>
      </c>
      <c r="D34" s="5">
        <f t="shared" si="1"/>
        <v>0</v>
      </c>
      <c r="E34" s="5">
        <f>IF(+'Sheet9(F_25)'!$A34&gt;=Title_RESULTS!$H$8,0,((Partcipation!$B34-Partcipation!$B33)*(Title_RESULTS!$C$39*((1+Title_RESULTS!$C$41/100)^('Sheet9(F_25)'!$A34-Title_RESULTS!$H$7)))/1000))</f>
        <v>0</v>
      </c>
      <c r="F34" s="5">
        <f>(Partcipation!$C33+(Partcipation!$C34-Partcipation!$C33)/2)*(Title_RESULTS!$C$40*((1+Title_RESULTS!$C$41/100)^('Sheet9(F_25)'!$A34-Title_RESULTS!$H$7)))/1000</f>
        <v>0</v>
      </c>
      <c r="G34" s="5">
        <f t="shared" si="2"/>
        <v>0</v>
      </c>
      <c r="H34" s="5">
        <f>IF(Partcipation!$B35&lt;Partcipation!$B34,0,IF(Partcipation!$B34=0,0,(Partcipation!$B34-Partcipation!$B33)*(+Title_RESULTS!$C$29*(1+Title_RESULTS!$C$30/100)^(+'Sheet8(F_24)'!$A34-Title_RESULTS!$H$7))/1000))</f>
        <v>0</v>
      </c>
      <c r="I34" s="5">
        <f>IF(+Title_RESULTS!$C$31&lt;0,0,(+Partcipation!$B33+(Partcipation!$B34-Partcipation!$B33)/2)*(+Title_RESULTS!$C$31*(1+Title_RESULTS!$C$32/100)^(+'Sheet6(p_6)'!$A34-Title_RESULTS!$H$7))/1000)</f>
        <v>0</v>
      </c>
      <c r="J34" s="5">
        <f t="shared" si="3"/>
        <v>0</v>
      </c>
      <c r="K34" s="5">
        <f>(+Partcipation!$B33+(Partcipation!$B34-Partcipation!$B33)/2)*(+Title_RESULTS!$C$14)/1000</f>
        <v>1732.3074</v>
      </c>
      <c r="L34" s="5">
        <f>($K34)*Partcipation!$E91*Title_RESULTS!$C$12/100</f>
        <v>98.95288608137582</v>
      </c>
      <c r="M34" s="5">
        <f>((+$K34*(Title_RESULTS!$H$30/100)*((1+Title_RESULTS!$H$31/100)^('Sheet9(F_25)'!$A34-Title_RESULTS!$H$7)))+((Title_RESULTS!$H$32*Title_RESULTS!$H$35*12*Title_RESULTS!$C$7/1000)*(Partcipation!$B33+(Partcipation!$B34-Partcipation!$B33)/2))*((1+Title_RESULTS!$H$33/100)^('Sheet9(F_25)'!$A34-Title_RESULTS!$H$7)))</f>
        <v>123.00578282365176</v>
      </c>
      <c r="N34" s="5">
        <f>'Sheet2(F_12)'!$I34*('Sheet6(p_6)'!$L34+'Sheet6(p_6)'!$M34)</f>
        <v>221.9586689050276</v>
      </c>
      <c r="O34" s="5">
        <f>(Partcipation!$B33+(Partcipation!$B34-Partcipation!$B33)/2)*(Title_RESULTS!$C$13)/1000</f>
        <v>0</v>
      </c>
      <c r="P34" s="5">
        <f>($O34)*'Sheet2(F_12)'!$D34*Title_RESULTS!$C$12/100</f>
        <v>0</v>
      </c>
      <c r="Q34" s="5">
        <f>+$O34*((Title_RESULTS!$H$30/100)*((1+Title_RESULTS!$H$31/100)^('Sheet9(F_25)'!$A34-Title_RESULTS!$H$7)))</f>
        <v>0</v>
      </c>
      <c r="R34" s="5">
        <f>+Partcipation!$I34*('Sheet6(p_6)'!$P34-'Sheet6(p_6)'!$Q34)</f>
        <v>0</v>
      </c>
    </row>
    <row r="35" spans="1:18" ht="12.75">
      <c r="A35">
        <f t="shared" si="0"/>
        <v>2039</v>
      </c>
      <c r="B35" s="5">
        <f>IF(+'Sheet9(F_25)'!$A35&gt;=Title_RESULTS!$H$8,0,((Partcipation!$B35-Partcipation!$B34)*(Title_RESULTS!$C$26*((1+Title_RESULTS!$C$28/100)^('Sheet9(F_25)'!$A35-Title_RESULTS!$H$7)))/1000))</f>
        <v>0</v>
      </c>
      <c r="C35" s="5">
        <f>(Partcipation!$C34+(Partcipation!$C35-Partcipation!$C34)/2)*(Title_RESULTS!$C$27*((1+Title_RESULTS!$C$28/100)^('Sheet9(F_25)'!$A35-Title_RESULTS!$H$7)))/1000</f>
        <v>0</v>
      </c>
      <c r="D35" s="5">
        <f t="shared" si="1"/>
        <v>0</v>
      </c>
      <c r="E35" s="5">
        <f>IF(+'Sheet9(F_25)'!$A35&gt;=Title_RESULTS!$H$8,0,((Partcipation!$B35-Partcipation!$B34)*(Title_RESULTS!$C$39*((1+Title_RESULTS!$C$41/100)^('Sheet9(F_25)'!$A35-Title_RESULTS!$H$7)))/1000))</f>
        <v>0</v>
      </c>
      <c r="F35" s="5">
        <f>(Partcipation!$C34+(Partcipation!$C35-Partcipation!$C34)/2)*(Title_RESULTS!$C$40*((1+Title_RESULTS!$C$41/100)^('Sheet9(F_25)'!$A35-Title_RESULTS!$H$7)))/1000</f>
        <v>0</v>
      </c>
      <c r="G35" s="5">
        <f t="shared" si="2"/>
        <v>0</v>
      </c>
      <c r="H35" s="5">
        <f>IF(Partcipation!$B36&lt;Partcipation!$B35,0,IF(Partcipation!$B35=0,0,(Partcipation!$B35-Partcipation!$B34)*(+Title_RESULTS!$C$29*(1+Title_RESULTS!$C$30/100)^(+'Sheet8(F_24)'!$A35-Title_RESULTS!$H$7))/1000))</f>
        <v>0</v>
      </c>
      <c r="I35" s="5">
        <f>IF(+Title_RESULTS!$C$31&lt;0,0,(+Partcipation!$B34+(Partcipation!$B35-Partcipation!$B34)/2)*(+Title_RESULTS!$C$31*(1+Title_RESULTS!$C$32/100)^(+'Sheet6(p_6)'!$A35-Title_RESULTS!$H$7))/1000)</f>
        <v>0</v>
      </c>
      <c r="J35" s="5">
        <f t="shared" si="3"/>
        <v>0</v>
      </c>
      <c r="K35" s="5">
        <f>(+Partcipation!$B34+(Partcipation!$B35-Partcipation!$B34)/2)*(+Title_RESULTS!$C$14)/1000</f>
        <v>1732.3074</v>
      </c>
      <c r="L35" s="5">
        <f>($K35)*Partcipation!$E92*Title_RESULTS!$C$12/100</f>
        <v>102.74564654650803</v>
      </c>
      <c r="M35" s="5">
        <f>((+$K35*(Title_RESULTS!$H$30/100)*((1+Title_RESULTS!$H$31/100)^('Sheet9(F_25)'!$A35-Title_RESULTS!$H$7)))+((Title_RESULTS!$H$32*Title_RESULTS!$H$35*12*Title_RESULTS!$C$7/1000)*(Partcipation!$B34+(Partcipation!$B35-Partcipation!$B34)/2))*((1+Title_RESULTS!$H$33/100)^('Sheet9(F_25)'!$A35-Title_RESULTS!$H$7)))</f>
        <v>124.23584065188824</v>
      </c>
      <c r="N35" s="5">
        <f>'Sheet2(F_12)'!$I35*('Sheet6(p_6)'!$L35+'Sheet6(p_6)'!$M35)</f>
        <v>226.98148719839628</v>
      </c>
      <c r="O35" s="5">
        <f>(Partcipation!$B34+(Partcipation!$B35-Partcipation!$B34)/2)*(Title_RESULTS!$C$13)/1000</f>
        <v>0</v>
      </c>
      <c r="P35" s="5">
        <f>($O35)*'Sheet2(F_12)'!$D35*Title_RESULTS!$C$12/100</f>
        <v>0</v>
      </c>
      <c r="Q35" s="5">
        <f>+$O35*((Title_RESULTS!$H$30/100)*((1+Title_RESULTS!$H$31/100)^('Sheet9(F_25)'!$A35-Title_RESULTS!$H$7)))</f>
        <v>0</v>
      </c>
      <c r="R35" s="5">
        <f>+Partcipation!$I35*('Sheet6(p_6)'!$P35-'Sheet6(p_6)'!$Q35)</f>
        <v>0</v>
      </c>
    </row>
    <row r="36" spans="1:18" ht="12.75">
      <c r="A36">
        <f t="shared" si="0"/>
        <v>2040</v>
      </c>
      <c r="B36" s="5">
        <f>IF(+'Sheet9(F_25)'!$A36&gt;=Title_RESULTS!$H$8,0,((Partcipation!$B36-Partcipation!$B35)*(Title_RESULTS!$C$26*((1+Title_RESULTS!$C$28/100)^('Sheet9(F_25)'!$A36-Title_RESULTS!$H$7)))/1000))</f>
        <v>0</v>
      </c>
      <c r="C36" s="5">
        <f>(Partcipation!$C35+(Partcipation!$C36-Partcipation!$C35)/2)*(Title_RESULTS!$C$27*((1+Title_RESULTS!$C$28/100)^('Sheet9(F_25)'!$A36-Title_RESULTS!$H$7)))/1000</f>
        <v>0</v>
      </c>
      <c r="D36" s="5">
        <f t="shared" si="1"/>
        <v>0</v>
      </c>
      <c r="E36" s="5">
        <f>IF(+'Sheet9(F_25)'!$A36&gt;=Title_RESULTS!$H$8,0,((Partcipation!$B36-Partcipation!$B35)*(Title_RESULTS!$C$39*((1+Title_RESULTS!$C$41/100)^('Sheet9(F_25)'!$A36-Title_RESULTS!$H$7)))/1000))</f>
        <v>0</v>
      </c>
      <c r="F36" s="5">
        <f>(Partcipation!$C35+(Partcipation!$C36-Partcipation!$C35)/2)*(Title_RESULTS!$C$40*((1+Title_RESULTS!$C$41/100)^('Sheet9(F_25)'!$A36-Title_RESULTS!$H$7)))/1000</f>
        <v>0</v>
      </c>
      <c r="G36" s="5">
        <f t="shared" si="2"/>
        <v>0</v>
      </c>
      <c r="H36" s="5">
        <f>IF(Partcipation!$B37&lt;Partcipation!$B36,0,IF(Partcipation!$B36=0,0,(Partcipation!$B36-Partcipation!$B35)*(+Title_RESULTS!$C$29*(1+Title_RESULTS!$C$30/100)^(+'Sheet8(F_24)'!$A36-Title_RESULTS!$H$7))/1000))</f>
        <v>0</v>
      </c>
      <c r="I36" s="5">
        <f>IF(+Title_RESULTS!$C$31&lt;0,0,(+Partcipation!$B35+(Partcipation!$B36-Partcipation!$B35)/2)*(+Title_RESULTS!$C$31*(1+Title_RESULTS!$C$32/100)^(+'Sheet6(p_6)'!$A36-Title_RESULTS!$H$7))/1000)</f>
        <v>0</v>
      </c>
      <c r="J36" s="5">
        <f t="shared" si="3"/>
        <v>0</v>
      </c>
      <c r="K36" s="5">
        <f>(+Partcipation!$B35+(Partcipation!$B36-Partcipation!$B35)/2)*(+Title_RESULTS!$C$14)/1000</f>
        <v>1732.3074</v>
      </c>
      <c r="L36" s="5">
        <f>($K36)*Partcipation!$E93*Title_RESULTS!$C$12/100</f>
        <v>103.9272849789041</v>
      </c>
      <c r="M36" s="5">
        <f>((+$K36*(Title_RESULTS!$H$30/100)*((1+Title_RESULTS!$H$31/100)^('Sheet9(F_25)'!$A36-Title_RESULTS!$H$7)))+((Title_RESULTS!$H$32*Title_RESULTS!$H$35*12*Title_RESULTS!$C$7/1000)*(Partcipation!$B35+(Partcipation!$B36-Partcipation!$B35)/2))*((1+Title_RESULTS!$H$33/100)^('Sheet9(F_25)'!$A36-Title_RESULTS!$H$7)))</f>
        <v>125.47819905840713</v>
      </c>
      <c r="N36" s="5">
        <f>'Sheet2(F_12)'!$I36*('Sheet6(p_6)'!$L36+'Sheet6(p_6)'!$M36)</f>
        <v>229.40548403731123</v>
      </c>
      <c r="O36" s="5">
        <f>(Partcipation!$B35+(Partcipation!$B36-Partcipation!$B35)/2)*(Title_RESULTS!$C$13)/1000</f>
        <v>0</v>
      </c>
      <c r="P36" s="5">
        <f>($O36)*'Sheet2(F_12)'!$D36*Title_RESULTS!$C$12/100</f>
        <v>0</v>
      </c>
      <c r="Q36" s="5">
        <f>+$O36*((Title_RESULTS!$H$30/100)*((1+Title_RESULTS!$H$31/100)^('Sheet9(F_25)'!$A36-Title_RESULTS!$H$7)))</f>
        <v>0</v>
      </c>
      <c r="R36" s="5">
        <f>+Partcipation!$I36*('Sheet6(p_6)'!$P36-'Sheet6(p_6)'!$Q36)</f>
        <v>0</v>
      </c>
    </row>
    <row r="37" spans="1:18" ht="12.75">
      <c r="A37">
        <f t="shared" si="0"/>
        <v>2041</v>
      </c>
      <c r="B37" s="5">
        <f>IF(+'Sheet9(F_25)'!$A37&gt;=Title_RESULTS!$H$8,0,((Partcipation!$B37-Partcipation!$B36)*(Title_RESULTS!$C$26*((1+Title_RESULTS!$C$28/100)^('Sheet9(F_25)'!$A37-Title_RESULTS!$H$7)))/1000))</f>
        <v>0</v>
      </c>
      <c r="C37" s="5">
        <f>(Partcipation!$C36+(Partcipation!$C37-Partcipation!$C36)/2)*(Title_RESULTS!$C$27*((1+Title_RESULTS!$C$28/100)^('Sheet9(F_25)'!$A37-Title_RESULTS!$H$7)))/1000</f>
        <v>0</v>
      </c>
      <c r="D37" s="5">
        <f t="shared" si="1"/>
        <v>0</v>
      </c>
      <c r="E37" s="5">
        <f>IF(+'Sheet9(F_25)'!$A37&gt;=Title_RESULTS!$H$8,0,((Partcipation!$B37-Partcipation!$B36)*(Title_RESULTS!$C$39*((1+Title_RESULTS!$C$41/100)^('Sheet9(F_25)'!$A37-Title_RESULTS!$H$7)))/1000))</f>
        <v>0</v>
      </c>
      <c r="F37" s="5">
        <f>(Partcipation!$C36+(Partcipation!$C37-Partcipation!$C36)/2)*(Title_RESULTS!$C$40*((1+Title_RESULTS!$C$41/100)^('Sheet9(F_25)'!$A37-Title_RESULTS!$H$7)))/1000</f>
        <v>0</v>
      </c>
      <c r="G37" s="5">
        <f t="shared" si="2"/>
        <v>0</v>
      </c>
      <c r="H37" s="5">
        <f>IF(Partcipation!$B38&lt;Partcipation!$B37,0,IF(Partcipation!$B37=0,0,(Partcipation!$B37-Partcipation!$B36)*(+Title_RESULTS!$C$29*(1+Title_RESULTS!$C$30/100)^(+'Sheet8(F_24)'!$A37-Title_RESULTS!$H$7))/1000))</f>
        <v>0</v>
      </c>
      <c r="I37" s="5">
        <f>IF(+Title_RESULTS!$C$31&lt;0,0,(+Partcipation!$B36+(Partcipation!$B37-Partcipation!$B36)/2)*(+Title_RESULTS!$C$31*(1+Title_RESULTS!$C$32/100)^(+'Sheet6(p_6)'!$A37-Title_RESULTS!$H$7))/1000)</f>
        <v>0</v>
      </c>
      <c r="J37" s="5">
        <f t="shared" si="3"/>
        <v>0</v>
      </c>
      <c r="K37" s="5">
        <f>(+Partcipation!$B36+(Partcipation!$B37-Partcipation!$B36)/2)*(+Title_RESULTS!$C$14)/1000</f>
        <v>1732.3074</v>
      </c>
      <c r="L37" s="5">
        <f>($K37)*Partcipation!$E94*Title_RESULTS!$C$12/100</f>
        <v>109.08826888256071</v>
      </c>
      <c r="M37" s="5">
        <f>((+$K37*(Title_RESULTS!$H$30/100)*((1+Title_RESULTS!$H$31/100)^('Sheet9(F_25)'!$A37-Title_RESULTS!$H$7)))+((Title_RESULTS!$H$32*Title_RESULTS!$H$35*12*Title_RESULTS!$C$7/1000)*(Partcipation!$B36+(Partcipation!$B37-Partcipation!$B36)/2))*((1+Title_RESULTS!$H$33/100)^('Sheet9(F_25)'!$A37-Title_RESULTS!$H$7)))</f>
        <v>126.73298104899119</v>
      </c>
      <c r="N37" s="5">
        <f>'Sheet2(F_12)'!$I37*('Sheet6(p_6)'!$L37+'Sheet6(p_6)'!$M37)</f>
        <v>235.8212499315519</v>
      </c>
      <c r="O37" s="5">
        <f>(Partcipation!$B36+(Partcipation!$B37-Partcipation!$B36)/2)*(Title_RESULTS!$C$13)/1000</f>
        <v>0</v>
      </c>
      <c r="P37" s="5">
        <f>($O37)*'Sheet2(F_12)'!$D37*Title_RESULTS!$C$12/100</f>
        <v>0</v>
      </c>
      <c r="Q37" s="5">
        <f>+$O37*((Title_RESULTS!$H$30/100)*((1+Title_RESULTS!$H$31/100)^('Sheet9(F_25)'!$A37-Title_RESULTS!$H$7)))</f>
        <v>0</v>
      </c>
      <c r="R37" s="5">
        <f>+Partcipation!$I37*('Sheet6(p_6)'!$P37-'Sheet6(p_6)'!$Q37)</f>
        <v>0</v>
      </c>
    </row>
    <row r="38" spans="1:18" ht="12.75">
      <c r="A38">
        <f t="shared" si="0"/>
        <v>2042</v>
      </c>
      <c r="B38" s="5">
        <f>IF(+'Sheet9(F_25)'!$A38&gt;=Title_RESULTS!$H$8,0,((Partcipation!$B38-Partcipation!$B37)*(Title_RESULTS!$C$26*((1+Title_RESULTS!$C$28/100)^('Sheet9(F_25)'!$A38-Title_RESULTS!$H$7)))/1000))</f>
        <v>0</v>
      </c>
      <c r="C38" s="5">
        <f>(Partcipation!$C37+(Partcipation!$C38-Partcipation!$C37)/2)*(Title_RESULTS!$C$27*((1+Title_RESULTS!$C$28/100)^('Sheet9(F_25)'!$A38-Title_RESULTS!$H$7)))/1000</f>
        <v>0</v>
      </c>
      <c r="D38" s="5">
        <f t="shared" si="1"/>
        <v>0</v>
      </c>
      <c r="E38" s="5">
        <f>IF(+'Sheet9(F_25)'!$A38&gt;=Title_RESULTS!$H$8,0,((Partcipation!$B38-Partcipation!$B37)*(Title_RESULTS!$C$39*((1+Title_RESULTS!$C$41/100)^('Sheet9(F_25)'!$A38-Title_RESULTS!$H$7)))/1000))</f>
        <v>0</v>
      </c>
      <c r="F38" s="5">
        <f>(Partcipation!$C37+(Partcipation!$C38-Partcipation!$C37)/2)*(Title_RESULTS!$C$40*((1+Title_RESULTS!$C$41/100)^('Sheet9(F_25)'!$A38-Title_RESULTS!$H$7)))/1000</f>
        <v>0</v>
      </c>
      <c r="G38" s="5">
        <f t="shared" si="2"/>
        <v>0</v>
      </c>
      <c r="H38" s="5">
        <f>IF(Partcipation!$B39&lt;Partcipation!$B38,0,IF(Partcipation!$B38=0,0,(Partcipation!$B38-Partcipation!$B37)*(+Title_RESULTS!$C$29*(1+Title_RESULTS!$C$30/100)^(+'Sheet8(F_24)'!$A38-Title_RESULTS!$H$7))/1000))</f>
        <v>0</v>
      </c>
      <c r="I38" s="5">
        <f>IF(+Title_RESULTS!$C$31&lt;0,0,(+Partcipation!$B37+(Partcipation!$B38-Partcipation!$B37)/2)*(+Title_RESULTS!$C$31*(1+Title_RESULTS!$C$32/100)^(+'Sheet6(p_6)'!$A38-Title_RESULTS!$H$7))/1000)</f>
        <v>0</v>
      </c>
      <c r="J38" s="5">
        <f t="shared" si="3"/>
        <v>0</v>
      </c>
      <c r="K38" s="5">
        <f>(+Partcipation!$B37+(Partcipation!$B38-Partcipation!$B37)/2)*(+Title_RESULTS!$C$14)/1000</f>
        <v>1732.3074</v>
      </c>
      <c r="L38" s="5">
        <f>($K38)*Partcipation!$E95*Title_RESULTS!$C$12/100</f>
        <v>114.20490829768691</v>
      </c>
      <c r="M38" s="5">
        <f>((+$K38*(Title_RESULTS!$H$30/100)*((1+Title_RESULTS!$H$31/100)^('Sheet9(F_25)'!$A38-Title_RESULTS!$H$7)))+((Title_RESULTS!$H$32*Title_RESULTS!$H$35*12*Title_RESULTS!$C$7/1000)*(Partcipation!$B37+(Partcipation!$B38-Partcipation!$B37)/2))*((1+Title_RESULTS!$H$33/100)^('Sheet9(F_25)'!$A38-Title_RESULTS!$H$7)))</f>
        <v>128.00031085948115</v>
      </c>
      <c r="N38" s="5">
        <f>'Sheet2(F_12)'!$I38*('Sheet6(p_6)'!$L38+'Sheet6(p_6)'!$M38)</f>
        <v>242.20521915716807</v>
      </c>
      <c r="O38" s="5">
        <f>(Partcipation!$B37+(Partcipation!$B38-Partcipation!$B37)/2)*(Title_RESULTS!$C$13)/1000</f>
        <v>0</v>
      </c>
      <c r="P38" s="5">
        <f>($O38)*'Sheet2(F_12)'!$D38*Title_RESULTS!$C$12/100</f>
        <v>0</v>
      </c>
      <c r="Q38" s="5">
        <f>+$O38*((Title_RESULTS!$H$30/100)*((1+Title_RESULTS!$H$31/100)^('Sheet9(F_25)'!$A38-Title_RESULTS!$H$7)))</f>
        <v>0</v>
      </c>
      <c r="R38" s="5">
        <f>+Partcipation!$I38*('Sheet6(p_6)'!$P38-'Sheet6(p_6)'!$Q38)</f>
        <v>0</v>
      </c>
    </row>
    <row r="39" spans="1:18" ht="12.75">
      <c r="A39">
        <f t="shared" si="0"/>
        <v>2043</v>
      </c>
      <c r="B39" s="5">
        <f>IF(+'Sheet9(F_25)'!$A39&gt;=Title_RESULTS!$H$8,0,((Partcipation!$B39-Partcipation!$B38)*(Title_RESULTS!$C$26*((1+Title_RESULTS!$C$28/100)^('Sheet9(F_25)'!$A39-Title_RESULTS!$H$7)))/1000))</f>
        <v>0</v>
      </c>
      <c r="C39" s="5">
        <f>(Partcipation!$C38+(Partcipation!$C39-Partcipation!$C38)/2)*(Title_RESULTS!$C$27*((1+Title_RESULTS!$C$28/100)^('Sheet9(F_25)'!$A39-Title_RESULTS!$H$7)))/1000</f>
        <v>0</v>
      </c>
      <c r="D39" s="5">
        <f t="shared" si="1"/>
        <v>0</v>
      </c>
      <c r="E39" s="5">
        <f>IF(+'Sheet9(F_25)'!$A39&gt;=Title_RESULTS!$H$8,0,((Partcipation!$B39-Partcipation!$B38)*(Title_RESULTS!$C$39*((1+Title_RESULTS!$C$41/100)^('Sheet9(F_25)'!$A39-Title_RESULTS!$H$7)))/1000))</f>
        <v>0</v>
      </c>
      <c r="F39" s="5">
        <f>(Partcipation!$C38+(Partcipation!$C39-Partcipation!$C38)/2)*(Title_RESULTS!$C$40*((1+Title_RESULTS!$C$41/100)^('Sheet9(F_25)'!$A39-Title_RESULTS!$H$7)))/1000</f>
        <v>0</v>
      </c>
      <c r="G39" s="5">
        <f t="shared" si="2"/>
        <v>0</v>
      </c>
      <c r="H39" s="5">
        <f>IF(Partcipation!$B40&lt;Partcipation!$B39,0,IF(Partcipation!$B39=0,0,(Partcipation!$B39-Partcipation!$B38)*(+Title_RESULTS!$C$29*(1+Title_RESULTS!$C$30/100)^(+'Sheet8(F_24)'!$A39-Title_RESULTS!$H$7))/1000))</f>
        <v>0</v>
      </c>
      <c r="I39" s="5">
        <f>IF(+Title_RESULTS!$C$31&lt;0,0,(+Partcipation!$B38+(Partcipation!$B39-Partcipation!$B38)/2)*(+Title_RESULTS!$C$31*(1+Title_RESULTS!$C$32/100)^(+'Sheet6(p_6)'!$A39-Title_RESULTS!$H$7))/1000)</f>
        <v>0</v>
      </c>
      <c r="J39" s="5">
        <f t="shared" si="3"/>
        <v>0</v>
      </c>
      <c r="K39" s="5">
        <f>(+Partcipation!$B38+(Partcipation!$B39-Partcipation!$B38)/2)*(+Title_RESULTS!$C$14)/1000</f>
        <v>1732.3074</v>
      </c>
      <c r="L39" s="5">
        <f>($K39)*Partcipation!$E96*Title_RESULTS!$C$12/100</f>
        <v>117.49890729932322</v>
      </c>
      <c r="M39" s="5">
        <f>((+$K39*(Title_RESULTS!$H$30/100)*((1+Title_RESULTS!$H$31/100)^('Sheet9(F_25)'!$A39-Title_RESULTS!$H$7)))+((Title_RESULTS!$H$32*Title_RESULTS!$H$35*12*Title_RESULTS!$C$7/1000)*(Partcipation!$B38+(Partcipation!$B39-Partcipation!$B38)/2))*((1+Title_RESULTS!$H$33/100)^('Sheet9(F_25)'!$A39-Title_RESULTS!$H$7)))</f>
        <v>129.28031396807592</v>
      </c>
      <c r="N39" s="5">
        <f>'Sheet2(F_12)'!$I39*('Sheet6(p_6)'!$L39+'Sheet6(p_6)'!$M39)</f>
        <v>246.77922126739912</v>
      </c>
      <c r="O39" s="5">
        <f>(Partcipation!$B38+(Partcipation!$B39-Partcipation!$B38)/2)*(Title_RESULTS!$C$13)/1000</f>
        <v>0</v>
      </c>
      <c r="P39" s="5">
        <f>($O39)*'Sheet2(F_12)'!$D39*Title_RESULTS!$C$12/100</f>
        <v>0</v>
      </c>
      <c r="Q39" s="5">
        <f>+$O39*((Title_RESULTS!$H$30/100)*((1+Title_RESULTS!$H$31/100)^('Sheet9(F_25)'!$A39-Title_RESULTS!$H$7)))</f>
        <v>0</v>
      </c>
      <c r="R39" s="5">
        <f>+Partcipation!$I39*('Sheet6(p_6)'!$P39-'Sheet6(p_6)'!$Q39)</f>
        <v>0</v>
      </c>
    </row>
    <row r="40" spans="1:18" ht="12.75">
      <c r="A40">
        <f t="shared" si="0"/>
        <v>2044</v>
      </c>
      <c r="B40" s="5">
        <f>IF(+'Sheet9(F_25)'!$A40&gt;=Title_RESULTS!$H$8,0,((Partcipation!$B40-Partcipation!$B39)*(Title_RESULTS!$C$26*((1+Title_RESULTS!$C$28/100)^('Sheet9(F_25)'!$A40-Title_RESULTS!$H$7)))/1000))</f>
        <v>0</v>
      </c>
      <c r="C40" s="5">
        <f>(Partcipation!$C39+(Partcipation!$C40-Partcipation!$C39)/2)*(Title_RESULTS!$C$27*((1+Title_RESULTS!$C$28/100)^('Sheet9(F_25)'!$A40-Title_RESULTS!$H$7)))/1000</f>
        <v>0</v>
      </c>
      <c r="D40" s="5">
        <f t="shared" si="1"/>
        <v>0</v>
      </c>
      <c r="E40" s="5">
        <f>IF(+'Sheet9(F_25)'!$A40&gt;=Title_RESULTS!$H$8,0,((Partcipation!$B40-Partcipation!$B39)*(Title_RESULTS!$C$39*((1+Title_RESULTS!$C$41/100)^('Sheet9(F_25)'!$A40-Title_RESULTS!$H$7)))/1000))</f>
        <v>0</v>
      </c>
      <c r="F40" s="5">
        <f>(Partcipation!$C39+(Partcipation!$C40-Partcipation!$C39)/2)*(Title_RESULTS!$C$40*((1+Title_RESULTS!$C$41/100)^('Sheet9(F_25)'!$A40-Title_RESULTS!$H$7)))/1000</f>
        <v>0</v>
      </c>
      <c r="G40" s="5">
        <f t="shared" si="2"/>
        <v>0</v>
      </c>
      <c r="H40" s="5">
        <f>IF(Partcipation!$B41&lt;Partcipation!$B40,0,IF(Partcipation!$B40=0,0,(Partcipation!$B40-Partcipation!$B39)*(+Title_RESULTS!$C$29*(1+Title_RESULTS!$C$30/100)^(+'Sheet8(F_24)'!$A40-Title_RESULTS!$H$7))/1000))</f>
        <v>0</v>
      </c>
      <c r="I40" s="5">
        <f>IF(+Title_RESULTS!$C$31&lt;0,0,(+Partcipation!$B39+(Partcipation!$B40-Partcipation!$B39)/2)*(+Title_RESULTS!$C$31*(1+Title_RESULTS!$C$32/100)^(+'Sheet6(p_6)'!$A40-Title_RESULTS!$H$7))/1000)</f>
        <v>0</v>
      </c>
      <c r="J40" s="5">
        <f t="shared" si="3"/>
        <v>0</v>
      </c>
      <c r="K40" s="5">
        <f>(+Partcipation!$B39+(Partcipation!$B40-Partcipation!$B39)/2)*(+Title_RESULTS!$C$14)/1000</f>
        <v>1732.3074</v>
      </c>
      <c r="L40" s="5">
        <f>($K40)*Partcipation!$E97*Title_RESULTS!$C$12/100</f>
        <v>115.76969969185129</v>
      </c>
      <c r="M40" s="5">
        <f>((+$K40*(Title_RESULTS!$H$30/100)*((1+Title_RESULTS!$H$31/100)^('Sheet9(F_25)'!$A40-Title_RESULTS!$H$7)))+((Title_RESULTS!$H$32*Title_RESULTS!$H$35*12*Title_RESULTS!$C$7/1000)*(Partcipation!$B39+(Partcipation!$B40-Partcipation!$B39)/2))*((1+Title_RESULTS!$H$33/100)^('Sheet9(F_25)'!$A40-Title_RESULTS!$H$7)))</f>
        <v>130.57311710775673</v>
      </c>
      <c r="N40" s="5">
        <f>'Sheet2(F_12)'!$I40*('Sheet6(p_6)'!$L40+'Sheet6(p_6)'!$M40)</f>
        <v>246.34281679960802</v>
      </c>
      <c r="O40" s="5">
        <f>(Partcipation!$B39+(Partcipation!$B40-Partcipation!$B39)/2)*(Title_RESULTS!$C$13)/1000</f>
        <v>0</v>
      </c>
      <c r="P40" s="5">
        <f>($O40)*'Sheet2(F_12)'!$D40*Title_RESULTS!$C$12/100</f>
        <v>0</v>
      </c>
      <c r="Q40" s="5">
        <f>+$O40*((Title_RESULTS!$H$30/100)*((1+Title_RESULTS!$H$31/100)^('Sheet9(F_25)'!$A40-Title_RESULTS!$H$7)))</f>
        <v>0</v>
      </c>
      <c r="R40" s="5">
        <f>+Partcipation!$I40*('Sheet6(p_6)'!$P40-'Sheet6(p_6)'!$Q40)</f>
        <v>0</v>
      </c>
    </row>
    <row r="41" spans="2:18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t="s">
        <v>87</v>
      </c>
      <c r="B42" s="5">
        <f aca="true" t="shared" si="4" ref="B42:R42">SUM(B16:B41)</f>
        <v>168.99167999999997</v>
      </c>
      <c r="C42" s="5">
        <f t="shared" si="4"/>
        <v>0</v>
      </c>
      <c r="D42" s="5">
        <f t="shared" si="4"/>
        <v>168.99167999999997</v>
      </c>
      <c r="E42" s="5">
        <f t="shared" si="4"/>
        <v>791.01</v>
      </c>
      <c r="F42" s="5">
        <f t="shared" si="4"/>
        <v>0</v>
      </c>
      <c r="G42" s="5">
        <f t="shared" si="4"/>
        <v>791.01</v>
      </c>
      <c r="H42" s="5">
        <f t="shared" si="4"/>
        <v>1105.03044</v>
      </c>
      <c r="I42" s="5">
        <f t="shared" si="4"/>
        <v>0</v>
      </c>
      <c r="J42" s="5">
        <f t="shared" si="4"/>
        <v>1105.03044</v>
      </c>
      <c r="K42" s="5">
        <f t="shared" si="4"/>
        <v>40709.223900000005</v>
      </c>
      <c r="L42" s="5">
        <f t="shared" si="4"/>
        <v>1871.8816118884097</v>
      </c>
      <c r="M42" s="5">
        <f t="shared" si="4"/>
        <v>2749.277291033169</v>
      </c>
      <c r="N42" s="5">
        <f t="shared" si="4"/>
        <v>4621.158902921579</v>
      </c>
      <c r="O42" s="5">
        <f t="shared" si="4"/>
        <v>0</v>
      </c>
      <c r="P42" s="5">
        <f t="shared" si="4"/>
        <v>0</v>
      </c>
      <c r="Q42" s="5">
        <f t="shared" si="4"/>
        <v>0</v>
      </c>
      <c r="R42" s="5">
        <f t="shared" si="4"/>
        <v>0</v>
      </c>
    </row>
    <row r="43" spans="2:18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89</v>
      </c>
      <c r="B44" s="5">
        <f>NPV(Title_RESULTS!$C$37,'Sheet6(p_6)'!B17:B41)+'Sheet6(p_6)'!B16</f>
        <v>157.89362936030426</v>
      </c>
      <c r="C44" s="5">
        <f>NPV(Title_RESULTS!$C$37,'Sheet6(p_6)'!C17:C41)+'Sheet6(p_6)'!C16</f>
        <v>0</v>
      </c>
      <c r="D44" s="5">
        <f>NPV(Title_RESULTS!$C$37,'Sheet6(p_6)'!D17:D41)+'Sheet6(p_6)'!D16</f>
        <v>157.89362936030426</v>
      </c>
      <c r="E44" s="5">
        <f>NPV(Title_RESULTS!$C$37,'Sheet6(p_6)'!E17:E41)+'Sheet6(p_6)'!E16</f>
        <v>739.862060816633</v>
      </c>
      <c r="F44" s="5">
        <f>NPV(Title_RESULTS!$C$37,'Sheet6(p_6)'!F17:F41)+'Sheet6(p_6)'!F16</f>
        <v>0</v>
      </c>
      <c r="G44" s="5">
        <f>NPV(Title_RESULTS!$C$37,'Sheet6(p_6)'!G17:G41)+'Sheet6(p_6)'!G16</f>
        <v>739.862060816633</v>
      </c>
      <c r="H44" s="5">
        <f>NPV(Title_RESULTS!$C$37,'Sheet6(p_6)'!H17:H41)+'Sheet6(p_6)'!H16</f>
        <v>1032.5066836870035</v>
      </c>
      <c r="I44" s="5">
        <f>NPV(Title_RESULTS!$C$37,'Sheet6(p_6)'!I17:I41)+'Sheet6(p_6)'!I16</f>
        <v>0</v>
      </c>
      <c r="J44" s="5">
        <f>NPV(Title_RESULTS!$C$37,'Sheet6(p_6)'!J17:J41)+'Sheet6(p_6)'!J16</f>
        <v>1032.5066836870035</v>
      </c>
      <c r="K44" s="5"/>
      <c r="L44" s="5">
        <f>NPV(Title_RESULTS!$C$37,'Sheet6(p_6)'!L17:L41)+'Sheet6(p_6)'!L16</f>
        <v>754.6567388409151</v>
      </c>
      <c r="M44" s="5">
        <f>NPV(Title_RESULTS!$C$37,'Sheet6(p_6)'!M17:M41)+'Sheet6(p_6)'!M16</f>
        <v>1241.6503895410062</v>
      </c>
      <c r="N44" s="5">
        <f>NPV(Title_RESULTS!$C$37,'Sheet6(p_6)'!N17:N41)+'Sheet6(p_6)'!N16</f>
        <v>1996.3071283819215</v>
      </c>
      <c r="O44" s="5"/>
      <c r="P44" s="5">
        <f>NPV(Title_RESULTS!$C$37,'Sheet6(p_6)'!P17:P41)+'Sheet6(p_6)'!P16</f>
        <v>0</v>
      </c>
      <c r="Q44" s="5">
        <f>NPV(Title_RESULTS!$C$37,'Sheet6(p_6)'!Q17:Q41)+'Sheet6(p_6)'!Q16</f>
        <v>0</v>
      </c>
      <c r="R44" s="5">
        <f>NPV(Title_RESULTS!$C$37,'Sheet6(p_6)'!R17:R41)+'Sheet6(p_6)'!R16</f>
        <v>0</v>
      </c>
    </row>
    <row r="46" ht="12.75">
      <c r="A4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Windows</v>
      </c>
      <c r="M2" t="s">
        <v>55</v>
      </c>
    </row>
    <row r="3" ht="12.75">
      <c r="M3" s="35">
        <f>+Title_RESULTS!I4</f>
        <v>43599.32883784722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55</v>
      </c>
      <c r="D16" s="5">
        <f>IF(A16&gt;=(Title_RESULTS!$H$7+Title_RESULTS!$C$17),0,(+'Sheet6(p_6)'!$J16))</f>
        <v>360</v>
      </c>
      <c r="E16" s="5">
        <f>IF(A16&gt;=(Title_RESULTS!$H$7+Title_RESULTS!$C$17),0,(+'f-11B'!$N15))</f>
        <v>0</v>
      </c>
      <c r="F16" s="5">
        <f>IF(A16&gt;=(Title_RESULTS!$H$7+Title_RESULTS!$C$17),0,(SUM(B16:E16)))</f>
        <v>415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8.871682108299277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8.871682108299277</v>
      </c>
      <c r="L16" s="23">
        <f>IF(A16&gt;=(Title_RESULTS!$H$7+Title_RESULTS!$C$17),0,(+$K16-$F16))</f>
        <v>-406.1283178917007</v>
      </c>
      <c r="M16" s="23">
        <f>IF(A16&gt;=(Title_RESULTS!$H$7+Title_RESULTS!$C$17),0,(+$L16/(1+Title_RESULTS!$C$37)^('Sheet7(F_23)'!$A16-Title_RESULTS!$H$7)))</f>
        <v>-406.1283178917007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56.32</v>
      </c>
      <c r="D17" s="5">
        <f>IF(A17&gt;=(Title_RESULTS!$H$7+Title_RESULTS!$C$17),0,(+'Sheet6(p_6)'!$J17))</f>
        <v>368.28</v>
      </c>
      <c r="E17" s="5">
        <f>IF(A17&gt;=(Title_RESULTS!$H$7+Title_RESULTS!$C$17),0,(+'f-11B'!$N16))</f>
        <v>0</v>
      </c>
      <c r="F17" s="5">
        <f>IF(A17&gt;=(Title_RESULTS!$H$7+Title_RESULTS!$C$17),0,(SUM(B17:E17)))</f>
        <v>424.59999999999997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7.381632848386475</v>
      </c>
      <c r="I17" s="5">
        <f>IF(A17&gt;=(Title_RESULTS!$H$7+Title_RESULTS!$C$17),0,(+'Sheet4(F_22)'!$H17))</f>
        <v>26.39856344533608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33.780196293722554</v>
      </c>
      <c r="L17" s="23">
        <f>IF(A17&gt;=(Title_RESULTS!$H$7+Title_RESULTS!$C$17),0,(+$K17-$F17))</f>
        <v>-390.8198037062774</v>
      </c>
      <c r="M17" s="23">
        <f>IF(A17&gt;=(Title_RESULTS!$H$7+Title_RESULTS!$C$17),0,(+M16+$L17/(1+Title_RESULTS!$C$37)^('Sheet7(F_23)'!$A17-Title_RESULTS!$H$7)))</f>
        <v>-771.1075891900547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57.671679999999995</v>
      </c>
      <c r="D18" s="5">
        <f>IF(A18&gt;=(Title_RESULTS!$H$7+Title_RESULTS!$C$17),0,(+'Sheet6(p_6)'!$J18))</f>
        <v>376.7504399999999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434.4221199999999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7.558792036747748</v>
      </c>
      <c r="I18" s="5">
        <f>IF(A18&gt;=(Title_RESULTS!$H$7+Title_RESULTS!$C$17),0,(+'Sheet4(F_22)'!$H18))</f>
        <v>45.4084739919511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52.967266028698845</v>
      </c>
      <c r="L18" s="23">
        <f>IF(A18&gt;=(Title_RESULTS!$H$7+Title_RESULTS!$C$17),0,(+$K18-$F18))</f>
        <v>-381.4548539713011</v>
      </c>
      <c r="M18" s="23">
        <f>IF(A18&gt;=(Title_RESULTS!$H$7+Title_RESULTS!$C$17),0,(+M17+$L18/(1+Title_RESULTS!$C$37)^('Sheet7(F_23)'!$A18-Title_RESULTS!$H$7)))</f>
        <v>-1103.7873806593875</v>
      </c>
    </row>
    <row r="19" spans="1:13" ht="12.75">
      <c r="A19">
        <f aca="true" t="shared" si="0" ref="A19:A4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32.48712938103303</v>
      </c>
      <c r="H19" s="5">
        <f>IF(A19&gt;=(Title_RESULTS!$H$7+Title_RESULTS!$C$17),0,(+'Sheet4(F_22)'!$D19+'Sheet4(F_22)'!$G19))</f>
        <v>15.783077650771892</v>
      </c>
      <c r="I19" s="5">
        <f>IF(A19&gt;=(Title_RESULTS!$H$7+Title_RESULTS!$C$17),0,(+'Sheet4(F_22)'!$H19))</f>
        <v>56.725562271084875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104.9957693028898</v>
      </c>
      <c r="L19" s="23">
        <f>IF(A19&gt;=(Title_RESULTS!$H$7+Title_RESULTS!$C$17),0,(+$K19-$F19))</f>
        <v>104.9957693028898</v>
      </c>
      <c r="M19" s="23">
        <f>IF(A19&gt;=(Title_RESULTS!$H$7+Title_RESULTS!$C$17),0,(+M18+$L19/(1+Title_RESULTS!$C$37)^('Sheet7(F_23)'!$A19-Title_RESULTS!$H$7)))</f>
        <v>-1018.2715118355296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31.88462215777588</v>
      </c>
      <c r="H20" s="5">
        <f>IF(A20&gt;=(Title_RESULTS!$H$7+Title_RESULTS!$C$17),0,(+'Sheet4(F_22)'!$D20+'Sheet4(F_22)'!$G20))</f>
        <v>15.731337368804002</v>
      </c>
      <c r="I20" s="5">
        <f>IF(A20&gt;=(Title_RESULTS!$H$7+Title_RESULTS!$C$17),0,(+'Sheet4(F_22)'!$H20))</f>
        <v>58.954663056940014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106.5706225835199</v>
      </c>
      <c r="L20" s="23">
        <f>IF(A20&gt;=(Title_RESULTS!$H$7+Title_RESULTS!$C$17),0,(+$K20-$F20))</f>
        <v>106.5706225835199</v>
      </c>
      <c r="M20" s="23">
        <f>IF(A20&gt;=(Title_RESULTS!$H$7+Title_RESULTS!$C$17),0,(+M19+$L20/(1+Title_RESULTS!$C$37)^('Sheet7(F_23)'!$A20-Title_RESULTS!$H$7)))</f>
        <v>-937.2119871396417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31.2501444458173</v>
      </c>
      <c r="H21" s="5">
        <f>IF(A21&gt;=(Title_RESULTS!$H$7+Title_RESULTS!$C$17),0,(+'Sheet4(F_22)'!$D21+'Sheet4(F_22)'!$G21))</f>
        <v>15.659356639810397</v>
      </c>
      <c r="I21" s="5">
        <f>IF(A21&gt;=(Title_RESULTS!$H$7+Title_RESULTS!$C$17),0,(+'Sheet4(F_22)'!$H21))</f>
        <v>63.299558917387394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110.20906000301508</v>
      </c>
      <c r="L21" s="23">
        <f>IF(A21&gt;=(Title_RESULTS!$H$7+Title_RESULTS!$C$17),0,(+$K21-$F21))</f>
        <v>110.20906000301508</v>
      </c>
      <c r="M21" s="23">
        <f>IF(A21&gt;=(Title_RESULTS!$H$7+Title_RESULTS!$C$17),0,(+M20+$L21/(1+Title_RESULTS!$C$37)^('Sheet7(F_23)'!$A21-Title_RESULTS!$H$7)))</f>
        <v>-858.9275405782631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30.733442793350235</v>
      </c>
      <c r="H22" s="5">
        <f>IF(A22&gt;=(Title_RESULTS!$H$7+Title_RESULTS!$C$17),0,(+'Sheet4(F_22)'!$D22+'Sheet4(F_22)'!$G22))</f>
        <v>15.604499392615129</v>
      </c>
      <c r="I22" s="5">
        <f>IF(A22&gt;=(Title_RESULTS!$H$7+Title_RESULTS!$C$17),0,(+'Sheet4(F_22)'!$H22))</f>
        <v>65.32986850555781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111.66781069152317</v>
      </c>
      <c r="L22" s="23">
        <f>IF(A22&gt;=(Title_RESULTS!$H$7+Title_RESULTS!$C$17),0,(+$K22-$F22))</f>
        <v>111.66781069152317</v>
      </c>
      <c r="M22" s="23">
        <f>IF(A22&gt;=(Title_RESULTS!$H$7+Title_RESULTS!$C$17),0,(+M21+$L22/(1+Title_RESULTS!$C$37)^('Sheet7(F_23)'!$A22-Title_RESULTS!$H$7)))</f>
        <v>-784.8514888051159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30.159287560314887</v>
      </c>
      <c r="H23" s="5">
        <f>IF(A23&gt;=(Title_RESULTS!$H$7+Title_RESULTS!$C$17),0,(+'Sheet4(F_22)'!$D23+'Sheet4(F_22)'!$G23))</f>
        <v>15.565615904666213</v>
      </c>
      <c r="I23" s="5">
        <f>IF(A23&gt;=(Title_RESULTS!$H$7+Title_RESULTS!$C$17),0,(+'Sheet4(F_22)'!$H23))</f>
        <v>69.41269288375028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115.13759634873138</v>
      </c>
      <c r="L23" s="23">
        <f>IF(A23&gt;=(Title_RESULTS!$H$7+Title_RESULTS!$C$17),0,(+$K23-$F23))</f>
        <v>115.13759634873138</v>
      </c>
      <c r="M23" s="23">
        <f>IF(A23&gt;=(Title_RESULTS!$H$7+Title_RESULTS!$C$17),0,(+M22+$L23/(1+Title_RESULTS!$C$37)^('Sheet7(F_23)'!$A23-Title_RESULTS!$H$7)))</f>
        <v>-713.5237229548234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29.329054241524123</v>
      </c>
      <c r="H24" s="5">
        <f>IF(A24&gt;=(Title_RESULTS!$H$7+Title_RESULTS!$C$17),0,(+'Sheet4(F_22)'!$D24+'Sheet4(F_22)'!$G24))</f>
        <v>15.541698231249013</v>
      </c>
      <c r="I24" s="5">
        <f>IF(A24&gt;=(Title_RESULTS!$H$7+Title_RESULTS!$C$17),0,(+'Sheet4(F_22)'!$H24))</f>
        <v>76.91729063657728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121.78804310935041</v>
      </c>
      <c r="L24" s="23">
        <f>IF(A24&gt;=(Title_RESULTS!$H$7+Title_RESULTS!$C$17),0,(+$K24-$F24))</f>
        <v>121.78804310935041</v>
      </c>
      <c r="M24" s="23">
        <f>IF(A24&gt;=(Title_RESULTS!$H$7+Title_RESULTS!$C$17),0,(+M23+$L24/(1+Title_RESULTS!$C$37)^('Sheet7(F_23)'!$A24-Title_RESULTS!$H$7)))</f>
        <v>-643.0645157663203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28.827319268333078</v>
      </c>
      <c r="H25" s="5">
        <f>IF(A25&gt;=(Title_RESULTS!$H$7+Title_RESULTS!$C$17),0,(+'Sheet4(F_22)'!$D25+'Sheet4(F_22)'!$G25))</f>
        <v>15.529786088316664</v>
      </c>
      <c r="I25" s="5">
        <f>IF(A25&gt;=(Title_RESULTS!$H$7+Title_RESULTS!$C$17),0,(+'Sheet4(F_22)'!$H25))</f>
        <v>82.40643683393313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126.76354219058287</v>
      </c>
      <c r="L25" s="23">
        <f>IF(A25&gt;=(Title_RESULTS!$H$7+Title_RESULTS!$C$17),0,(+$K25-$F25))</f>
        <v>126.76354219058287</v>
      </c>
      <c r="M25" s="23">
        <f>IF(A25&gt;=(Title_RESULTS!$H$7+Title_RESULTS!$C$17),0,(+M24+$L25/(1+Title_RESULTS!$C$37)^('Sheet7(F_23)'!$A25-Title_RESULTS!$H$7)))</f>
        <v>-574.5757872495838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28.018007957607878</v>
      </c>
      <c r="H26" s="5">
        <f>IF(A26&gt;=(Title_RESULTS!$H$7+Title_RESULTS!$C$17),0,(+'Sheet4(F_22)'!$D26+'Sheet4(F_22)'!$G26))</f>
        <v>15.525168681993804</v>
      </c>
      <c r="I26" s="5">
        <f>IF(A26&gt;=(Title_RESULTS!$H$7+Title_RESULTS!$C$17),0,(+'Sheet4(F_22)'!$H26))</f>
        <v>92.0434246098648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135.58660124946647</v>
      </c>
      <c r="L26" s="23">
        <f>IF(A26&gt;=(Title_RESULTS!$H$7+Title_RESULTS!$C$17),0,(+$K26-$F26))</f>
        <v>135.58660124946647</v>
      </c>
      <c r="M26" s="23">
        <f>IF(A26&gt;=(Title_RESULTS!$H$7+Title_RESULTS!$C$17),0,(+M25+$L26/(1+Title_RESULTS!$C$37)^('Sheet7(F_23)'!$A26-Title_RESULTS!$H$7)))</f>
        <v>-506.16365143100336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27.748674170171846</v>
      </c>
      <c r="H27" s="5">
        <f>IF(A27&gt;=(Title_RESULTS!$H$7+Title_RESULTS!$C$17),0,(+'Sheet4(F_22)'!$D27+'Sheet4(F_22)'!$G27))</f>
        <v>15.52569141127875</v>
      </c>
      <c r="I27" s="5">
        <f>IF(A27&gt;=(Title_RESULTS!$H$7+Title_RESULTS!$C$17),0,(+'Sheet4(F_22)'!$H27))</f>
        <v>91.70112932849142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134.97549490994203</v>
      </c>
      <c r="L27" s="23">
        <f>IF(A27&gt;=(Title_RESULTS!$H$7+Title_RESULTS!$C$17),0,(+$K27-$F27))</f>
        <v>134.97549490994203</v>
      </c>
      <c r="M27" s="23">
        <f>IF(A27&gt;=(Title_RESULTS!$H$7+Title_RESULTS!$C$17),0,(+M26+$L27/(1+Title_RESULTS!$C$37)^('Sheet7(F_23)'!$A27-Title_RESULTS!$H$7)))</f>
        <v>-442.562798350502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27.09154745779547</v>
      </c>
      <c r="H28" s="5">
        <f>IF(A28&gt;=(Title_RESULTS!$H$7+Title_RESULTS!$C$17),0,(+'Sheet4(F_22)'!$D28+'Sheet4(F_22)'!$G28))</f>
        <v>15.531477639426086</v>
      </c>
      <c r="I28" s="5">
        <f>IF(A28&gt;=(Title_RESULTS!$H$7+Title_RESULTS!$C$17),0,(+'Sheet4(F_22)'!$H28))</f>
        <v>100.22085898108266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142.8438840783042</v>
      </c>
      <c r="L28" s="23">
        <f>IF(A28&gt;=(Title_RESULTS!$H$7+Title_RESULTS!$C$17),0,(+$K28-$F28))</f>
        <v>142.8438840783042</v>
      </c>
      <c r="M28" s="23">
        <f>IF(A28&gt;=(Title_RESULTS!$H$7+Title_RESULTS!$C$17),0,(+M27+$L28/(1+Title_RESULTS!$C$37)^('Sheet7(F_23)'!$A28-Title_RESULTS!$H$7)))</f>
        <v>-379.704690984463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26.889838214533718</v>
      </c>
      <c r="H29" s="5">
        <f>IF(A29&gt;=(Title_RESULTS!$H$7+Title_RESULTS!$C$17),0,(+'Sheet4(F_22)'!$D29+'Sheet4(F_22)'!$G29))</f>
        <v>15.542653690408518</v>
      </c>
      <c r="I29" s="5">
        <f>IF(A29&gt;=(Title_RESULTS!$H$7+Title_RESULTS!$C$17),0,(+'Sheet4(F_22)'!$H29))</f>
        <v>106.8764296190794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149.30892152402163</v>
      </c>
      <c r="L29" s="23">
        <f>IF(A29&gt;=(Title_RESULTS!$H$7+Title_RESULTS!$C$17),0,(+$K29-$F29))</f>
        <v>149.30892152402163</v>
      </c>
      <c r="M29" s="23">
        <f>IF(A29&gt;=(Title_RESULTS!$H$7+Title_RESULTS!$C$17),0,(+M28+$L29/(1+Title_RESULTS!$C$37)^('Sheet7(F_23)'!$A29-Title_RESULTS!$H$7)))</f>
        <v>-318.3458643755725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26.185249540989794</v>
      </c>
      <c r="H30" s="5">
        <f>IF(A30&gt;=(Title_RESULTS!$H$7+Title_RESULTS!$C$17),0,(+'Sheet4(F_22)'!$D30+'Sheet4(F_22)'!$G30))</f>
        <v>15.559348919974079</v>
      </c>
      <c r="I30" s="5">
        <f>IF(A30&gt;=(Title_RESULTS!$H$7+Title_RESULTS!$C$17),0,(+'Sheet4(F_22)'!$H30))</f>
        <v>111.85283880260332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153.5974372635672</v>
      </c>
      <c r="L30" s="23">
        <f>IF(A30&gt;=(Title_RESULTS!$H$7+Title_RESULTS!$C$17),0,(+$K30-$F30))</f>
        <v>153.5974372635672</v>
      </c>
      <c r="M30" s="23">
        <f>IF(A30&gt;=(Title_RESULTS!$H$7+Title_RESULTS!$C$17),0,(+M29+$L30/(1+Title_RESULTS!$C$37)^('Sheet7(F_23)'!$A30-Title_RESULTS!$H$7)))</f>
        <v>-259.3981603265329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25.820053344616937</v>
      </c>
      <c r="H31" s="5">
        <f>IF(A31&gt;=(Title_RESULTS!$H$7+Title_RESULTS!$C$17),0,(+'Sheet4(F_22)'!$D31+'Sheet4(F_22)'!$G31))</f>
        <v>15.581695788408767</v>
      </c>
      <c r="I31" s="5">
        <f>IF(A31&gt;=(Title_RESULTS!$H$7+Title_RESULTS!$C$17),0,(+'Sheet4(F_22)'!$H31))</f>
        <v>123.18880383090018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164.5905529639259</v>
      </c>
      <c r="L31" s="23">
        <f>IF(A31&gt;=(Title_RESULTS!$H$7+Title_RESULTS!$C$17),0,(+$K31-$F31))</f>
        <v>164.5905529639259</v>
      </c>
      <c r="M31" s="23">
        <f>IF(A31&gt;=(Title_RESULTS!$H$7+Title_RESULTS!$C$17),0,(+M30+$L31/(1+Title_RESULTS!$C$37)^('Sheet7(F_23)'!$A31-Title_RESULTS!$H$7)))</f>
        <v>-200.4080149325697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25.729876289710294</v>
      </c>
      <c r="H32" s="5">
        <f>IF(A32&gt;=(Title_RESULTS!$H$7+Title_RESULTS!$C$17),0,(+'Sheet4(F_22)'!$D32+'Sheet4(F_22)'!$G32))</f>
        <v>15.609829935045447</v>
      </c>
      <c r="I32" s="5">
        <f>IF(A32&gt;=(Title_RESULTS!$H$7+Title_RESULTS!$C$17),0,(+'Sheet4(F_22)'!$H32))</f>
        <v>121.67389653708805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163.0136027618438</v>
      </c>
      <c r="L32" s="23">
        <f>IF(A32&gt;=(Title_RESULTS!$H$7+Title_RESULTS!$C$17),0,(+$K32-$F32))</f>
        <v>163.0136027618438</v>
      </c>
      <c r="M32" s="23">
        <f>IF(A32&gt;=(Title_RESULTS!$H$7+Title_RESULTS!$C$17),0,(+M31+$L32/(1+Title_RESULTS!$C$37)^('Sheet7(F_23)'!$A32-Title_RESULTS!$H$7)))</f>
        <v>-145.84604453399498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25.185067888976093</v>
      </c>
      <c r="H33" s="5">
        <f>IF(A33&gt;=(Title_RESULTS!$H$7+Title_RESULTS!$C$17),0,(+'Sheet4(F_22)'!$D33+'Sheet4(F_22)'!$G33))</f>
        <v>15.64389025456096</v>
      </c>
      <c r="I33" s="5">
        <f>IF(A33&gt;=(Title_RESULTS!$H$7+Title_RESULTS!$C$17),0,(+'Sheet4(F_22)'!$H33))</f>
        <v>129.86432992214708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170.69328806568413</v>
      </c>
      <c r="L33" s="23">
        <f>IF(A33&gt;=(Title_RESULTS!$H$7+Title_RESULTS!$C$17),0,(+$K33-$F33))</f>
        <v>170.69328806568413</v>
      </c>
      <c r="M33" s="23">
        <f>IF(A33&gt;=(Title_RESULTS!$H$7+Title_RESULTS!$C$17),0,(+M32+$L33/(1+Title_RESULTS!$C$37)^('Sheet7(F_23)'!$A33-Title_RESULTS!$H$7)))</f>
        <v>-92.49114806343744</v>
      </c>
    </row>
    <row r="34" spans="1:13" ht="12.75">
      <c r="A34">
        <f t="shared" si="0"/>
        <v>2038</v>
      </c>
      <c r="B34" s="5">
        <f>IF(A34&gt;=(Title_RESULTS!$H$7+Title_RESULTS!$C$17),0,(IF($A34&gt;=Title_RESULTS!$H$8,(Partcipation!$B33+(Partcipation!$B34-Partcipation!$B33)/2)*Title_RESULTS!$C$35*(1+Title_RESULTS!$C$36/100)^('Sheet7(F_23)'!$A34-Title_RESULTS!$H$7),0)))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IF(A34&gt;=(Title_RESULTS!$H$7+Title_RESULTS!$C$17),0,(+'Sheet6(p_6)'!$J34))</f>
        <v>0</v>
      </c>
      <c r="E34" s="5">
        <f>IF(A34&gt;=(Title_RESULTS!$H$7+Title_RESULTS!$C$17),0,(+'f-11B'!$N33))</f>
        <v>0</v>
      </c>
      <c r="F34" s="5">
        <f>IF(A34&gt;=(Title_RESULTS!$H$7+Title_RESULTS!$C$17),0,(SUM(B34:E34)))</f>
        <v>0</v>
      </c>
      <c r="G34" s="5">
        <f>IF(A34&gt;=(Title_RESULTS!$H$7+Title_RESULTS!$C$17),0,('Sheet3(F_21)'!$J34))</f>
        <v>25.216890141697633</v>
      </c>
      <c r="H34" s="5">
        <f>IF(A34&gt;=(Title_RESULTS!$H$7+Title_RESULTS!$C$17),0,(+'Sheet4(F_22)'!$D34+'Sheet4(F_22)'!$G34))</f>
        <v>15.704564205570014</v>
      </c>
      <c r="I34" s="5">
        <f>IF(A34&gt;=(Title_RESULTS!$H$7+Title_RESULTS!$C$17),0,(+'Sheet4(F_22)'!$H34))</f>
        <v>130.35619609146448</v>
      </c>
      <c r="J34" s="5">
        <f>IF(A34&gt;=(Title_RESULTS!$H$7+Title_RESULTS!$C$17),0,(IF(Title_RESULTS!$C$31&lt;0,((Partcipation!$B33+(Partcipation!$B34-Partcipation!$B33)/2)*(ABS(Title_RESULTS!$C$31)*(1+Title_RESULTS!$C$32/100)^('Sheet7(F_23)'!$A34-Title_RESULTS!$H$7))/1000)+'f-11B'!$O33,+'f-11B'!$O33)))</f>
        <v>0</v>
      </c>
      <c r="K34" s="5">
        <f>IF(A34&gt;=(Title_RESULTS!$H$7+Title_RESULTS!$C$17),0,(SUM(G34:J34)))</f>
        <v>171.27765043873214</v>
      </c>
      <c r="L34" s="23">
        <f>IF(A34&gt;=(Title_RESULTS!$H$7+Title_RESULTS!$C$17),0,(+$K34-$F34))</f>
        <v>171.27765043873214</v>
      </c>
      <c r="M34" s="23">
        <f>IF(A34&gt;=(Title_RESULTS!$H$7+Title_RESULTS!$C$17),0,(+M33+$L34/(1+Title_RESULTS!$C$37)^('Sheet7(F_23)'!$A34-Title_RESULTS!$H$7)))</f>
        <v>-42.493431354131495</v>
      </c>
    </row>
    <row r="35" spans="1:13" ht="12.75">
      <c r="A35">
        <f t="shared" si="0"/>
        <v>2039</v>
      </c>
      <c r="B35" s="5">
        <f>IF(A35&gt;=(Title_RESULTS!$H$7+Title_RESULTS!$C$17),0,(IF($A35&gt;=Title_RESULTS!$H$8,(Partcipation!$B34+(Partcipation!$B35-Partcipation!$B34)/2)*Title_RESULTS!$C$35*(1+Title_RESULTS!$C$36/100)^('Sheet7(F_23)'!$A35-Title_RESULTS!$H$7),0)))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IF(A35&gt;=(Title_RESULTS!$H$7+Title_RESULTS!$C$17),0,(+'Sheet6(p_6)'!$J35))</f>
        <v>0</v>
      </c>
      <c r="E35" s="5">
        <f>IF(A35&gt;=(Title_RESULTS!$H$7+Title_RESULTS!$C$17),0,(+'f-11B'!$N34))</f>
        <v>0</v>
      </c>
      <c r="F35" s="5">
        <f>IF(A35&gt;=(Title_RESULTS!$H$7+Title_RESULTS!$C$17),0,(SUM(B35:E35)))</f>
        <v>0</v>
      </c>
      <c r="G35" s="5">
        <f>IF(A35&gt;=(Title_RESULTS!$H$7+Title_RESULTS!$C$17),0,('Sheet3(F_21)'!$J35))</f>
        <v>25.10193193155155</v>
      </c>
      <c r="H35" s="5">
        <f>IF(A35&gt;=(Title_RESULTS!$H$7+Title_RESULTS!$C$17),0,(+'Sheet4(F_22)'!$D35+'Sheet4(F_22)'!$G35))</f>
        <v>15.81253570275333</v>
      </c>
      <c r="I35" s="5">
        <f>IF(A35&gt;=(Title_RESULTS!$H$7+Title_RESULTS!$C$17),0,(+'Sheet4(F_22)'!$H35))</f>
        <v>130.4911031668649</v>
      </c>
      <c r="J35" s="5">
        <f>IF(A35&gt;=(Title_RESULTS!$H$7+Title_RESULTS!$C$17),0,(IF(Title_RESULTS!$C$31&lt;0,((Partcipation!$B34+(Partcipation!$B35-Partcipation!$B34)/2)*(ABS(Title_RESULTS!$C$31)*(1+Title_RESULTS!$C$32/100)^('Sheet7(F_23)'!$A35-Title_RESULTS!$H$7))/1000)+'f-11B'!$O34,+'f-11B'!$O34)))</f>
        <v>0</v>
      </c>
      <c r="K35" s="5">
        <f>IF(A35&gt;=(Title_RESULTS!$H$7+Title_RESULTS!$C$17),0,(SUM(G35:J35)))</f>
        <v>171.40557080116977</v>
      </c>
      <c r="L35" s="23">
        <f>IF(A35&gt;=(Title_RESULTS!$H$7+Title_RESULTS!$C$17),0,(+$K35-$F35))</f>
        <v>171.40557080116977</v>
      </c>
      <c r="M35" s="23">
        <f>IF(A35&gt;=(Title_RESULTS!$H$7+Title_RESULTS!$C$17),0,(+M34+$L35/(1+Title_RESULTS!$C$37)^('Sheet7(F_23)'!$A35-Title_RESULTS!$H$7)))</f>
        <v>4.233369155254934</v>
      </c>
    </row>
    <row r="36" spans="1:13" ht="12.75">
      <c r="A36">
        <f t="shared" si="0"/>
        <v>2040</v>
      </c>
      <c r="B36" s="5">
        <f>IF(A36&gt;=(Title_RESULTS!$H$7+Title_RESULTS!$C$17),0,(IF($A36&gt;=Title_RESULTS!$H$8,(Partcipation!$B35+(Partcipation!$B36-Partcipation!$B35)/2)*Title_RESULTS!$C$35*(1+Title_RESULTS!$C$36/100)^('Sheet7(F_23)'!$A36-Title_RESULTS!$H$7),0)))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IF(A36&gt;=(Title_RESULTS!$H$7+Title_RESULTS!$C$17),0,(+'Sheet6(p_6)'!$J36))</f>
        <v>0</v>
      </c>
      <c r="E36" s="5">
        <f>IF(A36&gt;=(Title_RESULTS!$H$7+Title_RESULTS!$C$17),0,(+'f-11B'!$N35))</f>
        <v>0</v>
      </c>
      <c r="F36" s="5">
        <f>IF(A36&gt;=(Title_RESULTS!$H$7+Title_RESULTS!$C$17),0,(SUM(B36:E36)))</f>
        <v>0</v>
      </c>
      <c r="G36" s="5">
        <f>IF(A36&gt;=(Title_RESULTS!$H$7+Title_RESULTS!$C$17),0,('Sheet3(F_21)'!$J36))</f>
        <v>25.76367186936704</v>
      </c>
      <c r="H36" s="5">
        <f>IF(A36&gt;=(Title_RESULTS!$H$7+Title_RESULTS!$C$17),0,(+'Sheet4(F_22)'!$D36+'Sheet4(F_22)'!$G36))</f>
        <v>15.947408652668946</v>
      </c>
      <c r="I36" s="5">
        <f>IF(A36&gt;=(Title_RESULTS!$H$7+Title_RESULTS!$C$17),0,(+'Sheet4(F_22)'!$H36))</f>
        <v>140.41450748276432</v>
      </c>
      <c r="J36" s="5">
        <f>IF(A36&gt;=(Title_RESULTS!$H$7+Title_RESULTS!$C$17),0,(IF(Title_RESULTS!$C$31&lt;0,((Partcipation!$B35+(Partcipation!$B36-Partcipation!$B35)/2)*(ABS(Title_RESULTS!$C$31)*(1+Title_RESULTS!$C$32/100)^('Sheet7(F_23)'!$A36-Title_RESULTS!$H$7))/1000)+'f-11B'!$O35,+'f-11B'!$O35)))</f>
        <v>0</v>
      </c>
      <c r="K36" s="5">
        <f>IF(A36&gt;=(Title_RESULTS!$H$7+Title_RESULTS!$C$17),0,(SUM(G36:J36)))</f>
        <v>182.1255880048003</v>
      </c>
      <c r="L36" s="23">
        <f>IF(A36&gt;=(Title_RESULTS!$H$7+Title_RESULTS!$C$17),0,(+$K36-$F36))</f>
        <v>182.1255880048003</v>
      </c>
      <c r="M36" s="23">
        <f>IF(A36&gt;=(Title_RESULTS!$H$7+Title_RESULTS!$C$17),0,(+M35+$L36/(1+Title_RESULTS!$C$37)^('Sheet7(F_23)'!$A36-Title_RESULTS!$H$7)))</f>
        <v>50.59980535910308</v>
      </c>
    </row>
    <row r="37" spans="1:13" ht="12.75">
      <c r="A37">
        <f t="shared" si="0"/>
        <v>2041</v>
      </c>
      <c r="B37" s="5">
        <f>IF(A37&gt;=(Title_RESULTS!$H$7+Title_RESULTS!$C$17),0,(IF($A37&gt;=Title_RESULTS!$H$8,(Partcipation!$B36+(Partcipation!$B37-Partcipation!$B36)/2)*Title_RESULTS!$C$35*(1+Title_RESULTS!$C$36/100)^('Sheet7(F_23)'!$A37-Title_RESULTS!$H$7),0)))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IF(A37&gt;=(Title_RESULTS!$H$7+Title_RESULTS!$C$17),0,(+'Sheet6(p_6)'!$J37))</f>
        <v>0</v>
      </c>
      <c r="E37" s="5">
        <f>IF(A37&gt;=(Title_RESULTS!$H$7+Title_RESULTS!$C$17),0,(+'f-11B'!$N36))</f>
        <v>0</v>
      </c>
      <c r="F37" s="5">
        <f>IF(A37&gt;=(Title_RESULTS!$H$7+Title_RESULTS!$C$17),0,(SUM(B37:E37)))</f>
        <v>0</v>
      </c>
      <c r="G37" s="5">
        <f>IF(A37&gt;=(Title_RESULTS!$H$7+Title_RESULTS!$C$17),0,('Sheet3(F_21)'!$J37))</f>
        <v>25.436415774018574</v>
      </c>
      <c r="H37" s="5">
        <f>IF(A37&gt;=(Title_RESULTS!$H$7+Title_RESULTS!$C$17),0,(+'Sheet4(F_22)'!$D37+'Sheet4(F_22)'!$G37))</f>
        <v>16.08879749857305</v>
      </c>
      <c r="I37" s="5">
        <f>IF(A37&gt;=(Title_RESULTS!$H$7+Title_RESULTS!$C$17),0,(+'Sheet4(F_22)'!$H37))</f>
        <v>144.61591585790575</v>
      </c>
      <c r="J37" s="5">
        <f>IF(A37&gt;=(Title_RESULTS!$H$7+Title_RESULTS!$C$17),0,(IF(Title_RESULTS!$C$31&lt;0,((Partcipation!$B36+(Partcipation!$B37-Partcipation!$B36)/2)*(ABS(Title_RESULTS!$C$31)*(1+Title_RESULTS!$C$32/100)^('Sheet7(F_23)'!$A37-Title_RESULTS!$H$7))/1000)+'f-11B'!$O36,+'f-11B'!$O36)))</f>
        <v>0</v>
      </c>
      <c r="K37" s="5">
        <f>IF(A37&gt;=(Title_RESULTS!$H$7+Title_RESULTS!$C$17),0,(SUM(G37:J37)))</f>
        <v>186.14112913049738</v>
      </c>
      <c r="L37" s="23">
        <f>IF(A37&gt;=(Title_RESULTS!$H$7+Title_RESULTS!$C$17),0,(+$K37-$F37))</f>
        <v>186.14112913049738</v>
      </c>
      <c r="M37" s="23">
        <f>IF(A37&gt;=(Title_RESULTS!$H$7+Title_RESULTS!$C$17),0,(+M36+$L37/(1+Title_RESULTS!$C$37)^('Sheet7(F_23)'!$A37-Title_RESULTS!$H$7)))</f>
        <v>94.8552523103647</v>
      </c>
    </row>
    <row r="38" spans="1:13" ht="12.75">
      <c r="A38">
        <f t="shared" si="0"/>
        <v>2042</v>
      </c>
      <c r="B38" s="5">
        <f>IF(A38&gt;=(Title_RESULTS!$H$7+Title_RESULTS!$C$17),0,(IF($A38&gt;=Title_RESULTS!$H$8,(Partcipation!$B37+(Partcipation!$B38-Partcipation!$B37)/2)*Title_RESULTS!$C$35*(1+Title_RESULTS!$C$36/100)^('Sheet7(F_23)'!$A38-Title_RESULTS!$H$7),0)))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IF(A38&gt;=(Title_RESULTS!$H$7+Title_RESULTS!$C$17),0,(+'Sheet6(p_6)'!$J38))</f>
        <v>0</v>
      </c>
      <c r="E38" s="5">
        <f>IF(A38&gt;=(Title_RESULTS!$H$7+Title_RESULTS!$C$17),0,(+'f-11B'!$N37))</f>
        <v>0</v>
      </c>
      <c r="F38" s="5">
        <f>IF(A38&gt;=(Title_RESULTS!$H$7+Title_RESULTS!$C$17),0,(SUM(B38:E38)))</f>
        <v>0</v>
      </c>
      <c r="G38" s="5">
        <f>IF(A38&gt;=(Title_RESULTS!$H$7+Title_RESULTS!$C$17),0,('Sheet3(F_21)'!$J38))</f>
        <v>25.27234988019269</v>
      </c>
      <c r="H38" s="5">
        <f>IF(A38&gt;=(Title_RESULTS!$H$7+Title_RESULTS!$C$17),0,(+'Sheet4(F_22)'!$D38+'Sheet4(F_22)'!$G38))</f>
        <v>16.23685862196937</v>
      </c>
      <c r="I38" s="5">
        <f>IF(A38&gt;=(Title_RESULTS!$H$7+Title_RESULTS!$C$17),0,(+'Sheet4(F_22)'!$H38))</f>
        <v>154.60965324471792</v>
      </c>
      <c r="J38" s="5">
        <f>IF(A38&gt;=(Title_RESULTS!$H$7+Title_RESULTS!$C$17),0,(IF(Title_RESULTS!$C$31&lt;0,((Partcipation!$B37+(Partcipation!$B38-Partcipation!$B37)/2)*(ABS(Title_RESULTS!$C$31)*(1+Title_RESULTS!$C$32/100)^('Sheet7(F_23)'!$A38-Title_RESULTS!$H$7))/1000)+'f-11B'!$O37,+'f-11B'!$O37)))</f>
        <v>0</v>
      </c>
      <c r="K38" s="5">
        <f>IF(A38&gt;=(Title_RESULTS!$H$7+Title_RESULTS!$C$17),0,(SUM(G38:J38)))</f>
        <v>196.11886174688</v>
      </c>
      <c r="L38" s="23">
        <f>IF(A38&gt;=(Title_RESULTS!$H$7+Title_RESULTS!$C$17),0,(+$K38-$F38))</f>
        <v>196.11886174688</v>
      </c>
      <c r="M38" s="23">
        <f>IF(A38&gt;=(Title_RESULTS!$H$7+Title_RESULTS!$C$17),0,(+M37+$L38/(1+Title_RESULTS!$C$37)^('Sheet7(F_23)'!$A38-Title_RESULTS!$H$7)))</f>
        <v>138.39996091480398</v>
      </c>
    </row>
    <row r="39" spans="1:13" ht="12.75">
      <c r="A39">
        <f t="shared" si="0"/>
        <v>2043</v>
      </c>
      <c r="B39" s="5">
        <f>IF(A39&gt;=(Title_RESULTS!$H$7+Title_RESULTS!$C$17),0,(IF($A39&gt;=Title_RESULTS!$H$8,(Partcipation!$B38+(Partcipation!$B39-Partcipation!$B38)/2)*Title_RESULTS!$C$35*(1+Title_RESULTS!$C$36/100)^('Sheet7(F_23)'!$A39-Title_RESULTS!$H$7),0)))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IF(A39&gt;=(Title_RESULTS!$H$7+Title_RESULTS!$C$17),0,(+'Sheet6(p_6)'!$J39))</f>
        <v>0</v>
      </c>
      <c r="E39" s="5">
        <f>IF(A39&gt;=(Title_RESULTS!$H$7+Title_RESULTS!$C$17),0,(+'f-11B'!$N38))</f>
        <v>0</v>
      </c>
      <c r="F39" s="5">
        <f>IF(A39&gt;=(Title_RESULTS!$H$7+Title_RESULTS!$C$17),0,(SUM(B39:E39)))</f>
        <v>0</v>
      </c>
      <c r="G39" s="5">
        <f>IF(A39&gt;=(Title_RESULTS!$H$7+Title_RESULTS!$C$17),0,('Sheet3(F_21)'!$J39))</f>
        <v>25.308607238336467</v>
      </c>
      <c r="H39" s="5">
        <f>IF(A39&gt;=(Title_RESULTS!$H$7+Title_RESULTS!$C$17),0,(+'Sheet4(F_22)'!$D39+'Sheet4(F_22)'!$G39))</f>
        <v>16.39175215751772</v>
      </c>
      <c r="I39" s="5">
        <f>IF(A39&gt;=(Title_RESULTS!$H$7+Title_RESULTS!$C$17),0,(+'Sheet4(F_22)'!$H39))</f>
        <v>158.27979604132807</v>
      </c>
      <c r="J39" s="5">
        <f>IF(A39&gt;=(Title_RESULTS!$H$7+Title_RESULTS!$C$17),0,(IF(Title_RESULTS!$C$31&lt;0,((Partcipation!$B38+(Partcipation!$B39-Partcipation!$B38)/2)*(ABS(Title_RESULTS!$C$31)*(1+Title_RESULTS!$C$32/100)^('Sheet7(F_23)'!$A39-Title_RESULTS!$H$7))/1000)+'f-11B'!$O38,+'f-11B'!$O38)))</f>
        <v>0</v>
      </c>
      <c r="K39" s="5">
        <f>IF(A39&gt;=(Title_RESULTS!$H$7+Title_RESULTS!$C$17),0,(SUM(G39:J39)))</f>
        <v>199.98015543718225</v>
      </c>
      <c r="L39" s="23">
        <f>IF(A39&gt;=(Title_RESULTS!$H$7+Title_RESULTS!$C$17),0,(+$K39-$F39))</f>
        <v>199.98015543718225</v>
      </c>
      <c r="M39" s="23">
        <f>IF(A39&gt;=(Title_RESULTS!$H$7+Title_RESULTS!$C$17),0,(+M38+$L39/(1+Title_RESULTS!$C$37)^('Sheet7(F_23)'!$A39-Title_RESULTS!$H$7)))</f>
        <v>179.8661920137732</v>
      </c>
    </row>
    <row r="40" spans="1:13" ht="12.75">
      <c r="A40">
        <f t="shared" si="0"/>
        <v>2044</v>
      </c>
      <c r="B40" s="5">
        <f>IF(A40&gt;=(Title_RESULTS!$H$7+Title_RESULTS!$C$17),0,(IF($A40&gt;=Title_RESULTS!$H$8,(Partcipation!$B39+(Partcipation!$B40-Partcipation!$B39)/2)*Title_RESULTS!$C$35*(1+Title_RESULTS!$C$36/100)^('Sheet7(F_23)'!$A40-Title_RESULTS!$H$7),0)))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IF(A40&gt;=(Title_RESULTS!$H$7+Title_RESULTS!$C$17),0,(+'Sheet6(p_6)'!$J40))</f>
        <v>0</v>
      </c>
      <c r="E40" s="5">
        <f>IF(A40&gt;=(Title_RESULTS!$H$7+Title_RESULTS!$C$17),0,(+'f-11B'!$N39))</f>
        <v>0</v>
      </c>
      <c r="F40" s="5">
        <f>IF(A40&gt;=(Title_RESULTS!$H$7+Title_RESULTS!$C$17),0,(SUM(B40:E40)))</f>
        <v>0</v>
      </c>
      <c r="G40" s="5">
        <f>IF(A40&gt;=(Title_RESULTS!$H$7+Title_RESULTS!$C$17),0,('Sheet3(F_21)'!$J40))</f>
        <v>26.348652491792357</v>
      </c>
      <c r="H40" s="5">
        <f>IF(A40&gt;=(Title_RESULTS!$H$7+Title_RESULTS!$C$17),0,(+'Sheet4(F_22)'!$D40+'Sheet4(F_22)'!$G40))</f>
        <v>16.553642083109736</v>
      </c>
      <c r="I40" s="5">
        <f>IF(A40&gt;=(Title_RESULTS!$H$7+Title_RESULTS!$C$17),0,(+'Sheet4(F_22)'!$H40))</f>
        <v>152.18787766979543</v>
      </c>
      <c r="J40" s="5">
        <f>IF(A40&gt;=(Title_RESULTS!$H$7+Title_RESULTS!$C$17),0,(IF(Title_RESULTS!$C$31&lt;0,((Partcipation!$B39+(Partcipation!$B40-Partcipation!$B39)/2)*(ABS(Title_RESULTS!$C$31)*(1+Title_RESULTS!$C$32/100)^('Sheet7(F_23)'!$A40-Title_RESULTS!$H$7))/1000)+'f-11B'!$O39,+'f-11B'!$O39)))</f>
        <v>0</v>
      </c>
      <c r="K40" s="5">
        <f>IF(A40&gt;=(Title_RESULTS!$H$7+Title_RESULTS!$C$17),0,(SUM(G40:J40)))</f>
        <v>195.09017224469753</v>
      </c>
      <c r="L40" s="23">
        <f>IF(A40&gt;=(Title_RESULTS!$H$7+Title_RESULTS!$C$17),0,(+$K40-$F40))</f>
        <v>195.09017224469753</v>
      </c>
      <c r="M40" s="23">
        <f>IF(A40&gt;=(Title_RESULTS!$H$7+Title_RESULTS!$C$17),0,(+M39+$L40/(1+Title_RESULTS!$C$37)^('Sheet7(F_23)'!$A40-Title_RESULTS!$H$7)))</f>
        <v>217.64382054076114</v>
      </c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L42">SUM(B16:B41)</f>
        <v>0</v>
      </c>
      <c r="C42" s="5">
        <f t="shared" si="1"/>
        <v>168.99167999999997</v>
      </c>
      <c r="D42" s="5">
        <f t="shared" si="1"/>
        <v>1105.03044</v>
      </c>
      <c r="E42" s="5">
        <f t="shared" si="1"/>
        <v>0</v>
      </c>
      <c r="F42" s="5">
        <f t="shared" si="1"/>
        <v>1274.0221199999999</v>
      </c>
      <c r="G42" s="5">
        <f t="shared" si="1"/>
        <v>605.7878340395068</v>
      </c>
      <c r="H42" s="5">
        <f t="shared" si="1"/>
        <v>361.6111114046262</v>
      </c>
      <c r="I42" s="5">
        <f t="shared" si="1"/>
        <v>2442.101553836915</v>
      </c>
      <c r="J42" s="5">
        <f t="shared" si="1"/>
        <v>0</v>
      </c>
      <c r="K42" s="5">
        <f t="shared" si="1"/>
        <v>3409.5004992810477</v>
      </c>
      <c r="L42" s="5">
        <f t="shared" si="1"/>
        <v>2135.478379281048</v>
      </c>
      <c r="M42" s="5"/>
    </row>
    <row r="43" spans="2:13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t="s">
        <v>118</v>
      </c>
      <c r="B44" s="5">
        <f>NPV(Title_RESULTS!$C$37,'Sheet7(F_23)'!B17:B41)+'Sheet7(F_23)'!B16</f>
        <v>0</v>
      </c>
      <c r="C44" s="5">
        <f>NPV(Title_RESULTS!$C$37,'Sheet7(F_23)'!C17:C41)+'Sheet7(F_23)'!C16</f>
        <v>157.89362936030426</v>
      </c>
      <c r="D44" s="5">
        <f>NPV(Title_RESULTS!$C$37,'Sheet7(F_23)'!D17:D41)+'Sheet7(F_23)'!D16</f>
        <v>1032.5066836870035</v>
      </c>
      <c r="E44" s="5">
        <f>NPV(Title_RESULTS!$C$37,'Sheet7(F_23)'!E17:E41)+'Sheet7(F_23)'!E16</f>
        <v>0</v>
      </c>
      <c r="F44" s="5">
        <f>NPV(Title_RESULTS!$C$37,'Sheet7(F_23)'!F17:F41)+'Sheet7(F_23)'!F16</f>
        <v>1190.4003130473077</v>
      </c>
      <c r="G44" s="5">
        <f>NPV(Title_RESULTS!$C$37,'Sheet7(F_23)'!G17:G41)+'Sheet7(F_23)'!G16</f>
        <v>273.2675449338638</v>
      </c>
      <c r="H44" s="5">
        <f>NPV(Title_RESULTS!$C$37,'Sheet7(F_23)'!H17:H41)+'Sheet7(F_23)'!H16</f>
        <v>163.83704253419788</v>
      </c>
      <c r="I44" s="5">
        <f>NPV(Title_RESULTS!$C$37,'Sheet7(F_23)'!I17:I41)+'Sheet7(F_23)'!I16</f>
        <v>970.9395461200066</v>
      </c>
      <c r="J44" s="5">
        <f>NPV(Title_RESULTS!$C$37,'Sheet7(F_23)'!J17:J41)+'Sheet7(F_23)'!J16</f>
        <v>0</v>
      </c>
      <c r="K44" s="5">
        <f>NPV(Title_RESULTS!$C$37,'Sheet7(F_23)'!K17:K41)+'Sheet7(F_23)'!K16</f>
        <v>1408.0441335880682</v>
      </c>
      <c r="L44" s="5">
        <f>NPV(Title_RESULTS!$C$37,'Sheet7(F_23)'!L17:L41)+'Sheet7(F_23)'!L16</f>
        <v>217.64382054076066</v>
      </c>
      <c r="M44" s="5"/>
    </row>
    <row r="46" spans="1:8" ht="12.75">
      <c r="A46" t="s">
        <v>162</v>
      </c>
      <c r="C46">
        <f>+Title_RESULTS!C37</f>
        <v>0.0708</v>
      </c>
      <c r="D46" t="s">
        <v>163</v>
      </c>
      <c r="H46" s="10">
        <f>+K44/F44</f>
        <v>1.1828324624542594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Windows</v>
      </c>
      <c r="L2" t="s">
        <v>55</v>
      </c>
    </row>
    <row r="3" ht="12.75">
      <c r="L3" s="35">
        <f>+Title_RESULTS!I4</f>
        <v>43599.32883784722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24.16832290083351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263.67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287.83832290083353</v>
      </c>
      <c r="G16" s="5">
        <f>IF(A16&gt;=(Title_RESULTS!$H$7+Title_RESULTS!$C$17),0,(+'Sheet6(p_6)'!$H16))</f>
        <v>360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360</v>
      </c>
      <c r="K16" s="23">
        <f>IF(A16&gt;=(Title_RESULTS!$H$7+Title_RESULTS!$C$17),0,(+F16-J16))</f>
        <v>-72.16167709916647</v>
      </c>
      <c r="L16" s="23">
        <f>IF(A16&gt;=(Title_RESULTS!$H$7+Title_RESULTS!$C$17),0,(+$K16/((1+Title_RESULTS!$C$37)^('Sheet8(F_24)'!$A16-Title_RESULTS!$H$7))))</f>
        <v>-72.16167709916647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74.02277047575204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263.67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337.69277047575207</v>
      </c>
      <c r="G17" s="5">
        <f>IF(A17&gt;=(Title_RESULTS!$H$7+Title_RESULTS!$C$17),0,(+'Sheet6(p_6)'!$H17))</f>
        <v>368.28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368.28</v>
      </c>
      <c r="K17" s="23">
        <f>IF(A17&gt;=(Title_RESULTS!$H$7+Title_RESULTS!$C$17),0,(+F17-J17))</f>
        <v>-30.587229524247903</v>
      </c>
      <c r="L17" s="23">
        <f>IF(A16&gt;=(Title_RESULTS!$H$7+Title_RESULTS!$C$17),0,(+$K17/((1+Title_RESULTS!$C$37)^('Sheet8(F_24)'!$A17-Title_RESULTS!$H$7))+L16))</f>
        <v>-100.72651602730235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125.59303631008876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263.67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389.26303631008875</v>
      </c>
      <c r="G18" s="5">
        <f>IF(A18&gt;=(Title_RESULTS!$H$7+Title_RESULTS!$C$17),0,(+'Sheet6(p_6)'!$H18))</f>
        <v>376.7504399999999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376.7504399999999</v>
      </c>
      <c r="K18" s="23">
        <f>IF(A18&gt;=(Title_RESULTS!$H$7+Title_RESULTS!$C$17),0,(+F18-J18))</f>
        <v>12.512596310088838</v>
      </c>
      <c r="L18" s="23">
        <f>IF(A17&gt;=(Title_RESULTS!$H$7+Title_RESULTS!$C$17),0,(+$K18/((1+Title_RESULTS!$C$37)^('Sheet8(F_24)'!$A18-Title_RESULTS!$H$7))+L17))</f>
        <v>-89.81385391842412</v>
      </c>
      <c r="M18" s="5"/>
    </row>
    <row r="19" spans="1:13" ht="12.75">
      <c r="A19">
        <f aca="true" t="shared" si="0" ref="A19:A40">+A18+1</f>
        <v>2023</v>
      </c>
      <c r="B19" s="5">
        <f>IF(A19&gt;=(Title_RESULTS!$H$7+Title_RESULTS!$C$17),0,(+'Sheet6(p_6)'!N19-'Sheet6(p_6)'!R19))</f>
        <v>151.38514316263533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151.38514316263533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151.38514316263533</v>
      </c>
      <c r="L19" s="23">
        <f>IF(A18&gt;=(Title_RESULTS!$H$7+Title_RESULTS!$C$17),0,(+$K19/((1+Title_RESULTS!$C$37)^('Sheet8(F_24)'!$A19-Title_RESULTS!$H$7))+L18))</f>
        <v>33.4847525923866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155.02166722477682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155.02166722477682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155.02166722477682</v>
      </c>
      <c r="L20" s="23">
        <f>IF(A19&gt;=(Title_RESULTS!$H$7+Title_RESULTS!$C$17),0,(+$K20/((1+Title_RESULTS!$C$37)^('Sheet8(F_24)'!$A20-Title_RESULTS!$H$7))+L19))</f>
        <v>151.39700981840113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158.84755083438796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158.84755083438796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158.84755083438796</v>
      </c>
      <c r="L21" s="23">
        <f>IF(A20&gt;=(Title_RESULTS!$H$7+Title_RESULTS!$C$17),0,(+$K21/((1+Title_RESULTS!$C$37)^('Sheet8(F_24)'!$A21-Title_RESULTS!$H$7))+L20))</f>
        <v>264.23067888662746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162.22374287411984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162.22374287411984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162.22374287411984</v>
      </c>
      <c r="L22" s="23">
        <f>IF(A21&gt;=(Title_RESULTS!$H$7+Title_RESULTS!$C$17),0,(+$K22/((1+Title_RESULTS!$C$37)^('Sheet8(F_24)'!$A22-Title_RESULTS!$H$7))+L21))</f>
        <v>371.8435558792023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166.43971963457648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166.43971963457648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166.43971963457648</v>
      </c>
      <c r="L23" s="23">
        <f>IF(A22&gt;=(Title_RESULTS!$H$7+Title_RESULTS!$C$17),0,(+$K23/((1+Title_RESULTS!$C$37)^('Sheet8(F_24)'!$A23-Title_RESULTS!$H$7))+L22))</f>
        <v>474.9529982052858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172.86285726652878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172.86285726652878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172.86285726652878</v>
      </c>
      <c r="L24" s="23">
        <f>IF(A23&gt;=(Title_RESULTS!$H$7+Title_RESULTS!$C$17),0,(+$K24/((1+Title_RESULTS!$C$37)^('Sheet8(F_24)'!$A24-Title_RESULTS!$H$7))+L23))</f>
        <v>574.9610085516141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177.1100723702006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177.1100723702006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177.1100723702006</v>
      </c>
      <c r="L25" s="23">
        <f>IF(A24&gt;=(Title_RESULTS!$H$7+Title_RESULTS!$C$17),0,(+$K25/((1+Title_RESULTS!$C$37)^('Sheet8(F_24)'!$A25-Title_RESULTS!$H$7))+L24))</f>
        <v>670.651326560441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184.02349202766743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184.02349202766743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184.02349202766743</v>
      </c>
      <c r="L26" s="23">
        <f>IF(A25&gt;=(Title_RESULTS!$H$7+Title_RESULTS!$C$17),0,(+$K26/((1+Title_RESULTS!$C$37)^('Sheet8(F_24)'!$A26-Title_RESULTS!$H$7))+L25))</f>
        <v>763.5029801485626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187.58728872349457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187.58728872349457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187.58728872349457</v>
      </c>
      <c r="L27" s="23">
        <f>IF(A26&gt;=(Title_RESULTS!$H$7+Title_RESULTS!$C$17),0,(+$K27/((1+Title_RESULTS!$C$37)^('Sheet8(F_24)'!$A27-Title_RESULTS!$H$7))+L26))</f>
        <v>851.894666341919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193.93305013427099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193.93305013427099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193.93305013427099</v>
      </c>
      <c r="L28" s="23">
        <f>IF(A27&gt;=(Title_RESULTS!$H$7+Title_RESULTS!$C$17),0,(+$K28/((1+Title_RESULTS!$C$37)^('Sheet8(F_24)'!$A28-Title_RESULTS!$H$7))+L27))</f>
        <v>937.2344382601971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196.72907561688538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196.72907561688538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196.72907561688538</v>
      </c>
      <c r="L29" s="23">
        <f>IF(A28&gt;=(Title_RESULTS!$H$7+Title_RESULTS!$C$17),0,(+$K29/((1+Title_RESULTS!$C$37)^('Sheet8(F_24)'!$A29-Title_RESULTS!$H$7))+L28))</f>
        <v>1018.0806805107763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203.16275831823702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203.16275831823702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203.16275831823702</v>
      </c>
      <c r="L30" s="23">
        <f>IF(A29&gt;=(Title_RESULTS!$H$7+Title_RESULTS!$C$17),0,(+$K30/((1+Title_RESULTS!$C$37)^('Sheet8(F_24)'!$A30-Title_RESULTS!$H$7))+L29))</f>
        <v>1096.050589153065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207.9594673490997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207.9594673490997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207.9594673490997</v>
      </c>
      <c r="L31" s="23">
        <f>IF(A30&gt;=(Title_RESULTS!$H$7+Title_RESULTS!$C$17),0,(+$K31/((1+Title_RESULTS!$C$37)^('Sheet8(F_24)'!$A31-Title_RESULTS!$H$7))+L30))</f>
        <v>1170.584388293185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212.1306226894097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212.1306226894097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212.1306226894097</v>
      </c>
      <c r="L32" s="23">
        <f>IF(A31&gt;=(Title_RESULTS!$H$7+Title_RESULTS!$C$17),0,(+$K32/((1+Title_RESULTS!$C$37)^('Sheet8(F_24)'!$A32-Title_RESULTS!$H$7))+L31))</f>
        <v>1241.5862222488477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218.46411771215196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218.46411771215196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218.46411771215196</v>
      </c>
      <c r="L33" s="23">
        <f>IF(A32&gt;=(Title_RESULTS!$H$7+Title_RESULTS!$C$17),0,(+$K33/((1+Title_RESULTS!$C$37)^('Sheet8(F_24)'!$A33-Title_RESULTS!$H$7))+L32))</f>
        <v>1309.873209482805</v>
      </c>
      <c r="M33" s="5"/>
    </row>
    <row r="34" spans="1:13" ht="12.75">
      <c r="A34">
        <f t="shared" si="0"/>
        <v>2038</v>
      </c>
      <c r="B34" s="5">
        <f>IF(A34&gt;=(Title_RESULTS!$H$7+Title_RESULTS!$C$17),0,(+'Sheet6(p_6)'!N34-'Sheet6(p_6)'!R34))</f>
        <v>221.9586689050276</v>
      </c>
      <c r="C34" s="5">
        <f>IF(A34&gt;=(Title_RESULTS!$H$7+Title_RESULTS!$C$17),0,(IF(Partcipation!$B34=0,0,((Partcipation!$B34-Partcipation!$B33)*Title_RESULTS!$C$33*(1+Title_RESULTS!$C$35/100)^('Sheet8(F_24)'!$A34-Title_RESULTS!$H$7))/1000)))</f>
        <v>0</v>
      </c>
      <c r="D34" s="5">
        <f>IF(A34&gt;=(Title_RESULTS!$H$7+Title_RESULTS!$C$17),0,(+'Sheet6(p_6)'!$G34))</f>
        <v>0</v>
      </c>
      <c r="E34" s="5">
        <f>IF(A34&gt;=(Title_RESULTS!$H$7+Title_RESULTS!$C$17),0,(IF(Title_RESULTS!$C$31&lt;0,((Partcipation!$B33+(Partcipation!$B34-Partcipation!$B33)/2)*(ABS(Title_RESULTS!$C$31)*(1+Title_RESULTS!$C$32/100)^('Sheet6(p_6)'!$A34-Title_RESULTS!$H$7))/1000)+'f-11B'!$Q33,+'f-11B'!$Q33)))</f>
        <v>0</v>
      </c>
      <c r="F34" s="5">
        <f>IF(A34&gt;=(Title_RESULTS!$H$7+Title_RESULTS!$C$17),0,(SUM(B34:E34)))</f>
        <v>221.9586689050276</v>
      </c>
      <c r="G34" s="5">
        <f>IF(A34&gt;=(Title_RESULTS!$H$7+Title_RESULTS!$C$17),0,(+'Sheet6(p_6)'!$H34))</f>
        <v>0</v>
      </c>
      <c r="H34" s="5">
        <f>IF(A34&gt;=(Title_RESULTS!$H$7+Title_RESULTS!$C$17),0,(+'Sheet6(p_6)'!$I34))</f>
        <v>0</v>
      </c>
      <c r="I34" s="5">
        <f>IF(A34&gt;=(Title_RESULTS!$H$7+Title_RESULTS!$C$17),0,(+'f-11B'!$P33))</f>
        <v>0</v>
      </c>
      <c r="J34" s="5">
        <f>IF(A34&gt;=(Title_RESULTS!$H$7+Title_RESULTS!$C$17),0,(SUM(G34:I34)))</f>
        <v>0</v>
      </c>
      <c r="K34" s="23">
        <f>IF(A34&gt;=(Title_RESULTS!$H$7+Title_RESULTS!$C$17),0,(+F34-J34))</f>
        <v>221.9586689050276</v>
      </c>
      <c r="L34" s="23">
        <f>IF(A33&gt;=(Title_RESULTS!$H$7+Title_RESULTS!$C$17),0,(+$K34/((1+Title_RESULTS!$C$37)^('Sheet8(F_24)'!$A34-Title_RESULTS!$H$7))+L33))</f>
        <v>1374.665239386659</v>
      </c>
      <c r="M34" s="5"/>
    </row>
    <row r="35" spans="1:13" ht="12.75">
      <c r="A35">
        <f t="shared" si="0"/>
        <v>2039</v>
      </c>
      <c r="B35" s="5">
        <f>IF(A35&gt;=(Title_RESULTS!$H$7+Title_RESULTS!$C$17),0,(+'Sheet6(p_6)'!N35-'Sheet6(p_6)'!R35))</f>
        <v>226.98148719839628</v>
      </c>
      <c r="C35" s="5">
        <f>IF(A35&gt;=(Title_RESULTS!$H$7+Title_RESULTS!$C$17),0,(IF(Partcipation!$B35=0,0,((Partcipation!$B35-Partcipation!$B34)*Title_RESULTS!$C$33*(1+Title_RESULTS!$C$35/100)^('Sheet8(F_24)'!$A35-Title_RESULTS!$H$7))/1000)))</f>
        <v>0</v>
      </c>
      <c r="D35" s="5">
        <f>IF(A35&gt;=(Title_RESULTS!$H$7+Title_RESULTS!$C$17),0,(+'Sheet6(p_6)'!$G35))</f>
        <v>0</v>
      </c>
      <c r="E35" s="5">
        <f>IF(A35&gt;=(Title_RESULTS!$H$7+Title_RESULTS!$C$17),0,(IF(Title_RESULTS!$C$31&lt;0,((Partcipation!$B34+(Partcipation!$B35-Partcipation!$B34)/2)*(ABS(Title_RESULTS!$C$31)*(1+Title_RESULTS!$C$32/100)^('Sheet6(p_6)'!$A35-Title_RESULTS!$H$7))/1000)+'f-11B'!$Q34,+'f-11B'!$Q34)))</f>
        <v>0</v>
      </c>
      <c r="F35" s="5">
        <f>IF(A35&gt;=(Title_RESULTS!$H$7+Title_RESULTS!$C$17),0,(SUM(B35:E35)))</f>
        <v>226.98148719839628</v>
      </c>
      <c r="G35" s="5">
        <f>IF(A35&gt;=(Title_RESULTS!$H$7+Title_RESULTS!$C$17),0,(+'Sheet6(p_6)'!$H35))</f>
        <v>0</v>
      </c>
      <c r="H35" s="5">
        <f>IF(A35&gt;=(Title_RESULTS!$H$7+Title_RESULTS!$C$17),0,(+'Sheet6(p_6)'!$I35))</f>
        <v>0</v>
      </c>
      <c r="I35" s="5">
        <f>IF(A35&gt;=(Title_RESULTS!$H$7+Title_RESULTS!$C$17),0,(+'f-11B'!$P34))</f>
        <v>0</v>
      </c>
      <c r="J35" s="5">
        <f>IF(A35&gt;=(Title_RESULTS!$H$7+Title_RESULTS!$C$17),0,(SUM(G35:I35)))</f>
        <v>0</v>
      </c>
      <c r="K35" s="23">
        <f>IF(A35&gt;=(Title_RESULTS!$H$7+Title_RESULTS!$C$17),0,(+F35-J35))</f>
        <v>226.98148719839628</v>
      </c>
      <c r="L35" s="23">
        <f>IF(A34&gt;=(Title_RESULTS!$H$7+Title_RESULTS!$C$17),0,(+$K35/((1+Title_RESULTS!$C$37)^('Sheet8(F_24)'!$A35-Title_RESULTS!$H$7))+L34))</f>
        <v>1436.5425670725042</v>
      </c>
      <c r="M35" s="5"/>
    </row>
    <row r="36" spans="1:13" ht="12.75">
      <c r="A36">
        <f t="shared" si="0"/>
        <v>2040</v>
      </c>
      <c r="B36" s="5">
        <f>IF(A36&gt;=(Title_RESULTS!$H$7+Title_RESULTS!$C$17),0,(+'Sheet6(p_6)'!N36-'Sheet6(p_6)'!R36))</f>
        <v>229.40548403731123</v>
      </c>
      <c r="C36" s="5">
        <f>IF(A36&gt;=(Title_RESULTS!$H$7+Title_RESULTS!$C$17),0,(IF(Partcipation!$B36=0,0,((Partcipation!$B36-Partcipation!$B35)*Title_RESULTS!$C$33*(1+Title_RESULTS!$C$35/100)^('Sheet8(F_24)'!$A36-Title_RESULTS!$H$7))/1000)))</f>
        <v>0</v>
      </c>
      <c r="D36" s="5">
        <f>IF(A36&gt;=(Title_RESULTS!$H$7+Title_RESULTS!$C$17),0,(+'Sheet6(p_6)'!$G36))</f>
        <v>0</v>
      </c>
      <c r="E36" s="5">
        <f>IF(A36&gt;=(Title_RESULTS!$H$7+Title_RESULTS!$C$17),0,(IF(Title_RESULTS!$C$31&lt;0,((Partcipation!$B35+(Partcipation!$B36-Partcipation!$B35)/2)*(ABS(Title_RESULTS!$C$31)*(1+Title_RESULTS!$C$32/100)^('Sheet6(p_6)'!$A36-Title_RESULTS!$H$7))/1000)+'f-11B'!$Q35,+'f-11B'!$Q35)))</f>
        <v>0</v>
      </c>
      <c r="F36" s="5">
        <f>IF(A36&gt;=(Title_RESULTS!$H$7+Title_RESULTS!$C$17),0,(SUM(B36:E36)))</f>
        <v>229.40548403731123</v>
      </c>
      <c r="G36" s="5">
        <f>IF(A36&gt;=(Title_RESULTS!$H$7+Title_RESULTS!$C$17),0,(+'Sheet6(p_6)'!$H36))</f>
        <v>0</v>
      </c>
      <c r="H36" s="5">
        <f>IF(A36&gt;=(Title_RESULTS!$H$7+Title_RESULTS!$C$17),0,(+'Sheet6(p_6)'!$I36))</f>
        <v>0</v>
      </c>
      <c r="I36" s="5">
        <f>IF(A36&gt;=(Title_RESULTS!$H$7+Title_RESULTS!$C$17),0,(+'f-11B'!$P35))</f>
        <v>0</v>
      </c>
      <c r="J36" s="5">
        <f>IF(A36&gt;=(Title_RESULTS!$H$7+Title_RESULTS!$C$17),0,(SUM(G36:I36)))</f>
        <v>0</v>
      </c>
      <c r="K36" s="23">
        <f>IF(A36&gt;=(Title_RESULTS!$H$7+Title_RESULTS!$C$17),0,(+F36-J36))</f>
        <v>229.40548403731123</v>
      </c>
      <c r="L36" s="23">
        <f>IF(A35&gt;=(Title_RESULTS!$H$7+Title_RESULTS!$C$17),0,(+$K36/((1+Title_RESULTS!$C$37)^('Sheet8(F_24)'!$A36-Title_RESULTS!$H$7))+L35))</f>
        <v>1494.945753889661</v>
      </c>
      <c r="M36" s="5"/>
    </row>
    <row r="37" spans="1:13" ht="12.75">
      <c r="A37">
        <f t="shared" si="0"/>
        <v>2041</v>
      </c>
      <c r="B37" s="5">
        <f>IF(A37&gt;=(Title_RESULTS!$H$7+Title_RESULTS!$C$17),0,(+'Sheet6(p_6)'!N37-'Sheet6(p_6)'!R37))</f>
        <v>235.8212499315519</v>
      </c>
      <c r="C37" s="5">
        <f>IF(A37&gt;=(Title_RESULTS!$H$7+Title_RESULTS!$C$17),0,(IF(Partcipation!$B37=0,0,((Partcipation!$B37-Partcipation!$B36)*Title_RESULTS!$C$33*(1+Title_RESULTS!$C$35/100)^('Sheet8(F_24)'!$A37-Title_RESULTS!$H$7))/1000)))</f>
        <v>0</v>
      </c>
      <c r="D37" s="5">
        <f>IF(A37&gt;=(Title_RESULTS!$H$7+Title_RESULTS!$C$17),0,(+'Sheet6(p_6)'!$G37))</f>
        <v>0</v>
      </c>
      <c r="E37" s="5">
        <f>IF(A37&gt;=(Title_RESULTS!$H$7+Title_RESULTS!$C$17),0,(IF(Title_RESULTS!$C$31&lt;0,((Partcipation!$B36+(Partcipation!$B37-Partcipation!$B36)/2)*(ABS(Title_RESULTS!$C$31)*(1+Title_RESULTS!$C$32/100)^('Sheet6(p_6)'!$A37-Title_RESULTS!$H$7))/1000)+'f-11B'!$Q36,+'f-11B'!$Q36)))</f>
        <v>0</v>
      </c>
      <c r="F37" s="5">
        <f>IF(A37&gt;=(Title_RESULTS!$H$7+Title_RESULTS!$C$17),0,(SUM(B37:E37)))</f>
        <v>235.8212499315519</v>
      </c>
      <c r="G37" s="5">
        <f>IF(A37&gt;=(Title_RESULTS!$H$7+Title_RESULTS!$C$17),0,(+'Sheet6(p_6)'!$H37))</f>
        <v>0</v>
      </c>
      <c r="H37" s="5">
        <f>IF(A37&gt;=(Title_RESULTS!$H$7+Title_RESULTS!$C$17),0,(+'Sheet6(p_6)'!$I37))</f>
        <v>0</v>
      </c>
      <c r="I37" s="5">
        <f>IF(A37&gt;=(Title_RESULTS!$H$7+Title_RESULTS!$C$17),0,(+'f-11B'!$P36))</f>
        <v>0</v>
      </c>
      <c r="J37" s="5">
        <f>IF(A37&gt;=(Title_RESULTS!$H$7+Title_RESULTS!$C$17),0,(SUM(G37:I37)))</f>
        <v>0</v>
      </c>
      <c r="K37" s="23">
        <f>IF(A37&gt;=(Title_RESULTS!$H$7+Title_RESULTS!$C$17),0,(+F37-J37))</f>
        <v>235.8212499315519</v>
      </c>
      <c r="L37" s="23">
        <f>IF(A36&gt;=(Title_RESULTS!$H$7+Title_RESULTS!$C$17),0,(+$K37/((1+Title_RESULTS!$C$37)^('Sheet8(F_24)'!$A37-Title_RESULTS!$H$7))+L36))</f>
        <v>1551.0127545846522</v>
      </c>
      <c r="M37" s="5"/>
    </row>
    <row r="38" spans="1:13" ht="12.75">
      <c r="A38">
        <f t="shared" si="0"/>
        <v>2042</v>
      </c>
      <c r="B38" s="5">
        <f>IF(A38&gt;=(Title_RESULTS!$H$7+Title_RESULTS!$C$17),0,(+'Sheet6(p_6)'!N38-'Sheet6(p_6)'!R38))</f>
        <v>242.20521915716807</v>
      </c>
      <c r="C38" s="5">
        <f>IF(A38&gt;=(Title_RESULTS!$H$7+Title_RESULTS!$C$17),0,(IF(Partcipation!$B38=0,0,((Partcipation!$B38-Partcipation!$B37)*Title_RESULTS!$C$33*(1+Title_RESULTS!$C$35/100)^('Sheet8(F_24)'!$A38-Title_RESULTS!$H$7))/1000)))</f>
        <v>0</v>
      </c>
      <c r="D38" s="5">
        <f>IF(A38&gt;=(Title_RESULTS!$H$7+Title_RESULTS!$C$17),0,(+'Sheet6(p_6)'!$G38))</f>
        <v>0</v>
      </c>
      <c r="E38" s="5">
        <f>IF(A38&gt;=(Title_RESULTS!$H$7+Title_RESULTS!$C$17),0,(IF(Title_RESULTS!$C$31&lt;0,((Partcipation!$B37+(Partcipation!$B38-Partcipation!$B37)/2)*(ABS(Title_RESULTS!$C$31)*(1+Title_RESULTS!$C$32/100)^('Sheet6(p_6)'!$A38-Title_RESULTS!$H$7))/1000)+'f-11B'!$Q37,+'f-11B'!$Q37)))</f>
        <v>0</v>
      </c>
      <c r="F38" s="5">
        <f>IF(A38&gt;=(Title_RESULTS!$H$7+Title_RESULTS!$C$17),0,(SUM(B38:E38)))</f>
        <v>242.20521915716807</v>
      </c>
      <c r="G38" s="5">
        <f>IF(A38&gt;=(Title_RESULTS!$H$7+Title_RESULTS!$C$17),0,(+'Sheet6(p_6)'!$H38))</f>
        <v>0</v>
      </c>
      <c r="H38" s="5">
        <f>IF(A38&gt;=(Title_RESULTS!$H$7+Title_RESULTS!$C$17),0,(+'Sheet6(p_6)'!$I38))</f>
        <v>0</v>
      </c>
      <c r="I38" s="5">
        <f>IF(A38&gt;=(Title_RESULTS!$H$7+Title_RESULTS!$C$17),0,(+'f-11B'!$P37))</f>
        <v>0</v>
      </c>
      <c r="J38" s="5">
        <f>IF(A38&gt;=(Title_RESULTS!$H$7+Title_RESULTS!$C$17),0,(SUM(G38:I38)))</f>
        <v>0</v>
      </c>
      <c r="K38" s="23">
        <f>IF(A38&gt;=(Title_RESULTS!$H$7+Title_RESULTS!$C$17),0,(+F38-J38))</f>
        <v>242.20521915716807</v>
      </c>
      <c r="L38" s="23">
        <f>IF(A37&gt;=(Title_RESULTS!$H$7+Title_RESULTS!$C$17),0,(+$K38/((1+Title_RESULTS!$C$37)^('Sheet8(F_24)'!$A38-Title_RESULTS!$H$7))+L37))</f>
        <v>1604.7901199881153</v>
      </c>
      <c r="M38" s="5"/>
    </row>
    <row r="39" spans="1:13" ht="12.75">
      <c r="A39">
        <f t="shared" si="0"/>
        <v>2043</v>
      </c>
      <c r="B39" s="5">
        <f>IF(A39&gt;=(Title_RESULTS!$H$7+Title_RESULTS!$C$17),0,(+'Sheet6(p_6)'!N39-'Sheet6(p_6)'!R39))</f>
        <v>246.77922126739912</v>
      </c>
      <c r="C39" s="5">
        <f>IF(A39&gt;=(Title_RESULTS!$H$7+Title_RESULTS!$C$17),0,(IF(Partcipation!$B39=0,0,((Partcipation!$B39-Partcipation!$B38)*Title_RESULTS!$C$33*(1+Title_RESULTS!$C$35/100)^('Sheet8(F_24)'!$A39-Title_RESULTS!$H$7))/1000)))</f>
        <v>0</v>
      </c>
      <c r="D39" s="5">
        <f>IF(A39&gt;=(Title_RESULTS!$H$7+Title_RESULTS!$C$17),0,(+'Sheet6(p_6)'!$G39))</f>
        <v>0</v>
      </c>
      <c r="E39" s="5">
        <f>IF(A39&gt;=(Title_RESULTS!$H$7+Title_RESULTS!$C$17),0,(IF(Title_RESULTS!$C$31&lt;0,((Partcipation!$B38+(Partcipation!$B39-Partcipation!$B38)/2)*(ABS(Title_RESULTS!$C$31)*(1+Title_RESULTS!$C$32/100)^('Sheet6(p_6)'!$A39-Title_RESULTS!$H$7))/1000)+'f-11B'!$Q38,+'f-11B'!$Q38)))</f>
        <v>0</v>
      </c>
      <c r="F39" s="5">
        <f>IF(A39&gt;=(Title_RESULTS!$H$7+Title_RESULTS!$C$17),0,(SUM(B39:E39)))</f>
        <v>246.77922126739912</v>
      </c>
      <c r="G39" s="5">
        <f>IF(A39&gt;=(Title_RESULTS!$H$7+Title_RESULTS!$C$17),0,(+'Sheet6(p_6)'!$H39))</f>
        <v>0</v>
      </c>
      <c r="H39" s="5">
        <f>IF(A39&gt;=(Title_RESULTS!$H$7+Title_RESULTS!$C$17),0,(+'Sheet6(p_6)'!$I39))</f>
        <v>0</v>
      </c>
      <c r="I39" s="5">
        <f>IF(A39&gt;=(Title_RESULTS!$H$7+Title_RESULTS!$C$17),0,(+'f-11B'!$P38))</f>
        <v>0</v>
      </c>
      <c r="J39" s="5">
        <f>IF(A39&gt;=(Title_RESULTS!$H$7+Title_RESULTS!$C$17),0,(SUM(G39:I39)))</f>
        <v>0</v>
      </c>
      <c r="K39" s="23">
        <f>IF(A39&gt;=(Title_RESULTS!$H$7+Title_RESULTS!$C$17),0,(+F39-J39))</f>
        <v>246.77922126739912</v>
      </c>
      <c r="L39" s="23">
        <f>IF(A38&gt;=(Title_RESULTS!$H$7+Title_RESULTS!$C$17),0,(+$K39/((1+Title_RESULTS!$C$37)^('Sheet8(F_24)'!$A39-Title_RESULTS!$H$7))+L38))</f>
        <v>1655.9602183267577</v>
      </c>
      <c r="M39" s="5"/>
    </row>
    <row r="40" spans="1:13" ht="12.75">
      <c r="A40">
        <f t="shared" si="0"/>
        <v>2044</v>
      </c>
      <c r="B40" s="5">
        <f>IF(A40&gt;=(Title_RESULTS!$H$7+Title_RESULTS!$C$17),0,(+'Sheet6(p_6)'!N40-'Sheet6(p_6)'!R40))</f>
        <v>246.34281679960802</v>
      </c>
      <c r="C40" s="5">
        <f>IF(A40&gt;=(Title_RESULTS!$H$7+Title_RESULTS!$C$17),0,(IF(Partcipation!$B40=0,0,((Partcipation!$B40-Partcipation!$B39)*Title_RESULTS!$C$33*(1+Title_RESULTS!$C$35/100)^('Sheet8(F_24)'!$A40-Title_RESULTS!$H$7))/1000)))</f>
        <v>0</v>
      </c>
      <c r="D40" s="5">
        <f>IF(A40&gt;=(Title_RESULTS!$H$7+Title_RESULTS!$C$17),0,(+'Sheet6(p_6)'!$G40))</f>
        <v>0</v>
      </c>
      <c r="E40" s="5">
        <f>IF(A40&gt;=(Title_RESULTS!$H$7+Title_RESULTS!$C$17),0,(IF(Title_RESULTS!$C$31&lt;0,((Partcipation!$B39+(Partcipation!$B40-Partcipation!$B39)/2)*(ABS(Title_RESULTS!$C$31)*(1+Title_RESULTS!$C$32/100)^('Sheet6(p_6)'!$A40-Title_RESULTS!$H$7))/1000)+'f-11B'!$Q39,+'f-11B'!$Q39)))</f>
        <v>0</v>
      </c>
      <c r="F40" s="5">
        <f>IF(A40&gt;=(Title_RESULTS!$H$7+Title_RESULTS!$C$17),0,(SUM(B40:E40)))</f>
        <v>246.34281679960802</v>
      </c>
      <c r="G40" s="5">
        <f>IF(A40&gt;=(Title_RESULTS!$H$7+Title_RESULTS!$C$17),0,(+'Sheet6(p_6)'!$H40))</f>
        <v>0</v>
      </c>
      <c r="H40" s="5">
        <f>IF(A40&gt;=(Title_RESULTS!$H$7+Title_RESULTS!$C$17),0,(+'Sheet6(p_6)'!$I40))</f>
        <v>0</v>
      </c>
      <c r="I40" s="5">
        <f>IF(A40&gt;=(Title_RESULTS!$H$7+Title_RESULTS!$C$17),0,(+'f-11B'!$P39))</f>
        <v>0</v>
      </c>
      <c r="J40" s="5">
        <f>IF(A40&gt;=(Title_RESULTS!$H$7+Title_RESULTS!$C$17),0,(SUM(G40:I40)))</f>
        <v>0</v>
      </c>
      <c r="K40" s="23">
        <f>IF(A40&gt;=(Title_RESULTS!$H$7+Title_RESULTS!$C$17),0,(+F40-J40))</f>
        <v>246.34281679960802</v>
      </c>
      <c r="L40" s="23">
        <f>IF(A39&gt;=(Title_RESULTS!$H$7+Title_RESULTS!$C$17),0,(+$K40/((1+Title_RESULTS!$C$37)^('Sheet8(F_24)'!$A40-Title_RESULTS!$H$7))+L39))</f>
        <v>1703.6625055115514</v>
      </c>
      <c r="M40" s="5"/>
    </row>
    <row r="41" spans="2:13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t="s">
        <v>87</v>
      </c>
      <c r="B42" s="5">
        <f aca="true" t="shared" si="1" ref="B42:K42">SUM(B16:B41)</f>
        <v>4621.158902921579</v>
      </c>
      <c r="C42" s="5">
        <f t="shared" si="1"/>
        <v>0</v>
      </c>
      <c r="D42" s="5">
        <f t="shared" si="1"/>
        <v>791.01</v>
      </c>
      <c r="E42" s="5">
        <f t="shared" si="1"/>
        <v>0</v>
      </c>
      <c r="F42" s="5">
        <f t="shared" si="1"/>
        <v>5412.16890292158</v>
      </c>
      <c r="G42" s="5">
        <f t="shared" si="1"/>
        <v>1105.03044</v>
      </c>
      <c r="H42" s="5">
        <f t="shared" si="1"/>
        <v>0</v>
      </c>
      <c r="I42" s="5">
        <f t="shared" si="1"/>
        <v>0</v>
      </c>
      <c r="J42" s="5">
        <f t="shared" si="1"/>
        <v>1105.03044</v>
      </c>
      <c r="K42" s="5">
        <f t="shared" si="1"/>
        <v>4307.138462921579</v>
      </c>
      <c r="L42" s="5"/>
      <c r="M42" s="5"/>
    </row>
    <row r="43" ht="12.75">
      <c r="M43" s="5"/>
    </row>
    <row r="44" spans="1:13" ht="12.75">
      <c r="A44" t="s">
        <v>118</v>
      </c>
      <c r="B44" s="5">
        <f>NPV(Title_RESULTS!$C$37,'Sheet8(F_24)'!B17:B41)+'Sheet8(F_24)'!B16</f>
        <v>1996.3071283819215</v>
      </c>
      <c r="C44" s="5">
        <f>NPV(Title_RESULTS!$C$37,'Sheet8(F_24)'!C17:C41)+'Sheet8(F_24)'!C16</f>
        <v>0</v>
      </c>
      <c r="D44" s="5">
        <f>NPV(Title_RESULTS!$C$37,'Sheet8(F_24)'!D17:D41)+'Sheet8(F_24)'!D16</f>
        <v>739.862060816633</v>
      </c>
      <c r="E44" s="5">
        <f>NPV(Title_RESULTS!$C$37,'Sheet8(F_24)'!E17:E41)+'Sheet8(F_24)'!E16</f>
        <v>0</v>
      </c>
      <c r="F44" s="5">
        <f>NPV(Title_RESULTS!$C$37,'Sheet8(F_24)'!F17:F41)+'Sheet8(F_24)'!F16</f>
        <v>2736.1691891985547</v>
      </c>
      <c r="G44" s="5">
        <f>NPV(Title_RESULTS!$C$37,'Sheet8(F_24)'!G17:G41)+'Sheet8(F_24)'!G16</f>
        <v>1032.5066836870035</v>
      </c>
      <c r="H44" s="5">
        <f>NPV(Title_RESULTS!$C$37,'Sheet8(F_24)'!H17:H41)+'Sheet8(F_24)'!H16</f>
        <v>0</v>
      </c>
      <c r="I44" s="5">
        <f>NPV(Title_RESULTS!$C$37,'Sheet8(F_24)'!I17:I41)+'Sheet8(F_24)'!I16</f>
        <v>0</v>
      </c>
      <c r="J44" s="5">
        <f>NPV(Title_RESULTS!$C$37,'Sheet8(F_24)'!J17:J41)+'Sheet8(F_24)'!J16</f>
        <v>1032.5066836870035</v>
      </c>
      <c r="K44" s="5">
        <f>NPV(Title_RESULTS!$C$37,'Sheet8(F_24)'!K17:K41)+'Sheet8(F_24)'!K16</f>
        <v>1703.662505511551</v>
      </c>
      <c r="L44" s="5"/>
      <c r="M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1" ht="12.75">
      <c r="A46" t="s">
        <v>174</v>
      </c>
      <c r="D46">
        <f>+Title_RESULTS!H8</f>
        <v>2023</v>
      </c>
      <c r="F46">
        <f>+F44/J44</f>
        <v>2.650025643832058</v>
      </c>
      <c r="K46" s="10"/>
    </row>
    <row r="47" spans="1:10" ht="12.75">
      <c r="A47" t="s">
        <v>175</v>
      </c>
      <c r="D47">
        <f>+Title_RESULTS!C37</f>
        <v>0.0708</v>
      </c>
      <c r="J4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Windows</v>
      </c>
      <c r="N2" t="s">
        <v>55</v>
      </c>
    </row>
    <row r="3" ht="12.75">
      <c r="N3" s="35">
        <f>+Title_RESULTS!I4</f>
        <v>43599.32883784722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55</v>
      </c>
      <c r="D16" s="5">
        <f>IF(A16&gt;=(Title_RESULTS!$H$7+Title_RESULTS!$C$17),0,(+'Sheet6(p_6)'!$G16))</f>
        <v>263.67</v>
      </c>
      <c r="E16" s="5">
        <f>+'Sheet6(p_6)'!M16</f>
        <v>17.1391606977</v>
      </c>
      <c r="F16">
        <f>IF(A16&gt;=(Title_RESULTS!$H$7+Title_RESULTS!$C$17),0,(+'f-11B'!$R15))</f>
        <v>0</v>
      </c>
      <c r="G16" s="5">
        <f>IF(A16&gt;=(Title_RESULTS!$H$7+Title_RESULTS!$C$17),0,(SUM(B16:F16)))</f>
        <v>335.8091606977</v>
      </c>
      <c r="H16" s="5">
        <f>IF(A16&gt;=(Title_RESULTS!$H$7+Title_RESULTS!$C$17),0,(+'Sheet3(F_21)'!$J16+'Sheet4(F_22)'!$H16))</f>
        <v>8.871682108299277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8.871682108299277</v>
      </c>
      <c r="M16" s="23">
        <f>IF(A16&gt;=(Title_RESULTS!$H$7+Title_RESULTS!$C$17),0,(+L16-G16))</f>
        <v>-326.9374785894007</v>
      </c>
      <c r="N16" s="24">
        <f>IF(A16&gt;=(Title_RESULTS!$H$7+Title_RESULTS!$C$17),0,(+$M16/((1+Title_RESULTS!$C$37)^('Sheet9(F_25)'!$A16-Title_RESULTS!$H$7))))</f>
        <v>-326.9374785894007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56.32</v>
      </c>
      <c r="D17" s="5">
        <f>IF(A17&gt;=(Title_RESULTS!$H$7+Title_RESULTS!$C$17),0,(+'Sheet6(p_6)'!$G17))</f>
        <v>263.67</v>
      </c>
      <c r="E17" s="5">
        <f>+'Sheet6(p_6)'!M17</f>
        <v>51.931656914031</v>
      </c>
      <c r="F17">
        <f>IF(A17&gt;=(Title_RESULTS!$H$7+Title_RESULTS!$C$17),0,(+'f-11B'!$R16))</f>
        <v>0</v>
      </c>
      <c r="G17" s="5">
        <f>IF(A17&gt;=(Title_RESULTS!$H$7+Title_RESULTS!$C$17),0,(SUM(B17:F17)))</f>
        <v>371.921656914031</v>
      </c>
      <c r="H17" s="5">
        <f>IF(A17&gt;=(Title_RESULTS!$H$7+Title_RESULTS!$C$17),0,(+'Sheet3(F_21)'!$J17+'Sheet4(F_22)'!$H17))</f>
        <v>26.39856344533608</v>
      </c>
      <c r="I17" s="5">
        <f>IF(A17&gt;=(Title_RESULTS!$H$7+Title_RESULTS!$C$17),0,(+'Sheet4(F_22)'!$D17+'Sheet4(F_22)'!$G17))</f>
        <v>7.381632848386475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33.780196293722554</v>
      </c>
      <c r="M17" s="23">
        <f>IF(A17&gt;=(Title_RESULTS!$H$7+Title_RESULTS!$C$17),0,(+L17-G17))</f>
        <v>-338.14146062030846</v>
      </c>
      <c r="N17" s="24">
        <f>(IF(A16&gt;=(Title_RESULTS!$H$7+Title_RESULTS!$C$17),0,(+$M17/((1+Title_RESULTS!$C$37)^('Sheet9(F_25)'!$A17-Title_RESULTS!$H$7))+N16)))</f>
        <v>-642.7214350895019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57.671679999999995</v>
      </c>
      <c r="D18" s="5">
        <f>IF(A18&gt;=(Title_RESULTS!$H$7+Title_RESULTS!$C$17),0,(+'Sheet6(p_6)'!$G18))</f>
        <v>263.67</v>
      </c>
      <c r="E18" s="5">
        <f>+'Sheet6(p_6)'!M18</f>
        <v>87.41828913861886</v>
      </c>
      <c r="F18">
        <f>IF(A18&gt;=(Title_RESULTS!$H$7+Title_RESULTS!$C$17),0,(+'f-11B'!$R17))</f>
        <v>0</v>
      </c>
      <c r="G18" s="5">
        <f>IF(A18&gt;=(Title_RESULTS!$H$7+Title_RESULTS!$C$17),0,(SUM(B18:F18)))</f>
        <v>408.7599691386189</v>
      </c>
      <c r="H18" s="5">
        <f>IF(A18&gt;=(Title_RESULTS!$H$7+Title_RESULTS!$C$17),0,(+'Sheet3(F_21)'!$J18+'Sheet4(F_22)'!$H18))</f>
        <v>45.4084739919511</v>
      </c>
      <c r="I18" s="5">
        <f>IF(A18&gt;=(Title_RESULTS!$H$7+Title_RESULTS!$C$17),0,(+'Sheet4(F_22)'!$D18+'Sheet4(F_22)'!$G18))</f>
        <v>7.558792036747748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52.967266028698845</v>
      </c>
      <c r="M18" s="23">
        <f>IF(A18&gt;=(Title_RESULTS!$H$7+Title_RESULTS!$C$17),0,(+L18-G18))</f>
        <v>-355.79270310992</v>
      </c>
      <c r="N18" s="24">
        <f>(IF(A17&gt;=(Title_RESULTS!$H$7+Title_RESULTS!$C$17),0,(+$M18/((1+Title_RESULTS!$C$37)^('Sheet9(F_25)'!$A18-Title_RESULTS!$H$7))+N17)))</f>
        <v>-953.0203893291134</v>
      </c>
    </row>
    <row r="19" spans="1:14" ht="12.75">
      <c r="A19">
        <f aca="true" t="shared" si="0" ref="A19:A4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105.95096643600603</v>
      </c>
      <c r="F19">
        <f>IF(A19&gt;=(Title_RESULTS!$H$7+Title_RESULTS!$C$17),0,(+'f-11B'!$R18))</f>
        <v>0</v>
      </c>
      <c r="G19" s="5">
        <f>IF(A19&gt;=(Title_RESULTS!$H$7+Title_RESULTS!$C$17),0,(SUM(B19:F19)))</f>
        <v>105.95096643600603</v>
      </c>
      <c r="H19" s="5">
        <f>IF(A19&gt;=(Title_RESULTS!$H$7+Title_RESULTS!$C$17),0,(+'Sheet3(F_21)'!$J19+'Sheet4(F_22)'!$H19))</f>
        <v>89.21269165211791</v>
      </c>
      <c r="I19" s="5">
        <f>IF(A19&gt;=(Title_RESULTS!$H$7+Title_RESULTS!$C$17),0,(+'Sheet4(F_22)'!$D19+'Sheet4(F_22)'!$G19))</f>
        <v>15.783077650771892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104.9957693028898</v>
      </c>
      <c r="M19" s="23">
        <f>IF(A19&gt;=(Title_RESULTS!$H$7+Title_RESULTS!$C$17),0,(+L19-G19))</f>
        <v>-0.9551971331162292</v>
      </c>
      <c r="N19" s="24">
        <f>(IF(A18&gt;=(Title_RESULTS!$H$7+Title_RESULTS!$C$17),0,(+$M19/((1+Title_RESULTS!$C$37)^('Sheet9(F_25)'!$A19-Title_RESULTS!$H$7))+N18)))</f>
        <v>-953.7983684160693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107.0104761003661</v>
      </c>
      <c r="F20">
        <f>IF(A20&gt;=(Title_RESULTS!$H$7+Title_RESULTS!$C$17),0,(+'f-11B'!$R19))</f>
        <v>0</v>
      </c>
      <c r="G20" s="5">
        <f>IF(A20&gt;=(Title_RESULTS!$H$7+Title_RESULTS!$C$17),0,(SUM(B20:F20)))</f>
        <v>107.0104761003661</v>
      </c>
      <c r="H20" s="5">
        <f>IF(A20&gt;=(Title_RESULTS!$H$7+Title_RESULTS!$C$17),0,(+'Sheet3(F_21)'!$J20+'Sheet4(F_22)'!$H20))</f>
        <v>90.83928521471589</v>
      </c>
      <c r="I20" s="5">
        <f>IF(A20&gt;=(Title_RESULTS!$H$7+Title_RESULTS!$C$17),0,(+'Sheet4(F_22)'!$D20+'Sheet4(F_22)'!$G20))</f>
        <v>15.731337368804002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106.57062258351989</v>
      </c>
      <c r="M20" s="23">
        <f>IF(A20&gt;=(Title_RESULTS!$H$7+Title_RESULTS!$C$17),0,(+L20-G20))</f>
        <v>-0.4398535168462132</v>
      </c>
      <c r="N20" s="24">
        <f>(IF(A19&gt;=(Title_RESULTS!$H$7+Title_RESULTS!$C$17),0,(+$M20/((1+Title_RESULTS!$C$37)^('Sheet9(F_25)'!$A20-Title_RESULTS!$H$7))+N19)))</f>
        <v>-954.132928880736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108.08058086136975</v>
      </c>
      <c r="F21">
        <f>IF(A21&gt;=(Title_RESULTS!$H$7+Title_RESULTS!$C$17),0,(+'f-11B'!$R20))</f>
        <v>0</v>
      </c>
      <c r="G21" s="5">
        <f>IF(A21&gt;=(Title_RESULTS!$H$7+Title_RESULTS!$C$17),0,(SUM(B21:F21)))</f>
        <v>108.08058086136975</v>
      </c>
      <c r="H21" s="5">
        <f>IF(A21&gt;=(Title_RESULTS!$H$7+Title_RESULTS!$C$17),0,(+'Sheet3(F_21)'!$J21+'Sheet4(F_22)'!$H21))</f>
        <v>94.54970336320469</v>
      </c>
      <c r="I21" s="5">
        <f>IF(A21&gt;=(Title_RESULTS!$H$7+Title_RESULTS!$C$17),0,(+'Sheet4(F_22)'!$D21+'Sheet4(F_22)'!$G21))</f>
        <v>15.659356639810397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110.20906000301508</v>
      </c>
      <c r="M21" s="23">
        <f>IF(A21&gt;=(Title_RESULTS!$H$7+Title_RESULTS!$C$17),0,(+L21-G21))</f>
        <v>2.128479141645329</v>
      </c>
      <c r="N21" s="24">
        <f>(IF(A20&gt;=(Title_RESULTS!$H$7+Title_RESULTS!$C$17),0,(+$M21/((1+Title_RESULTS!$C$37)^('Sheet9(F_25)'!$A21-Title_RESULTS!$H$7))+N20)))</f>
        <v>-952.6210131487936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109.16138666998347</v>
      </c>
      <c r="F22">
        <f>IF(A22&gt;=(Title_RESULTS!$H$7+Title_RESULTS!$C$17),0,(+'f-11B'!$R21))</f>
        <v>0</v>
      </c>
      <c r="G22" s="5">
        <f>IF(A22&gt;=(Title_RESULTS!$H$7+Title_RESULTS!$C$17),0,(SUM(B22:F22)))</f>
        <v>109.16138666998347</v>
      </c>
      <c r="H22" s="5">
        <f>IF(A22&gt;=(Title_RESULTS!$H$7+Title_RESULTS!$C$17),0,(+'Sheet3(F_21)'!$J22+'Sheet4(F_22)'!$H22))</f>
        <v>96.06331129890805</v>
      </c>
      <c r="I22" s="5">
        <f>IF(A22&gt;=(Title_RESULTS!$H$7+Title_RESULTS!$C$17),0,(+'Sheet4(F_22)'!$D22+'Sheet4(F_22)'!$G22))</f>
        <v>15.604499392615129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111.66781069152317</v>
      </c>
      <c r="M22" s="23">
        <f>IF(A22&gt;=(Title_RESULTS!$H$7+Title_RESULTS!$C$17),0,(+L22-G22))</f>
        <v>2.5064240215397007</v>
      </c>
      <c r="N22" s="24">
        <f>(IF(A21&gt;=(Title_RESULTS!$H$7+Title_RESULTS!$C$17),0,(+$M22/((1+Title_RESULTS!$C$37)^('Sheet9(F_25)'!$A22-Title_RESULTS!$H$7))+N21)))</f>
        <v>-950.9583496253014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110.25300053668327</v>
      </c>
      <c r="F23">
        <f>IF(A23&gt;=(Title_RESULTS!$H$7+Title_RESULTS!$C$17),0,(+'f-11B'!$R22))</f>
        <v>0</v>
      </c>
      <c r="G23" s="5">
        <f>IF(A23&gt;=(Title_RESULTS!$H$7+Title_RESULTS!$C$17),0,(SUM(B23:F23)))</f>
        <v>110.25300053668327</v>
      </c>
      <c r="H23" s="5">
        <f>IF(A23&gt;=(Title_RESULTS!$H$7+Title_RESULTS!$C$17),0,(+'Sheet3(F_21)'!$J23+'Sheet4(F_22)'!$H23))</f>
        <v>99.57198044406516</v>
      </c>
      <c r="I23" s="5">
        <f>IF(A23&gt;=(Title_RESULTS!$H$7+Title_RESULTS!$C$17),0,(+'Sheet4(F_22)'!$D23+'Sheet4(F_22)'!$G23))</f>
        <v>15.565615904666213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115.13759634873138</v>
      </c>
      <c r="M23" s="23">
        <f>IF(A23&gt;=(Title_RESULTS!$H$7+Title_RESULTS!$C$17),0,(+L23-G23))</f>
        <v>4.884595812048104</v>
      </c>
      <c r="N23" s="24">
        <f>(IF(A22&gt;=(Title_RESULTS!$H$7+Title_RESULTS!$C$17),0,(+$M23/((1+Title_RESULTS!$C$37)^('Sheet9(F_25)'!$A23-Title_RESULTS!$H$7))+N22)))</f>
        <v>-947.9323414628604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111.35553054205015</v>
      </c>
      <c r="F24">
        <f>IF(A24&gt;=(Title_RESULTS!$H$7+Title_RESULTS!$C$17),0,(+'f-11B'!$R23))</f>
        <v>0</v>
      </c>
      <c r="G24" s="5">
        <f>IF(A24&gt;=(Title_RESULTS!$H$7+Title_RESULTS!$C$17),0,(SUM(B24:F24)))</f>
        <v>111.35553054205015</v>
      </c>
      <c r="H24" s="5">
        <f>IF(A24&gt;=(Title_RESULTS!$H$7+Title_RESULTS!$C$17),0,(+'Sheet3(F_21)'!$J24+'Sheet4(F_22)'!$H24))</f>
        <v>106.2463448781014</v>
      </c>
      <c r="I24" s="5">
        <f>IF(A24&gt;=(Title_RESULTS!$H$7+Title_RESULTS!$C$17),0,(+'Sheet4(F_22)'!$D24+'Sheet4(F_22)'!$G24))</f>
        <v>15.541698231249013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121.78804310935041</v>
      </c>
      <c r="M24" s="23">
        <f>IF(A24&gt;=(Title_RESULTS!$H$7+Title_RESULTS!$C$17),0,(+L24-G24))</f>
        <v>10.432512567300265</v>
      </c>
      <c r="N24" s="24">
        <f>(IF(A23&gt;=(Title_RESULTS!$H$7+Title_RESULTS!$C$17),0,(+$M24/((1+Title_RESULTS!$C$37)^('Sheet9(F_25)'!$A24-Title_RESULTS!$H$7))+N23)))</f>
        <v>-941.8967196915502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112.46908584747065</v>
      </c>
      <c r="F25">
        <f>IF(A25&gt;=(Title_RESULTS!$H$7+Title_RESULTS!$C$17),0,(+'f-11B'!$R24))</f>
        <v>0</v>
      </c>
      <c r="G25" s="5">
        <f>IF(A25&gt;=(Title_RESULTS!$H$7+Title_RESULTS!$C$17),0,(SUM(B25:F25)))</f>
        <v>112.46908584747065</v>
      </c>
      <c r="H25" s="5">
        <f>IF(A25&gt;=(Title_RESULTS!$H$7+Title_RESULTS!$C$17),0,(+'Sheet3(F_21)'!$J25+'Sheet4(F_22)'!$H25))</f>
        <v>111.2337561022662</v>
      </c>
      <c r="I25" s="5">
        <f>IF(A25&gt;=(Title_RESULTS!$H$7+Title_RESULTS!$C$17),0,(+'Sheet4(F_22)'!$D25+'Sheet4(F_22)'!$G25))</f>
        <v>15.529786088316664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126.76354219058287</v>
      </c>
      <c r="M25" s="23">
        <f>IF(A25&gt;=(Title_RESULTS!$H$7+Title_RESULTS!$C$17),0,(+L25-G25))</f>
        <v>14.294456343112216</v>
      </c>
      <c r="N25" s="24">
        <f>(IF(A24&gt;=(Title_RESULTS!$H$7+Title_RESULTS!$C$17),0,(+$M25/((1+Title_RESULTS!$C$37)^('Sheet9(F_25)'!$A25-Title_RESULTS!$H$7))+N24)))</f>
        <v>-934.1736068559538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113.59377670594536</v>
      </c>
      <c r="F26">
        <f>IF(A26&gt;=(Title_RESULTS!$H$7+Title_RESULTS!$C$17),0,(+'f-11B'!$R25))</f>
        <v>0</v>
      </c>
      <c r="G26" s="5">
        <f>IF(A26&gt;=(Title_RESULTS!$H$7+Title_RESULTS!$C$17),0,(SUM(B26:F26)))</f>
        <v>113.59377670594536</v>
      </c>
      <c r="H26" s="5">
        <f>IF(A26&gt;=(Title_RESULTS!$H$7+Title_RESULTS!$C$17),0,(+'Sheet3(F_21)'!$J26+'Sheet4(F_22)'!$H26))</f>
        <v>120.06143256747268</v>
      </c>
      <c r="I26" s="5">
        <f>IF(A26&gt;=(Title_RESULTS!$H$7+Title_RESULTS!$C$17),0,(+'Sheet4(F_22)'!$D26+'Sheet4(F_22)'!$G26))</f>
        <v>15.525168681993804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135.58660124946647</v>
      </c>
      <c r="M26" s="23">
        <f>IF(A26&gt;=(Title_RESULTS!$H$7+Title_RESULTS!$C$17),0,(+L26-G26))</f>
        <v>21.99282454352111</v>
      </c>
      <c r="N26" s="24">
        <f>(IF(A25&gt;=(Title_RESULTS!$H$7+Title_RESULTS!$C$17),0,(+$M26/((1+Title_RESULTS!$C$37)^('Sheet9(F_25)'!$A26-Title_RESULTS!$H$7))+N25)))</f>
        <v>-923.0768164220872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114.72971447300479</v>
      </c>
      <c r="F27">
        <f>IF(A27&gt;=(Title_RESULTS!$H$7+Title_RESULTS!$C$17),0,(+'f-11B'!$R26))</f>
        <v>0</v>
      </c>
      <c r="G27" s="5">
        <f>IF(A27&gt;=(Title_RESULTS!$H$7+Title_RESULTS!$C$17),0,(SUM(B27:F27)))</f>
        <v>114.72971447300479</v>
      </c>
      <c r="H27" s="5">
        <f>IF(A27&gt;=(Title_RESULTS!$H$7+Title_RESULTS!$C$17),0,(+'Sheet3(F_21)'!$J27+'Sheet4(F_22)'!$H27))</f>
        <v>119.44980349866327</v>
      </c>
      <c r="I27" s="5">
        <f>IF(A27&gt;=(Title_RESULTS!$H$7+Title_RESULTS!$C$17),0,(+'Sheet4(F_22)'!$D27+'Sheet4(F_22)'!$G27))</f>
        <v>15.52569141127875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134.97549490994203</v>
      </c>
      <c r="M27" s="23">
        <f>IF(A27&gt;=(Title_RESULTS!$H$7+Title_RESULTS!$C$17),0,(+L27-G27))</f>
        <v>20.24578043693724</v>
      </c>
      <c r="N27" s="24">
        <f>(IF(A26&gt;=(Title_RESULTS!$H$7+Title_RESULTS!$C$17),0,(+$M27/((1+Title_RESULTS!$C$37)^('Sheet9(F_25)'!$A27-Title_RESULTS!$H$7))+N26)))</f>
        <v>-913.5369446999729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115.87701161773485</v>
      </c>
      <c r="F28">
        <f>IF(A28&gt;=(Title_RESULTS!$H$7+Title_RESULTS!$C$17),0,(+'f-11B'!$R27))</f>
        <v>0</v>
      </c>
      <c r="G28" s="5">
        <f>IF(A28&gt;=(Title_RESULTS!$H$7+Title_RESULTS!$C$17),0,(SUM(B28:F28)))</f>
        <v>115.87701161773485</v>
      </c>
      <c r="H28" s="5">
        <f>IF(A28&gt;=(Title_RESULTS!$H$7+Title_RESULTS!$C$17),0,(+'Sheet3(F_21)'!$J28+'Sheet4(F_22)'!$H28))</f>
        <v>127.31240643887813</v>
      </c>
      <c r="I28" s="5">
        <f>IF(A28&gt;=(Title_RESULTS!$H$7+Title_RESULTS!$C$17),0,(+'Sheet4(F_22)'!$D28+'Sheet4(F_22)'!$G28))</f>
        <v>15.531477639426086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142.8438840783042</v>
      </c>
      <c r="M28" s="23">
        <f>IF(A28&gt;=(Title_RESULTS!$H$7+Title_RESULTS!$C$17),0,(+L28-G28))</f>
        <v>26.96687246056935</v>
      </c>
      <c r="N28" s="24">
        <f>(IF(A27&gt;=(Title_RESULTS!$H$7+Title_RESULTS!$C$17),0,(+$M28/((1+Title_RESULTS!$C$37)^('Sheet9(F_25)'!$A28-Title_RESULTS!$H$7))+N27)))</f>
        <v>-901.6702373824686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117.0357817339122</v>
      </c>
      <c r="F29">
        <f>IF(A29&gt;=(Title_RESULTS!$H$7+Title_RESULTS!$C$17),0,(+'f-11B'!$R28))</f>
        <v>0</v>
      </c>
      <c r="G29" s="5">
        <f>IF(A29&gt;=(Title_RESULTS!$H$7+Title_RESULTS!$C$17),0,(SUM(B29:F29)))</f>
        <v>117.0357817339122</v>
      </c>
      <c r="H29" s="5">
        <f>IF(A29&gt;=(Title_RESULTS!$H$7+Title_RESULTS!$C$17),0,(+'Sheet3(F_21)'!$J29+'Sheet4(F_22)'!$H29))</f>
        <v>133.7662678336131</v>
      </c>
      <c r="I29" s="5">
        <f>IF(A29&gt;=(Title_RESULTS!$H$7+Title_RESULTS!$C$17),0,(+'Sheet4(F_22)'!$D29+'Sheet4(F_22)'!$G29))</f>
        <v>15.542653690408518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149.30892152402163</v>
      </c>
      <c r="M29" s="23">
        <f>IF(A29&gt;=(Title_RESULTS!$H$7+Title_RESULTS!$C$17),0,(+L29-G29))</f>
        <v>32.273139790109425</v>
      </c>
      <c r="N29" s="24">
        <f>(IF(A28&gt;=(Title_RESULTS!$H$7+Title_RESULTS!$C$17),0,(+$M29/((1+Title_RESULTS!$C$37)^('Sheet9(F_25)'!$A29-Title_RESULTS!$H$7))+N28)))</f>
        <v>-888.4075202702348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118.20613955125134</v>
      </c>
      <c r="F30">
        <f>IF(A30&gt;=(Title_RESULTS!$H$7+Title_RESULTS!$C$17),0,(+'f-11B'!$R29))</f>
        <v>0</v>
      </c>
      <c r="G30" s="5">
        <f>IF(A30&gt;=(Title_RESULTS!$H$7+Title_RESULTS!$C$17),0,(SUM(B30:F30)))</f>
        <v>118.20613955125134</v>
      </c>
      <c r="H30" s="5">
        <f>IF(A30&gt;=(Title_RESULTS!$H$7+Title_RESULTS!$C$17),0,(+'Sheet3(F_21)'!$J30+'Sheet4(F_22)'!$H30))</f>
        <v>138.0380883435931</v>
      </c>
      <c r="I30" s="5">
        <f>IF(A30&gt;=(Title_RESULTS!$H$7+Title_RESULTS!$C$17),0,(+'Sheet4(F_22)'!$D30+'Sheet4(F_22)'!$G30))</f>
        <v>15.559348919974079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153.59743726356717</v>
      </c>
      <c r="M30" s="23">
        <f>IF(A30&gt;=(Title_RESULTS!$H$7+Title_RESULTS!$C$17),0,(+L30-G30))</f>
        <v>35.39129771231583</v>
      </c>
      <c r="N30" s="24">
        <f>(IF(A29&gt;=(Title_RESULTS!$H$7+Title_RESULTS!$C$17),0,(+$M30/((1+Title_RESULTS!$C$37)^('Sheet9(F_25)'!$A30-Title_RESULTS!$H$7))+N29)))</f>
        <v>-874.8250296986171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119.38820094676382</v>
      </c>
      <c r="F31">
        <f>IF(A31&gt;=(Title_RESULTS!$H$7+Title_RESULTS!$C$17),0,(+'f-11B'!$R30))</f>
        <v>0</v>
      </c>
      <c r="G31" s="5">
        <f>IF(A31&gt;=(Title_RESULTS!$H$7+Title_RESULTS!$C$17),0,(SUM(B31:F31)))</f>
        <v>119.38820094676382</v>
      </c>
      <c r="H31" s="5">
        <f>IF(A31&gt;=(Title_RESULTS!$H$7+Title_RESULTS!$C$17),0,(+'Sheet3(F_21)'!$J31+'Sheet4(F_22)'!$H31))</f>
        <v>149.0088571755171</v>
      </c>
      <c r="I31" s="5">
        <f>IF(A31&gt;=(Title_RESULTS!$H$7+Title_RESULTS!$C$17),0,(+'Sheet4(F_22)'!$D31+'Sheet4(F_22)'!$G31))</f>
        <v>15.581695788408767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164.5905529639259</v>
      </c>
      <c r="M31" s="23">
        <f>IF(A31&gt;=(Title_RESULTS!$H$7+Title_RESULTS!$C$17),0,(+L31-G31))</f>
        <v>45.20235201716207</v>
      </c>
      <c r="N31" s="24">
        <f>(IF(A30&gt;=(Title_RESULTS!$H$7+Title_RESULTS!$C$17),0,(+$M31/((1+Title_RESULTS!$C$37)^('Sheet9(F_25)'!$A31-Title_RESULTS!$H$7))+N30)))</f>
        <v>-858.624261977605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120.58208295623149</v>
      </c>
      <c r="F32">
        <f>IF(A32&gt;=(Title_RESULTS!$H$7+Title_RESULTS!$C$17),0,(+'f-11B'!$R31))</f>
        <v>0</v>
      </c>
      <c r="G32" s="5">
        <f>IF(A32&gt;=(Title_RESULTS!$H$7+Title_RESULTS!$C$17),0,(SUM(B32:F32)))</f>
        <v>120.58208295623149</v>
      </c>
      <c r="H32" s="5">
        <f>IF(A32&gt;=(Title_RESULTS!$H$7+Title_RESULTS!$C$17),0,(+'Sheet3(F_21)'!$J32+'Sheet4(F_22)'!$H32))</f>
        <v>147.40377282679836</v>
      </c>
      <c r="I32" s="5">
        <f>IF(A32&gt;=(Title_RESULTS!$H$7+Title_RESULTS!$C$17),0,(+'Sheet4(F_22)'!$D32+'Sheet4(F_22)'!$G32))</f>
        <v>15.609829935045447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163.0136027618438</v>
      </c>
      <c r="M32" s="23">
        <f>IF(A32&gt;=(Title_RESULTS!$H$7+Title_RESULTS!$C$17),0,(+L32-G32))</f>
        <v>42.43151980561231</v>
      </c>
      <c r="N32" s="24">
        <f>(IF(A31&gt;=(Title_RESULTS!$H$7+Title_RESULTS!$C$17),0,(+$M32/((1+Title_RESULTS!$C$37)^('Sheet9(F_25)'!$A32-Title_RESULTS!$H$7))+N31)))</f>
        <v>-844.4220893467559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121.78790378579382</v>
      </c>
      <c r="F33">
        <f>IF(A33&gt;=(Title_RESULTS!$H$7+Title_RESULTS!$C$17),0,(+'f-11B'!$R32))</f>
        <v>0</v>
      </c>
      <c r="G33" s="5">
        <f>IF(A33&gt;=(Title_RESULTS!$H$7+Title_RESULTS!$C$17),0,(SUM(B33:F33)))</f>
        <v>121.78790378579382</v>
      </c>
      <c r="H33" s="5">
        <f>IF(A33&gt;=(Title_RESULTS!$H$7+Title_RESULTS!$C$17),0,(+'Sheet3(F_21)'!$J33+'Sheet4(F_22)'!$H33))</f>
        <v>155.04939781112319</v>
      </c>
      <c r="I33" s="5">
        <f>IF(A33&gt;=(Title_RESULTS!$H$7+Title_RESULTS!$C$17),0,(+'Sheet4(F_22)'!$D33+'Sheet4(F_22)'!$G33))</f>
        <v>15.64389025456096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170.69328806568416</v>
      </c>
      <c r="M33" s="23">
        <f>IF(A33&gt;=(Title_RESULTS!$H$7+Title_RESULTS!$C$17),0,(+L33-G33))</f>
        <v>48.90538427989034</v>
      </c>
      <c r="N33" s="24">
        <f>(IF(A32&gt;=(Title_RESULTS!$H$7+Title_RESULTS!$C$17),0,(+$M33/((1+Title_RESULTS!$C$37)^('Sheet9(F_25)'!$A33-Title_RESULTS!$H$7))+N32)))</f>
        <v>-829.1353622312628</v>
      </c>
    </row>
    <row r="34" spans="1:14" ht="12.75">
      <c r="A34">
        <f t="shared" si="0"/>
        <v>2038</v>
      </c>
      <c r="B34" s="5">
        <f>IF(A34&gt;=(Title_RESULTS!$H$7+Title_RESULTS!$C$17),0,(+'Sheet7(F_23)'!$B34))</f>
        <v>0</v>
      </c>
      <c r="C34" s="5">
        <f>IF(A34&gt;=(Title_RESULTS!$H$7+Title_RESULTS!$C$17),0,(+'Sheet6(p_6)'!$D34))</f>
        <v>0</v>
      </c>
      <c r="D34" s="5">
        <f>IF(A34&gt;=(Title_RESULTS!$H$7+Title_RESULTS!$C$17),0,(+'Sheet6(p_6)'!$G34))</f>
        <v>0</v>
      </c>
      <c r="E34" s="5">
        <f>+'Sheet6(p_6)'!M34</f>
        <v>123.00578282365176</v>
      </c>
      <c r="F34">
        <f>IF(A34&gt;=(Title_RESULTS!$H$7+Title_RESULTS!$C$17),0,(+'f-11B'!$R33))</f>
        <v>0</v>
      </c>
      <c r="G34" s="5">
        <f>IF(A34&gt;=(Title_RESULTS!$H$7+Title_RESULTS!$C$17),0,(SUM(B34:F34)))</f>
        <v>123.00578282365176</v>
      </c>
      <c r="H34" s="5">
        <f>IF(A34&gt;=(Title_RESULTS!$H$7+Title_RESULTS!$C$17),0,(+'Sheet3(F_21)'!$J34+'Sheet4(F_22)'!$H34))</f>
        <v>155.57308623316212</v>
      </c>
      <c r="I34" s="5">
        <f>IF(A34&gt;=(Title_RESULTS!$H$7+Title_RESULTS!$C$17),0,(+'Sheet4(F_22)'!$D34+'Sheet4(F_22)'!$G34))</f>
        <v>15.704564205570014</v>
      </c>
      <c r="J34" s="5">
        <f>IF(A34&gt;=(Title_RESULTS!$H$7+Title_RESULTS!$C$17),0,(+'Sheet6(p_6)'!$R34))</f>
        <v>0</v>
      </c>
      <c r="K34" s="9">
        <f>IF(A34&gt;=(Title_RESULTS!$H$7+Title_RESULTS!$C$17),0,(+'f-11B'!$S33))</f>
        <v>0</v>
      </c>
      <c r="L34" s="5">
        <f>IF(A34&gt;=(Title_RESULTS!$H$7+Title_RESULTS!$C$17),0,(SUM(H34:K34)))</f>
        <v>171.27765043873214</v>
      </c>
      <c r="M34" s="23">
        <f>IF(A34&gt;=(Title_RESULTS!$H$7+Title_RESULTS!$C$17),0,(+L34-G34))</f>
        <v>48.27186761508038</v>
      </c>
      <c r="N34" s="24">
        <f>(IF(A33&gt;=(Title_RESULTS!$H$7+Title_RESULTS!$C$17),0,(+$M34/((1+Title_RESULTS!$C$37)^('Sheet9(F_25)'!$A34-Title_RESULTS!$H$7))+N33)))</f>
        <v>-815.0443050742682</v>
      </c>
    </row>
    <row r="35" spans="1:14" ht="12.75">
      <c r="A35">
        <f t="shared" si="0"/>
        <v>2039</v>
      </c>
      <c r="B35" s="5">
        <f>IF(A35&gt;=(Title_RESULTS!$H$7+Title_RESULTS!$C$17),0,(+'Sheet7(F_23)'!$B35))</f>
        <v>0</v>
      </c>
      <c r="C35" s="5">
        <f>IF(A35&gt;=(Title_RESULTS!$H$7+Title_RESULTS!$C$17),0,(+'Sheet6(p_6)'!$D35))</f>
        <v>0</v>
      </c>
      <c r="D35" s="5">
        <f>IF(A35&gt;=(Title_RESULTS!$H$7+Title_RESULTS!$C$17),0,(+'Sheet6(p_6)'!$G35))</f>
        <v>0</v>
      </c>
      <c r="E35" s="5">
        <f>+'Sheet6(p_6)'!M35</f>
        <v>124.23584065188824</v>
      </c>
      <c r="F35">
        <f>IF(A35&gt;=(Title_RESULTS!$H$7+Title_RESULTS!$C$17),0,(+'f-11B'!$R34))</f>
        <v>0</v>
      </c>
      <c r="G35" s="5">
        <f>IF(A35&gt;=(Title_RESULTS!$H$7+Title_RESULTS!$C$17),0,(SUM(B35:F35)))</f>
        <v>124.23584065188824</v>
      </c>
      <c r="H35" s="5">
        <f>IF(A35&gt;=(Title_RESULTS!$H$7+Title_RESULTS!$C$17),0,(+'Sheet3(F_21)'!$J35+'Sheet4(F_22)'!$H35))</f>
        <v>155.59303509841644</v>
      </c>
      <c r="I35" s="5">
        <f>IF(A35&gt;=(Title_RESULTS!$H$7+Title_RESULTS!$C$17),0,(+'Sheet4(F_22)'!$D35+'Sheet4(F_22)'!$G35))</f>
        <v>15.81253570275333</v>
      </c>
      <c r="J35" s="5">
        <f>IF(A35&gt;=(Title_RESULTS!$H$7+Title_RESULTS!$C$17),0,(+'Sheet6(p_6)'!$R35))</f>
        <v>0</v>
      </c>
      <c r="K35" s="9">
        <f>IF(A35&gt;=(Title_RESULTS!$H$7+Title_RESULTS!$C$17),0,(+'f-11B'!$S34))</f>
        <v>0</v>
      </c>
      <c r="L35" s="5">
        <f>IF(A35&gt;=(Title_RESULTS!$H$7+Title_RESULTS!$C$17),0,(SUM(H35:K35)))</f>
        <v>171.40557080116977</v>
      </c>
      <c r="M35" s="23">
        <f>IF(A35&gt;=(Title_RESULTS!$H$7+Title_RESULTS!$C$17),0,(+L35-G35))</f>
        <v>47.169730149281534</v>
      </c>
      <c r="N35" s="24">
        <f>(IF(A34&gt;=(Title_RESULTS!$H$7+Title_RESULTS!$C$17),0,(+$M35/((1+Title_RESULTS!$C$37)^('Sheet9(F_25)'!$A35-Title_RESULTS!$H$7))+N34)))</f>
        <v>-802.1853847925943</v>
      </c>
    </row>
    <row r="36" spans="1:14" ht="12.75">
      <c r="A36">
        <f t="shared" si="0"/>
        <v>2040</v>
      </c>
      <c r="B36" s="5">
        <f>IF(A36&gt;=(Title_RESULTS!$H$7+Title_RESULTS!$C$17),0,(+'Sheet7(F_23)'!$B36))</f>
        <v>0</v>
      </c>
      <c r="C36" s="5">
        <f>IF(A36&gt;=(Title_RESULTS!$H$7+Title_RESULTS!$C$17),0,(+'Sheet6(p_6)'!$D36))</f>
        <v>0</v>
      </c>
      <c r="D36" s="5">
        <f>IF(A36&gt;=(Title_RESULTS!$H$7+Title_RESULTS!$C$17),0,(+'Sheet6(p_6)'!$G36))</f>
        <v>0</v>
      </c>
      <c r="E36" s="5">
        <f>+'Sheet6(p_6)'!M36</f>
        <v>125.47819905840713</v>
      </c>
      <c r="F36">
        <f>IF(A36&gt;=(Title_RESULTS!$H$7+Title_RESULTS!$C$17),0,(+'f-11B'!$R35))</f>
        <v>0</v>
      </c>
      <c r="G36" s="5">
        <f>IF(A36&gt;=(Title_RESULTS!$H$7+Title_RESULTS!$C$17),0,(SUM(B36:F36)))</f>
        <v>125.47819905840713</v>
      </c>
      <c r="H36" s="5">
        <f>IF(A36&gt;=(Title_RESULTS!$H$7+Title_RESULTS!$C$17),0,(+'Sheet3(F_21)'!$J36+'Sheet4(F_22)'!$H36))</f>
        <v>166.17817935213137</v>
      </c>
      <c r="I36" s="5">
        <f>IF(A36&gt;=(Title_RESULTS!$H$7+Title_RESULTS!$C$17),0,(+'Sheet4(F_22)'!$D36+'Sheet4(F_22)'!$G36))</f>
        <v>15.947408652668946</v>
      </c>
      <c r="J36" s="5">
        <f>IF(A36&gt;=(Title_RESULTS!$H$7+Title_RESULTS!$C$17),0,(+'Sheet6(p_6)'!$R36))</f>
        <v>0</v>
      </c>
      <c r="K36" s="9">
        <f>IF(A36&gt;=(Title_RESULTS!$H$7+Title_RESULTS!$C$17),0,(+'f-11B'!$S35))</f>
        <v>0</v>
      </c>
      <c r="L36" s="5">
        <f>IF(A36&gt;=(Title_RESULTS!$H$7+Title_RESULTS!$C$17),0,(SUM(H36:K36)))</f>
        <v>182.1255880048003</v>
      </c>
      <c r="M36" s="23">
        <f>IF(A36&gt;=(Title_RESULTS!$H$7+Title_RESULTS!$C$17),0,(+L36-G36))</f>
        <v>56.64738894639318</v>
      </c>
      <c r="N36" s="24">
        <f>(IF(A35&gt;=(Title_RESULTS!$H$7+Title_RESULTS!$C$17),0,(+$M36/((1+Title_RESULTS!$C$37)^('Sheet9(F_25)'!$A36-Title_RESULTS!$H$7))+N35)))</f>
        <v>-787.7638113362149</v>
      </c>
    </row>
    <row r="37" spans="1:14" ht="12.75">
      <c r="A37">
        <f t="shared" si="0"/>
        <v>2041</v>
      </c>
      <c r="B37" s="5">
        <f>IF(A37&gt;=(Title_RESULTS!$H$7+Title_RESULTS!$C$17),0,(+'Sheet7(F_23)'!$B37))</f>
        <v>0</v>
      </c>
      <c r="C37" s="5">
        <f>IF(A37&gt;=(Title_RESULTS!$H$7+Title_RESULTS!$C$17),0,(+'Sheet6(p_6)'!$D37))</f>
        <v>0</v>
      </c>
      <c r="D37" s="5">
        <f>IF(A37&gt;=(Title_RESULTS!$H$7+Title_RESULTS!$C$17),0,(+'Sheet6(p_6)'!$G37))</f>
        <v>0</v>
      </c>
      <c r="E37" s="5">
        <f>+'Sheet6(p_6)'!M37</f>
        <v>126.73298104899119</v>
      </c>
      <c r="F37">
        <f>IF(A37&gt;=(Title_RESULTS!$H$7+Title_RESULTS!$C$17),0,(+'f-11B'!$R36))</f>
        <v>0</v>
      </c>
      <c r="G37" s="5">
        <f>IF(A37&gt;=(Title_RESULTS!$H$7+Title_RESULTS!$C$17),0,(SUM(B37:F37)))</f>
        <v>126.73298104899119</v>
      </c>
      <c r="H37" s="5">
        <f>IF(A37&gt;=(Title_RESULTS!$H$7+Title_RESULTS!$C$17),0,(+'Sheet3(F_21)'!$J37+'Sheet4(F_22)'!$H37))</f>
        <v>170.05233163192432</v>
      </c>
      <c r="I37" s="5">
        <f>IF(A37&gt;=(Title_RESULTS!$H$7+Title_RESULTS!$C$17),0,(+'Sheet4(F_22)'!$D37+'Sheet4(F_22)'!$G37))</f>
        <v>16.08879749857305</v>
      </c>
      <c r="J37" s="5">
        <f>IF(A37&gt;=(Title_RESULTS!$H$7+Title_RESULTS!$C$17),0,(+'Sheet6(p_6)'!$R37))</f>
        <v>0</v>
      </c>
      <c r="K37" s="9">
        <f>IF(A37&gt;=(Title_RESULTS!$H$7+Title_RESULTS!$C$17),0,(+'f-11B'!$S36))</f>
        <v>0</v>
      </c>
      <c r="L37" s="5">
        <f>IF(A37&gt;=(Title_RESULTS!$H$7+Title_RESULTS!$C$17),0,(SUM(H37:K37)))</f>
        <v>186.14112913049738</v>
      </c>
      <c r="M37" s="23">
        <f>IF(A37&gt;=(Title_RESULTS!$H$7+Title_RESULTS!$C$17),0,(+L37-G37))</f>
        <v>59.408148081506184</v>
      </c>
      <c r="N37" s="24">
        <f>(IF(A36&gt;=(Title_RESULTS!$H$7+Title_RESULTS!$C$17),0,(+$M37/((1+Title_RESULTS!$C$37)^('Sheet9(F_25)'!$A37-Title_RESULTS!$H$7))+N36)))</f>
        <v>-773.6393985416057</v>
      </c>
    </row>
    <row r="38" spans="1:14" ht="12.75">
      <c r="A38">
        <f t="shared" si="0"/>
        <v>2042</v>
      </c>
      <c r="B38" s="5">
        <f>IF(A38&gt;=(Title_RESULTS!$H$7+Title_RESULTS!$C$17),0,(+'Sheet7(F_23)'!$B38))</f>
        <v>0</v>
      </c>
      <c r="C38" s="5">
        <f>IF(A38&gt;=(Title_RESULTS!$H$7+Title_RESULTS!$C$17),0,(+'Sheet6(p_6)'!$D38))</f>
        <v>0</v>
      </c>
      <c r="D38" s="5">
        <f>IF(A38&gt;=(Title_RESULTS!$H$7+Title_RESULTS!$C$17),0,(+'Sheet6(p_6)'!$G38))</f>
        <v>0</v>
      </c>
      <c r="E38" s="5">
        <f>+'Sheet6(p_6)'!M38</f>
        <v>128.00031085948115</v>
      </c>
      <c r="F38">
        <f>IF(A38&gt;=(Title_RESULTS!$H$7+Title_RESULTS!$C$17),0,(+'f-11B'!$R37))</f>
        <v>0</v>
      </c>
      <c r="G38" s="5">
        <f>IF(A38&gt;=(Title_RESULTS!$H$7+Title_RESULTS!$C$17),0,(SUM(B38:F38)))</f>
        <v>128.00031085948115</v>
      </c>
      <c r="H38" s="5">
        <f>IF(A38&gt;=(Title_RESULTS!$H$7+Title_RESULTS!$C$17),0,(+'Sheet3(F_21)'!$J38+'Sheet4(F_22)'!$H38))</f>
        <v>179.8820031249106</v>
      </c>
      <c r="I38" s="5">
        <f>IF(A38&gt;=(Title_RESULTS!$H$7+Title_RESULTS!$C$17),0,(+'Sheet4(F_22)'!$D38+'Sheet4(F_22)'!$G38))</f>
        <v>16.23685862196937</v>
      </c>
      <c r="J38" s="5">
        <f>IF(A38&gt;=(Title_RESULTS!$H$7+Title_RESULTS!$C$17),0,(+'Sheet6(p_6)'!$R38))</f>
        <v>0</v>
      </c>
      <c r="K38" s="9">
        <f>IF(A38&gt;=(Title_RESULTS!$H$7+Title_RESULTS!$C$17),0,(+'f-11B'!$S37))</f>
        <v>0</v>
      </c>
      <c r="L38" s="5">
        <f>IF(A38&gt;=(Title_RESULTS!$H$7+Title_RESULTS!$C$17),0,(SUM(H38:K38)))</f>
        <v>196.11886174687996</v>
      </c>
      <c r="M38" s="23">
        <f>IF(A38&gt;=(Title_RESULTS!$H$7+Title_RESULTS!$C$17),0,(+L38-G38))</f>
        <v>68.11855088739881</v>
      </c>
      <c r="N38" s="24">
        <f>(IF(A37&gt;=(Title_RESULTS!$H$7+Title_RESULTS!$C$17),0,(+$M38/((1+Title_RESULTS!$C$37)^('Sheet9(F_25)'!$A38-Title_RESULTS!$H$7))+N37)))</f>
        <v>-758.5148846497356</v>
      </c>
    </row>
    <row r="39" spans="1:14" ht="12.75">
      <c r="A39">
        <f t="shared" si="0"/>
        <v>2043</v>
      </c>
      <c r="B39" s="5">
        <f>IF(A39&gt;=(Title_RESULTS!$H$7+Title_RESULTS!$C$17),0,(+'Sheet7(F_23)'!$B39))</f>
        <v>0</v>
      </c>
      <c r="C39" s="5">
        <f>IF(A39&gt;=(Title_RESULTS!$H$7+Title_RESULTS!$C$17),0,(+'Sheet6(p_6)'!$D39))</f>
        <v>0</v>
      </c>
      <c r="D39" s="5">
        <f>IF(A39&gt;=(Title_RESULTS!$H$7+Title_RESULTS!$C$17),0,(+'Sheet6(p_6)'!$G39))</f>
        <v>0</v>
      </c>
      <c r="E39" s="5">
        <f>+'Sheet6(p_6)'!M39</f>
        <v>129.28031396807592</v>
      </c>
      <c r="F39">
        <f>IF(A39&gt;=(Title_RESULTS!$H$7+Title_RESULTS!$C$17),0,(+'f-11B'!$R38))</f>
        <v>0</v>
      </c>
      <c r="G39" s="5">
        <f>IF(A39&gt;=(Title_RESULTS!$H$7+Title_RESULTS!$C$17),0,(SUM(B39:F39)))</f>
        <v>129.28031396807592</v>
      </c>
      <c r="H39" s="5">
        <f>IF(A39&gt;=(Title_RESULTS!$H$7+Title_RESULTS!$C$17),0,(+'Sheet3(F_21)'!$J39+'Sheet4(F_22)'!$H39))</f>
        <v>183.58840327966453</v>
      </c>
      <c r="I39" s="5">
        <f>IF(A39&gt;=(Title_RESULTS!$H$7+Title_RESULTS!$C$17),0,(+'Sheet4(F_22)'!$D39+'Sheet4(F_22)'!$G39))</f>
        <v>16.39175215751772</v>
      </c>
      <c r="J39" s="5">
        <f>IF(A39&gt;=(Title_RESULTS!$H$7+Title_RESULTS!$C$17),0,(+'Sheet6(p_6)'!$R39))</f>
        <v>0</v>
      </c>
      <c r="K39" s="9">
        <f>IF(A39&gt;=(Title_RESULTS!$H$7+Title_RESULTS!$C$17),0,(+'f-11B'!$S38))</f>
        <v>0</v>
      </c>
      <c r="L39" s="5">
        <f>IF(A39&gt;=(Title_RESULTS!$H$7+Title_RESULTS!$C$17),0,(SUM(H39:K39)))</f>
        <v>199.98015543718225</v>
      </c>
      <c r="M39" s="23">
        <f>IF(A39&gt;=(Title_RESULTS!$H$7+Title_RESULTS!$C$17),0,(+L39-G39))</f>
        <v>70.69984146910633</v>
      </c>
      <c r="N39" s="24">
        <f>(IF(A38&gt;=(Title_RESULTS!$H$7+Title_RESULTS!$C$17),0,(+$M39/((1+Title_RESULTS!$C$37)^('Sheet9(F_25)'!$A39-Title_RESULTS!$H$7))+N38)))</f>
        <v>-743.8551502445418</v>
      </c>
    </row>
    <row r="40" spans="1:14" ht="12.75">
      <c r="A40">
        <f t="shared" si="0"/>
        <v>2044</v>
      </c>
      <c r="B40" s="5">
        <f>IF(A40&gt;=(Title_RESULTS!$H$7+Title_RESULTS!$C$17),0,(+'Sheet7(F_23)'!$B40))</f>
        <v>0</v>
      </c>
      <c r="C40" s="5">
        <f>IF(A40&gt;=(Title_RESULTS!$H$7+Title_RESULTS!$C$17),0,(+'Sheet6(p_6)'!$D40))</f>
        <v>0</v>
      </c>
      <c r="D40" s="5">
        <f>IF(A40&gt;=(Title_RESULTS!$H$7+Title_RESULTS!$C$17),0,(+'Sheet6(p_6)'!$G40))</f>
        <v>0</v>
      </c>
      <c r="E40" s="5">
        <f>+'Sheet6(p_6)'!M40</f>
        <v>130.57311710775673</v>
      </c>
      <c r="F40">
        <f>IF(A40&gt;=(Title_RESULTS!$H$7+Title_RESULTS!$C$17),0,(+'f-11B'!$R39))</f>
        <v>0</v>
      </c>
      <c r="G40" s="5">
        <f>IF(A40&gt;=(Title_RESULTS!$H$7+Title_RESULTS!$C$17),0,(SUM(B40:F40)))</f>
        <v>130.57311710775673</v>
      </c>
      <c r="H40" s="5">
        <f>IF(A40&gt;=(Title_RESULTS!$H$7+Title_RESULTS!$C$17),0,(+'Sheet3(F_21)'!$J40+'Sheet4(F_22)'!$H40))</f>
        <v>178.5365301615878</v>
      </c>
      <c r="I40" s="5">
        <f>IF(A40&gt;=(Title_RESULTS!$H$7+Title_RESULTS!$C$17),0,(+'Sheet4(F_22)'!$D40+'Sheet4(F_22)'!$G40))</f>
        <v>16.553642083109736</v>
      </c>
      <c r="J40" s="5">
        <f>IF(A40&gt;=(Title_RESULTS!$H$7+Title_RESULTS!$C$17),0,(+'Sheet6(p_6)'!$R40))</f>
        <v>0</v>
      </c>
      <c r="K40" s="9">
        <f>IF(A40&gt;=(Title_RESULTS!$H$7+Title_RESULTS!$C$17),0,(+'f-11B'!$S39))</f>
        <v>0</v>
      </c>
      <c r="L40" s="5">
        <f>IF(A40&gt;=(Title_RESULTS!$H$7+Title_RESULTS!$C$17),0,(SUM(H40:K40)))</f>
        <v>195.09017224469753</v>
      </c>
      <c r="M40" s="23">
        <f>IF(A40&gt;=(Title_RESULTS!$H$7+Title_RESULTS!$C$17),0,(+L40-G40))</f>
        <v>64.5170551369408</v>
      </c>
      <c r="N40" s="24">
        <f>(IF(A39&gt;=(Title_RESULTS!$H$7+Title_RESULTS!$C$17),0,(+$M40/((1+Title_RESULTS!$C$37)^('Sheet9(F_25)'!$A40-Title_RESULTS!$H$7))+N39)))</f>
        <v>-731.3619461298748</v>
      </c>
    </row>
    <row r="41" ht="12.75">
      <c r="E41" s="5"/>
    </row>
    <row r="42" spans="1:13" ht="12.75">
      <c r="A42" t="s">
        <v>87</v>
      </c>
      <c r="B42" s="5">
        <f aca="true" t="shared" si="1" ref="B42:M42">SUM(B16:B41)</f>
        <v>0</v>
      </c>
      <c r="C42" s="5">
        <f t="shared" si="1"/>
        <v>168.99167999999997</v>
      </c>
      <c r="D42" s="5">
        <f t="shared" si="1"/>
        <v>791.01</v>
      </c>
      <c r="E42" s="5">
        <f t="shared" si="1"/>
        <v>2749.277291033169</v>
      </c>
      <c r="F42" s="5">
        <f t="shared" si="1"/>
        <v>0</v>
      </c>
      <c r="G42" s="5">
        <f t="shared" si="1"/>
        <v>3709.278971033169</v>
      </c>
      <c r="H42" s="5">
        <f t="shared" si="1"/>
        <v>3047.8893878764216</v>
      </c>
      <c r="I42" s="5">
        <f t="shared" si="1"/>
        <v>361.6111114046262</v>
      </c>
      <c r="J42" s="5">
        <f t="shared" si="1"/>
        <v>0</v>
      </c>
      <c r="K42" s="9">
        <f t="shared" si="1"/>
        <v>0</v>
      </c>
      <c r="L42" s="5">
        <f t="shared" si="1"/>
        <v>3409.5004992810477</v>
      </c>
      <c r="M42" s="5">
        <f t="shared" si="1"/>
        <v>-299.77847175212116</v>
      </c>
    </row>
    <row r="44" spans="1:13" ht="12.75">
      <c r="A44" t="s">
        <v>118</v>
      </c>
      <c r="B44" s="5">
        <f>NPV(Title_RESULTS!$C$37,'Sheet9(F_25)'!B17:B41)+'Sheet9(F_25)'!B16</f>
        <v>0</v>
      </c>
      <c r="C44" s="5">
        <f>NPV(Title_RESULTS!$C$37,'Sheet9(F_25)'!C17:C41)+'Sheet9(F_25)'!C16</f>
        <v>157.89362936030426</v>
      </c>
      <c r="D44" s="5">
        <f>NPV(Title_RESULTS!$C$37,'Sheet9(F_25)'!D17:D41)+'Sheet9(F_25)'!D16</f>
        <v>739.862060816633</v>
      </c>
      <c r="E44" s="5">
        <f>NPV(Title_RESULTS!$C$37,'Sheet9(F_25)'!E17:E41)+'Sheet9(F_25)'!E16</f>
        <v>1241.6503895410062</v>
      </c>
      <c r="F44" s="5">
        <f>NPV(Title_RESULTS!$C$37,'Sheet9(F_25)'!F17:F41)+'Sheet9(F_25)'!F16</f>
        <v>0</v>
      </c>
      <c r="G44" s="5">
        <f>NPV(Title_RESULTS!$C$37,'Sheet9(F_25)'!G17:G41)+'Sheet9(F_25)'!G16</f>
        <v>2139.4060797179436</v>
      </c>
      <c r="H44" s="5">
        <f>NPV(Title_RESULTS!$C$37,'Sheet9(F_25)'!H17:H41)+'Sheet9(F_25)'!H16</f>
        <v>1244.20709105387</v>
      </c>
      <c r="I44" s="5">
        <f>NPV(Title_RESULTS!$C$37,'Sheet9(F_25)'!I17:I41)+'Sheet9(F_25)'!I16</f>
        <v>163.83704253419788</v>
      </c>
      <c r="J44" s="5">
        <f>NPV(Title_RESULTS!$C$37,'Sheet9(F_25)'!J17:J41)+'Sheet9(F_25)'!J16</f>
        <v>0</v>
      </c>
      <c r="K44" s="9">
        <f>NPV(Title_RESULTS!$C$37,'Sheet9(F_25)'!K17:K41)+'Sheet9(F_25)'!K16</f>
        <v>0</v>
      </c>
      <c r="L44" s="5">
        <f>NPV(Title_RESULTS!$C$37,'Sheet9(F_25)'!L17:L41)+'Sheet9(F_25)'!L16</f>
        <v>1408.0441335880682</v>
      </c>
      <c r="M44" s="5">
        <f>NPV(Title_RESULTS!$C$37,'Sheet9(F_25)'!M17:M41)+'Sheet9(F_25)'!M16</f>
        <v>-731.3619461298749</v>
      </c>
    </row>
    <row r="46" spans="1:10" ht="12.75">
      <c r="A46" t="s">
        <v>175</v>
      </c>
      <c r="D46">
        <f>+Title_RESULTS!C37</f>
        <v>0.0708</v>
      </c>
      <c r="F46" t="s">
        <v>183</v>
      </c>
      <c r="J46" s="10">
        <f>+L44/G44</f>
        <v>0.6581472058701932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196.6604002828854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11.4717696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46.983320832000004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3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3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2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1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4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1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1.1336666977186987</v>
      </c>
      <c r="P24" s="48">
        <f aca="true" t="shared" si="4" ref="P24:P61">N24*$L$5</f>
        <v>4.642999993259243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1.1608746984639475</v>
      </c>
      <c r="P25" s="48">
        <f t="shared" si="4"/>
        <v>4.754431993097465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27.058634715693497</v>
      </c>
      <c r="E26" s="11">
        <f>IF(B26=Title_RESULTS!$H$8,$F$16,+E25*(1+$F$7))</f>
        <v>0.09882230355451863</v>
      </c>
      <c r="F26" s="9">
        <f t="shared" si="1"/>
        <v>19.43443377390844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1.5784083765846537</v>
      </c>
      <c r="L26" s="5">
        <f t="shared" si="3"/>
        <v>6.4644662285575425</v>
      </c>
      <c r="N26" s="11">
        <f>IF(+B26=Title_RESULTS!$H$9,'Value of Defferal'!$O$16,+'Value of Defferal'!N25*(1+'Value of Defferal'!$F$7))</f>
        <v>0.10362269577198292</v>
      </c>
      <c r="O26" s="5">
        <f t="shared" si="7"/>
        <v>1.1887356912270823</v>
      </c>
      <c r="P26" s="48">
        <f t="shared" si="4"/>
        <v>4.868538360931804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26.259596368156025</v>
      </c>
      <c r="E27" s="11">
        <f>IF(B27=Title_RESULTS!$H$8,$F$16,+E26*(1+$F$7))</f>
        <v>0.10119403883982707</v>
      </c>
      <c r="F27" s="9">
        <f t="shared" si="1"/>
        <v>19.900860184482244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1.5317981601337094</v>
      </c>
      <c r="L27" s="5">
        <f t="shared" si="3"/>
        <v>6.273571289945484</v>
      </c>
      <c r="N27" s="11">
        <f>IF(+B27=Title_RESULTS!$H$9,'Value of Defferal'!$O$16,+'Value of Defferal'!N26*(1+'Value of Defferal'!$F$7))</f>
        <v>0.10610964047051051</v>
      </c>
      <c r="O27" s="5">
        <f t="shared" si="7"/>
        <v>1.2172653478165323</v>
      </c>
      <c r="P27" s="48">
        <f t="shared" si="4"/>
        <v>4.985383281594167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25.377463859933513</v>
      </c>
      <c r="E28" s="11">
        <f>IF(B28=Title_RESULTS!$H$8,$F$16,+E27*(1+$F$7))</f>
        <v>0.10362269577198292</v>
      </c>
      <c r="F28" s="9">
        <f t="shared" si="1"/>
        <v>20.37848082890982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1.4803408211043867</v>
      </c>
      <c r="L28" s="5">
        <f t="shared" si="3"/>
        <v>6.062824669931805</v>
      </c>
      <c r="N28" s="11">
        <f>IF(+B28=Title_RESULTS!$H$9,'Value of Defferal'!$O$16,+'Value of Defferal'!N27*(1+'Value of Defferal'!$F$7))</f>
        <v>0.10865627184180277</v>
      </c>
      <c r="O28" s="5">
        <f t="shared" si="7"/>
        <v>1.246479716164129</v>
      </c>
      <c r="P28" s="48">
        <f t="shared" si="4"/>
        <v>5.105032480352428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24.537580636228324</v>
      </c>
      <c r="E29" s="11">
        <f>IF(B29=Title_RESULTS!$H$8,$F$16,+E28*(1+$F$7))</f>
        <v>0.10610964047051051</v>
      </c>
      <c r="F29" s="9">
        <f t="shared" si="1"/>
        <v>20.867564368803652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1.431348004963507</v>
      </c>
      <c r="L29" s="5">
        <f t="shared" si="3"/>
        <v>5.862171651306838</v>
      </c>
      <c r="N29" s="11">
        <f>IF(+B29=Title_RESULTS!$H$9,'Value of Defferal'!$O$16,+'Value of Defferal'!N28*(1+'Value of Defferal'!$F$7))</f>
        <v>0.11126402236600604</v>
      </c>
      <c r="O29" s="5">
        <f t="shared" si="7"/>
        <v>1.2763952293520682</v>
      </c>
      <c r="P29" s="48">
        <f t="shared" si="4"/>
        <v>5.227553259880886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23.73571006518581</v>
      </c>
      <c r="E30" s="11">
        <f>IF(B30=Title_RESULTS!$H$8,$F$16,+E29*(1+$F$7))</f>
        <v>0.10865627184180277</v>
      </c>
      <c r="F30" s="9">
        <f t="shared" si="1"/>
        <v>21.368385913654944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1.3845725767289054</v>
      </c>
      <c r="L30" s="5">
        <f t="shared" si="3"/>
        <v>5.670600077920246</v>
      </c>
      <c r="N30" s="11">
        <f>IF(+B30=Title_RESULTS!$H$9,'Value of Defferal'!$O$16,+'Value of Defferal'!N29*(1+'Value of Defferal'!$F$7))</f>
        <v>0.11393435890279018</v>
      </c>
      <c r="O30" s="5">
        <f t="shared" si="7"/>
        <v>1.3070287148565176</v>
      </c>
      <c r="P30" s="48">
        <f t="shared" si="4"/>
        <v>5.3530145381180265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22.96808365106786</v>
      </c>
      <c r="E31" s="11">
        <f>IF(B31=Title_RESULTS!$H$8,$F$16,+E30*(1+$F$7))</f>
        <v>0.11126402236600604</v>
      </c>
      <c r="F31" s="9">
        <f t="shared" si="1"/>
        <v>21.881227175582662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1.3397947091512523</v>
      </c>
      <c r="L31" s="5">
        <f t="shared" si="3"/>
        <v>5.487209634080291</v>
      </c>
      <c r="N31" s="11">
        <f>IF(+B31=Title_RESULTS!$H$9,'Value of Defferal'!$O$16,+'Value of Defferal'!N30*(1+'Value of Defferal'!$F$7))</f>
        <v>0.11666878351645714</v>
      </c>
      <c r="O31" s="5">
        <f t="shared" si="7"/>
        <v>1.3383974040130742</v>
      </c>
      <c r="P31" s="48">
        <f t="shared" si="4"/>
        <v>5.481486887032859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22.224355585699048</v>
      </c>
      <c r="E32" s="11">
        <f>IF(B32=Title_RESULTS!$H$8,$F$16,+E31*(1+$F$7))</f>
        <v>0.11393435890279018</v>
      </c>
      <c r="F32" s="9">
        <f t="shared" si="1"/>
        <v>22.406376627796643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1.2964109013348737</v>
      </c>
      <c r="L32" s="5">
        <f t="shared" si="3"/>
        <v>5.309528645651904</v>
      </c>
      <c r="N32" s="11">
        <f>IF(+B32=Title_RESULTS!$H$9,'Value of Defferal'!$O$16,+'Value of Defferal'!N31*(1+'Value of Defferal'!$F$7))</f>
        <v>0.11946883432085212</v>
      </c>
      <c r="O32" s="5">
        <f t="shared" si="7"/>
        <v>1.370518941709388</v>
      </c>
      <c r="P32" s="48">
        <f t="shared" si="4"/>
        <v>5.613042572321649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21.488281545835594</v>
      </c>
      <c r="E33" s="11">
        <f>IF(B33=Title_RESULTS!$H$8,$F$16,+E32*(1+$F$7))</f>
        <v>0.11666878351645714</v>
      </c>
      <c r="F33" s="9">
        <f t="shared" si="1"/>
        <v>22.944129666863763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1.2534735749503632</v>
      </c>
      <c r="L33" s="5">
        <f t="shared" si="3"/>
        <v>5.1336762487216365</v>
      </c>
      <c r="N33" s="11">
        <f>IF(+B33=Title_RESULTS!$H$9,'Value of Defferal'!$O$16,+'Value of Defferal'!N32*(1+'Value of Defferal'!$F$7))</f>
        <v>0.12233608634455258</v>
      </c>
      <c r="O33" s="5">
        <f t="shared" si="7"/>
        <v>1.4034113963104133</v>
      </c>
      <c r="P33" s="48">
        <f t="shared" si="4"/>
        <v>5.747755594057368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20.752207505972134</v>
      </c>
      <c r="E34" s="11">
        <f>IF(B34=Title_RESULTS!$H$8,$F$16,+E33*(1+$F$7))</f>
        <v>0.11946883432085212</v>
      </c>
      <c r="F34" s="9">
        <f t="shared" si="1"/>
        <v>23.494788778868497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1.2105362485658522</v>
      </c>
      <c r="L34" s="5">
        <f t="shared" si="3"/>
        <v>4.957823851791369</v>
      </c>
      <c r="N34" s="11">
        <f>IF(+B34=Title_RESULTS!$H$9,'Value of Defferal'!$O$16,+'Value of Defferal'!N33*(1+'Value of Defferal'!$F$7))</f>
        <v>0.12527215241682185</v>
      </c>
      <c r="O34" s="5">
        <f t="shared" si="7"/>
        <v>1.4370932698218635</v>
      </c>
      <c r="P34" s="48">
        <f t="shared" si="4"/>
        <v>5.8857017283147455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20.016133466108677</v>
      </c>
      <c r="E35" s="11">
        <f>IF(B35=Title_RESULTS!$H$8,$F$16,+E34*(1+$F$7))</f>
        <v>0.12233608634455258</v>
      </c>
      <c r="F35" s="9">
        <f t="shared" si="1"/>
        <v>24.05866370956134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1.1675989221813412</v>
      </c>
      <c r="L35" s="5">
        <f t="shared" si="3"/>
        <v>4.781971454861102</v>
      </c>
      <c r="N35" s="11">
        <f>IF(+B35=Title_RESULTS!$H$9,'Value of Defferal'!$O$16,+'Value of Defferal'!N34*(1+'Value of Defferal'!$F$7))</f>
        <v>0.12827868407482557</v>
      </c>
      <c r="O35" s="5">
        <f t="shared" si="7"/>
        <v>1.471583508297588</v>
      </c>
      <c r="P35" s="48">
        <f t="shared" si="4"/>
        <v>6.026958569794299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19.28005942624522</v>
      </c>
      <c r="E36" s="11">
        <f>IF(B36=Title_RESULTS!$H$8,$F$16,+E35*(1+$F$7))</f>
        <v>0.12527215241682185</v>
      </c>
      <c r="F36" s="9">
        <f t="shared" si="1"/>
        <v>24.636071638590817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1.1246615957968307</v>
      </c>
      <c r="L36" s="5">
        <f t="shared" si="3"/>
        <v>4.606119057930836</v>
      </c>
      <c r="N36" s="11">
        <f>IF(+B36=Title_RESULTS!$H$9,'Value of Defferal'!$O$16,+'Value of Defferal'!N35*(1+'Value of Defferal'!$F$7))</f>
        <v>0.1313573724926214</v>
      </c>
      <c r="O36" s="5">
        <f t="shared" si="7"/>
        <v>1.5069015124967302</v>
      </c>
      <c r="P36" s="48">
        <f t="shared" si="4"/>
        <v>6.171605575469362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18.54398538638176</v>
      </c>
      <c r="E37" s="11">
        <f>IF(B37&gt;Title_RESULTS!$H$8-1+Title_RESULTS!$C$18,0,+E36*(1+$F$7))</f>
        <v>0.12827868407482557</v>
      </c>
      <c r="F37" s="9">
        <f t="shared" si="1"/>
        <v>25.227337357916994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1.0817242694123195</v>
      </c>
      <c r="L37" s="5">
        <f t="shared" si="3"/>
        <v>4.430266661000568</v>
      </c>
      <c r="N37" s="11">
        <f>IF(+B37=Title_RESULTS!$H$9,'Value of Defferal'!$O$16,+'Value of Defferal'!N36*(1+'Value of Defferal'!$F$7))</f>
        <v>0.1345099494324443</v>
      </c>
      <c r="O37" s="5">
        <f t="shared" si="7"/>
        <v>1.5430671487966516</v>
      </c>
      <c r="P37" s="48">
        <f t="shared" si="4"/>
        <v>6.319724109280627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17.8079113465183</v>
      </c>
      <c r="E38" s="11">
        <f>IF(B38&gt;Title_RESULTS!$H$8-1+Title_RESULTS!$C$18,0,+E37*(1+$F$7))</f>
        <v>0.1313573724926214</v>
      </c>
      <c r="F38" s="9">
        <f t="shared" si="1"/>
        <v>25.832793454507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1.0387869430278085</v>
      </c>
      <c r="L38" s="5">
        <f t="shared" si="3"/>
        <v>4.2544142640702995</v>
      </c>
      <c r="N38" s="11">
        <f>IF(+B38=Title_RESULTS!$H$9,'Value of Defferal'!$O$16,+'Value of Defferal'!N37*(1+'Value of Defferal'!$F$7))</f>
        <v>0.13773818821882297</v>
      </c>
      <c r="O38" s="5">
        <f t="shared" si="7"/>
        <v>1.5801007603677715</v>
      </c>
      <c r="P38" s="48">
        <f t="shared" si="4"/>
        <v>6.471397487903363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17.07183730665484</v>
      </c>
      <c r="E39" s="11">
        <f>IF(B39&gt;Title_RESULTS!$H$8-1+Title_RESULTS!$C$18,0,+E38*(1+$F$7))</f>
        <v>0.1345099494324443</v>
      </c>
      <c r="F39" s="9">
        <f t="shared" si="1"/>
        <v>26.45278049741517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0.9958496166432975</v>
      </c>
      <c r="L39" s="5">
        <f t="shared" si="3"/>
        <v>4.078561867140032</v>
      </c>
      <c r="N39" s="11">
        <f>IF(+B39&gt;Title_RESULTS!$H$9+Title_RESULTS!$C$19-1,0,+'Value of Defferal'!N38*(1+'Value of Defferal'!$F$7))</f>
        <v>0.14104390473607473</v>
      </c>
      <c r="O39" s="5">
        <f t="shared" si="7"/>
        <v>1.6180231786165982</v>
      </c>
      <c r="P39" s="48">
        <f t="shared" si="4"/>
        <v>6.626711027613044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16.33576326679139</v>
      </c>
      <c r="E40" s="11">
        <f>IF(B40&gt;Title_RESULTS!$H$8-1+Title_RESULTS!$C$18,0,+E39*(1+$F$7))</f>
        <v>0.13773818821882297</v>
      </c>
      <c r="F40" s="9">
        <f t="shared" si="1"/>
        <v>27.087647229353138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0.952912290258787</v>
      </c>
      <c r="L40" s="5">
        <f t="shared" si="3"/>
        <v>3.9027094702097664</v>
      </c>
      <c r="N40" s="11">
        <f>IF(+B40&gt;Title_RESULTS!$H$9+Title_RESULTS!$C$19-1,0,+'Value of Defferal'!N39*(1+'Value of Defferal'!$F$7))</f>
        <v>0.14442895844974052</v>
      </c>
      <c r="O40" s="5">
        <f t="shared" si="7"/>
        <v>1.6568557349033963</v>
      </c>
      <c r="P40" s="48">
        <f t="shared" si="4"/>
        <v>6.785752092275756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15.668809524534383</v>
      </c>
      <c r="E41" s="11">
        <f>IF(B41&gt;Title_RESULTS!$H$8-1+Title_RESULTS!$C$18,0,+E40*(1+$F$7))</f>
        <v>0.14104390473607473</v>
      </c>
      <c r="F41" s="9">
        <f t="shared" si="1"/>
        <v>27.737750762857612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0.9140069506275018</v>
      </c>
      <c r="L41" s="5">
        <f t="shared" si="3"/>
        <v>3.7433703169918884</v>
      </c>
      <c r="N41" s="11">
        <f>IF(+B41&gt;Title_RESULTS!$H$9+Title_RESULTS!$C$19-1,0,+'Value of Defferal'!N40*(1+'Value of Defferal'!$F$7))</f>
        <v>0.1478952534525343</v>
      </c>
      <c r="O41" s="5">
        <f t="shared" si="7"/>
        <v>1.696620272541078</v>
      </c>
      <c r="P41" s="48">
        <f t="shared" si="4"/>
        <v>6.948610142490375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15.140072970684466</v>
      </c>
      <c r="E42" s="11">
        <f>IF(B42&gt;Title_RESULTS!$H$8-1+Title_RESULTS!$C$18,0,+E41*(1+$F$7))</f>
        <v>0.14442895844974052</v>
      </c>
      <c r="F42" s="9">
        <f t="shared" si="1"/>
        <v>28.403456781166195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0.8831642191160268</v>
      </c>
      <c r="L42" s="5">
        <f t="shared" si="3"/>
        <v>3.617052059175861</v>
      </c>
      <c r="N42" s="11">
        <f>IF(+B42&gt;Title_RESULTS!$H$9+Title_RESULTS!$C$19-1,0,+'Value of Defferal'!N41*(1+'Value of Defferal'!$F$7))</f>
        <v>0.1514447395353951</v>
      </c>
      <c r="O42" s="5">
        <f t="shared" si="7"/>
        <v>1.7373391590820637</v>
      </c>
      <c r="P42" s="48">
        <f t="shared" si="4"/>
        <v>7.1153767859101436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14.68043330763518</v>
      </c>
      <c r="E43" s="11">
        <f>IF(B43&gt;Title_RESULTS!$H$8-1+Title_RESULTS!$C$18,0,+E42*(1+$F$7))</f>
        <v>0.1478952534525343</v>
      </c>
      <c r="F43" s="9">
        <f t="shared" si="1"/>
        <v>29.085139743914183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0.856352108971136</v>
      </c>
      <c r="L43" s="5">
        <f t="shared" si="3"/>
        <v>3.5072414530492937</v>
      </c>
      <c r="N43" s="11">
        <f>IF(+B43&gt;Title_RESULTS!$H$9+Title_RESULTS!$C$19-1,0,+'Value of Defferal'!N42*(1+'Value of Defferal'!$F$7))</f>
        <v>0.1550794132842446</v>
      </c>
      <c r="O43" s="5">
        <f t="shared" si="7"/>
        <v>1.7790352989000333</v>
      </c>
      <c r="P43" s="48">
        <f t="shared" si="4"/>
        <v>7.286145828771987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14.220793644585898</v>
      </c>
      <c r="E44" s="11">
        <f>IF(B44&gt;Title_RESULTS!$H$8-1+Title_RESULTS!$C$18,0,+E43*(1+$F$7))</f>
        <v>0.1514447395353951</v>
      </c>
      <c r="F44" s="9">
        <f t="shared" si="1"/>
        <v>29.783183097768124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0.8295399988262454</v>
      </c>
      <c r="L44" s="5">
        <f t="shared" si="3"/>
        <v>3.397430846922727</v>
      </c>
      <c r="N44" s="11">
        <f>IF(+B44&gt;Title_RESULTS!$H$9+Title_RESULTS!$C$19-1,0,+'Value of Defferal'!N43*(1+'Value of Defferal'!$F$7))</f>
        <v>0.15880131920306648</v>
      </c>
      <c r="O44" s="5">
        <f t="shared" si="7"/>
        <v>1.8217321460736342</v>
      </c>
      <c r="P44" s="48">
        <f t="shared" si="4"/>
        <v>7.461013328662515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13.761153981536607</v>
      </c>
      <c r="E45" s="11">
        <f>IF(B45&gt;Title_RESULTS!$H$8-1+Title_RESULTS!$C$18,0,+E44*(1+$F$7))</f>
        <v>0.1550794132842446</v>
      </c>
      <c r="F45" s="9">
        <f t="shared" si="1"/>
        <v>30.49797949211456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0.8027278886813543</v>
      </c>
      <c r="L45" s="5">
        <f t="shared" si="3"/>
        <v>3.2876202407961586</v>
      </c>
      <c r="N45" s="11">
        <f>IF(+B45&gt;Title_RESULTS!$H$9+Title_RESULTS!$C$19-1,0,+'Value of Defferal'!N44*(1+'Value of Defferal'!$F$7))</f>
        <v>0.16261255086394008</v>
      </c>
      <c r="O45" s="5">
        <f t="shared" si="7"/>
        <v>1.8654537175794015</v>
      </c>
      <c r="P45" s="48">
        <f t="shared" si="4"/>
        <v>7.640077648550416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13.301514318487321</v>
      </c>
      <c r="E46" s="11">
        <f>IF(B46&gt;Title_RESULTS!$H$8-1+Title_RESULTS!$C$18,0,+E45*(1+$F$7))</f>
        <v>0.15880131920306648</v>
      </c>
      <c r="F46" s="9">
        <f t="shared" si="1"/>
        <v>31.22993099992531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0.7759157785364634</v>
      </c>
      <c r="L46" s="5">
        <f t="shared" si="3"/>
        <v>3.1778096346695914</v>
      </c>
      <c r="N46" s="11">
        <f>IF(+B46&gt;Title_RESULTS!$H$9+Title_RESULTS!$C$19-1,0,+'Value of Defferal'!N45*(1+'Value of Defferal'!$F$7))</f>
        <v>0.16651525208467466</v>
      </c>
      <c r="O46" s="5">
        <f t="shared" si="7"/>
        <v>1.9102246068013073</v>
      </c>
      <c r="P46" s="48">
        <f t="shared" si="4"/>
        <v>7.823439512115627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12.841874655438037</v>
      </c>
      <c r="E47" s="11">
        <f>IF(B47&gt;Title_RESULTS!$H$8-1+Title_RESULTS!$C$18,0,+E46*(1+$F$7))</f>
        <v>0.16261255086394008</v>
      </c>
      <c r="F47" s="9">
        <f t="shared" si="1"/>
        <v>31.97944934392352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0.7491036683915727</v>
      </c>
      <c r="L47" s="5">
        <f t="shared" si="3"/>
        <v>3.0679990285430248</v>
      </c>
      <c r="N47" s="11">
        <f>IF(+B47&gt;Title_RESULTS!$H$9+Title_RESULTS!$C$19-1,0,+'Value of Defferal'!N46*(1+'Value of Defferal'!$F$7))</f>
        <v>0.17051161813470686</v>
      </c>
      <c r="O47" s="5">
        <f t="shared" si="7"/>
        <v>1.9560699973645388</v>
      </c>
      <c r="P47" s="48">
        <f t="shared" si="4"/>
        <v>8.011202060406402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12.382234992388751</v>
      </c>
      <c r="E48" s="11">
        <f>IF(B48&gt;Title_RESULTS!$H$8-1+Title_RESULTS!$C$18,0,+E47*(1+$F$7))</f>
        <v>0.16651525208467466</v>
      </c>
      <c r="F48" s="9">
        <f t="shared" si="1"/>
        <v>32.746956128177686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0.7222915582466819</v>
      </c>
      <c r="L48" s="5">
        <f t="shared" si="3"/>
        <v>2.958188422416457</v>
      </c>
      <c r="N48" s="11">
        <f>IF(+B48&gt;Title_RESULTS!$H$9+Title_RESULTS!$C$19-1,0,+'Value of Defferal'!N47*(1+'Value of Defferal'!$F$7))</f>
        <v>0.17460389696993983</v>
      </c>
      <c r="O48" s="5">
        <f t="shared" si="7"/>
        <v>2.003015677301288</v>
      </c>
      <c r="P48" s="48">
        <f t="shared" si="4"/>
        <v>8.203470909856156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11.92259532933946</v>
      </c>
      <c r="E49" s="11">
        <f>IF(B49&gt;Title_RESULTS!$H$8-1+Title_RESULTS!$C$18,0,+E48*(1+$F$7))</f>
        <v>0.17051161813470686</v>
      </c>
      <c r="F49" s="9">
        <f t="shared" si="1"/>
        <v>33.532883075253956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0.6954794481017909</v>
      </c>
      <c r="L49" s="5">
        <f t="shared" si="3"/>
        <v>2.848377816289889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11.462955666290174</v>
      </c>
      <c r="E50" s="11">
        <f>IF(B50&gt;Title_RESULTS!$H$8-1+Title_RESULTS!$C$18,0,+E49*(1+$F$7))</f>
        <v>0.17460389696993983</v>
      </c>
      <c r="F50" s="9">
        <f t="shared" si="1"/>
        <v>34.33767226906005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0.6686673379569</v>
      </c>
      <c r="L50" s="5">
        <f t="shared" si="3"/>
        <v>2.738567210163322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11.00331600324089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0.6418552278120093</v>
      </c>
      <c r="L51" s="5">
        <f t="shared" si="3"/>
        <v>2.628756604036755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469.8433585266332</v>
      </c>
      <c r="F63" s="9">
        <f>SUM(F23:F61)</f>
        <v>655.3059429003763</v>
      </c>
      <c r="J63" t="s">
        <v>87</v>
      </c>
      <c r="K63" s="9">
        <f>SUM(K23:K61)</f>
        <v>27.407321196105567</v>
      </c>
      <c r="O63" s="9">
        <f>SUM(O23:O61)</f>
        <v>38.225889826575795</v>
      </c>
    </row>
    <row r="64" spans="3:15" ht="12.75">
      <c r="C64" t="s">
        <v>89</v>
      </c>
      <c r="D64" s="9">
        <f>NPV(+Title_RESULTS!$C$37,'Value of Defferal'!D24:D61)+'Value of Defferal'!D23</f>
        <v>209.7879011462396</v>
      </c>
      <c r="F64" s="9">
        <f>NPV(+Title_RESULTS!$C$37,'Value of Defferal'!F24:F61)+'Value of Defferal'!F23</f>
        <v>243.67259957600984</v>
      </c>
      <c r="J64" t="s">
        <v>89</v>
      </c>
      <c r="K64" s="9">
        <f>NPV(+Title_RESULTS!$C$37,'Value of Defferal'!K24:K61)+'Value of Defferal'!K23</f>
        <v>12.237534670708577</v>
      </c>
      <c r="O64" s="9">
        <f>NPV(+Title_RESULTS!$C$37,'Value of Defferal'!O24:O61)+'Value of Defferal'!O23</f>
        <v>16.29809777033994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0.1069499194847021</v>
      </c>
      <c r="C25" t="s">
        <v>372</v>
      </c>
    </row>
    <row r="26" spans="2:3" ht="18">
      <c r="B26" s="15">
        <f>+((Input!$C$6*'EUE_Line Losses'!C4)+(Input!$C$7*'EUE_Line Losses'!C3))/'EUE_Line Losses'!C22</f>
        <v>0.10660491974442887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0.185675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0.072717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577.4358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25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55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360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263.67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Windows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43599.32883784722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0.185675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0.1069499194847021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611.6904661016949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577.4358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25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0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55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360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263.67</v>
      </c>
      <c r="D39" s="13" t="s">
        <v>189</v>
      </c>
      <c r="G39" s="20" t="s">
        <v>346</v>
      </c>
      <c r="H39" s="79">
        <f>+'Sheet7(F_23)'!H46</f>
        <v>1.1828324624542594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+'Sheet8(F_24)'!K44</f>
        <v>1703.662505511551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+'Sheet9(F_25)'!J46</f>
        <v>0.6581472058701932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2019-05-14T11:53:34Z</dcterms:created>
  <dcterms:modified xsi:type="dcterms:W3CDTF">2019-05-14T11:53:46Z</dcterms:modified>
  <cp:category/>
  <cp:version/>
  <cp:contentType/>
  <cp:contentStatus/>
</cp:coreProperties>
</file>