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<sst xmlns="http://schemas.openxmlformats.org/spreadsheetml/2006/main" count="1258" uniqueCount="468">
  <si>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</si>
  <si>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</si>
  <si>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</si>
  <si>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</si>
  <si>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</si>
  <si>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</si>
  <si>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</si>
  <si>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</si>
  <si>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</si>
  <si>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</si>
  <si>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</si>
  <si>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</si>
  <si>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</si>
  <si>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</si>
  <si>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</si>
  <si>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</si>
  <si>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</si>
  <si>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</si>
  <si>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</si>
  <si>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</si>
  <si>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</si>
  <si>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</si>
  <si>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</si>
  <si>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</si>
  <si>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</si>
  <si>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</si>
  <si>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</si>
  <si>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</si>
  <si>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</si>
  <si>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</si>
  <si>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</si>
  <si>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</si>
  <si>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</si>
  <si>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</si>
  <si>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</si>
  <si>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</si>
  <si>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</si>
  <si>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</si>
  <si>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</si>
  <si>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</si>
  <si>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</si>
  <si>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</si>
  <si>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</si>
  <si>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</si>
  <si>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</si>
  <si>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</si>
  <si>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</si>
  <si>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</si>
  <si>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</si>
  <si>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</si>
  <si>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</si>
  <si>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</si>
  <si>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</si>
  <si>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</si>
  <si>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</si>
  <si>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</si>
  <si>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</si>
  <si>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</si>
  <si>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</si>
  <si>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</si>
  <si>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</si>
  <si>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</si>
  <si>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</si>
  <si>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</si>
  <si>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</si>
  <si>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</si>
  <si>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</si>
  <si>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</si>
  <si>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</si>
  <si>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</si>
  <si>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</si>
  <si>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</si>
  <si>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</si>
  <si>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</si>
  <si>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</si>
  <si>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</si>
  <si>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</si>
  <si>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</si>
  <si>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</si>
  <si>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</si>
  <si>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</si>
  <si>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</si>
  <si>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</si>
  <si>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</si>
  <si>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</si>
  <si>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</si>
  <si>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</si>
  <si>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</si>
  <si>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</si>
  <si>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</si>
  <si>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</si>
  <si>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</si>
  <si>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</si>
  <si>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</si>
  <si>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</si>
  <si>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</si>
  <si>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</si>
  <si>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</si>
  <si>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</si>
  <si>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</si>
  <si>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</si>
  <si>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</si>
  <si>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</si>
  <si>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</si>
  <si>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</si>
  <si>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</si>
  <si>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</si>
  <si>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</si>
  <si>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</si>
  <si>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</si>
  <si>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</si>
  <si>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</si>
  <si>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</si>
  <si>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</si>
  <si>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</si>
  <si>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</si>
  <si>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</si>
  <si>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</si>
  <si>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</si>
  <si>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</si>
  <si>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</si>
  <si>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</si>
  <si>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</si>
  <si>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</si>
  <si>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</si>
  <si>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</si>
  <si>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</si>
  <si>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</si>
  <si>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</si>
  <si>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</si>
  <si>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</si>
  <si>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</si>
  <si>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</si>
  <si>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</si>
  <si>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</si>
  <si>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</si>
  <si>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</si>
  <si>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</si>
  <si>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</si>
  <si>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</si>
  <si>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</si>
  <si>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</si>
  <si>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</si>
  <si>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</si>
  <si>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</si>
  <si>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</si>
  <si>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</si>
  <si>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</si>
  <si>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</si>
  <si>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</si>
  <si>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</si>
  <si>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</si>
  <si>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</si>
  <si>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</si>
  <si>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</si>
  <si>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</si>
  <si>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</si>
  <si>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</si>
  <si>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</si>
  <si>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</si>
  <si>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</si>
  <si>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</si>
  <si>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</si>
  <si>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</si>
  <si>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</si>
  <si>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</si>
  <si>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</si>
  <si>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</si>
  <si>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</si>
  <si>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</si>
  <si>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</si>
  <si>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</si>
  <si>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</si>
  <si>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</si>
  <si>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</si>
  <si>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</si>
  <si>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</si>
  <si>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</si>
  <si>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</si>
  <si>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</si>
  <si>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</si>
  <si>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</si>
  <si>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</si>
  <si>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</si>
  <si>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</si>
  <si>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</si>
  <si>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</si>
  <si>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</si>
  <si>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</si>
  <si>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</si>
  <si>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</si>
  <si>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</si>
  <si>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</si>
  <si>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</si>
  <si>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</si>
  <si>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</si>
  <si>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</si>
  <si>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</si>
  <si>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</si>
  <si>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</si>
  <si>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</si>
  <si>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</si>
  <si>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</si>
  <si>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</si>
  <si>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</si>
  <si>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</si>
  <si>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</si>
  <si>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</si>
  <si>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</si>
  <si>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</si>
  <si>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</si>
  <si>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</si>
  <si>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</si>
  <si>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</si>
  <si>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</si>
  <si>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</si>
  <si>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</si>
  <si>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</si>
  <si>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</si>
  <si>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</si>
  <si>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</si>
  <si>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</si>
  <si>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</si>
  <si>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</si>
  <si>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</si>
  <si>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</si>
  <si>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</si>
  <si>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</si>
  <si>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</si>
  <si>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</si>
  <si>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</si>
  <si>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</si>
  <si>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</si>
  <si>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</si>
  <si>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</si>
  <si>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</si>
  <si>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</si>
  <si>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</si>
  <si>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</si>
  <si>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</si>
  <si>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</si>
  <si>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</si>
  <si>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</si>
  <si>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</si>
  <si>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</si>
  <si>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</si>
  <si>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</si>
  <si>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</si>
  <si>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</si>
  <si>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</si>
  <si>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</si>
  <si>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</si>
  <si>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</si>
  <si>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</si>
  <si>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</si>
  <si>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</si>
  <si>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</si>
  <si>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</si>
  <si>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</si>
  <si>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</si>
  <si>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</si>
  <si>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</si>
  <si>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</si>
  <si>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</si>
  <si>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</si>
  <si>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</si>
  <si>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</si>
  <si>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</si>
  <si>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</si>
  <si>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</si>
  <si>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</si>
  <si>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</si>
  <si>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</si>
  <si>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</si>
  <si>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</si>
  <si>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</si>
  <si>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</si>
  <si>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</si>
  <si>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</si>
  <si>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</si>
  <si>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</si>
  <si>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</si>
  <si>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</si>
  <si>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</si>
  <si>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</si>
  <si>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</si>
  <si>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</si>
  <si>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</si>
  <si>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</si>
  <si>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</si>
  <si>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</si>
  <si>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</si>
  <si>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</si>
  <si>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</si>
  <si>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</si>
  <si>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</si>
  <si>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</si>
  <si>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</si>
  <si>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</si>
  <si>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</si>
  <si>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</si>
  <si>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</si>
  <si>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</si>
  <si>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</si>
  <si>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</si>
  <si>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</si>
  <si>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</si>
  <si>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</si>
  <si>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</si>
  <si>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</si>
  <si>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</si>
  <si>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</si>
  <si>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</si>
  <si>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</si>
  <si>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</si>
  <si>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</si>
  <si>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</si>
  <si>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</si>
  <si>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</si>
  <si>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</si>
  <si>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</si>
  <si>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</si>
  <si>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</si>
  <si>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</si>
  <si>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</si>
  <si>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</si>
  <si>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</si>
  <si>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</si>
  <si>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</si>
  <si>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</si>
  <si>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</si>
  <si>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</si>
  <si>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</si>
  <si>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</si>
  <si>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</si>
  <si>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</si>
  <si>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</si>
  <si>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</si>
  <si>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</si>
  <si>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</si>
  <si>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</si>
  <si>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</si>
  <si>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</si>
  <si>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</si>
  <si>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</si>
  <si>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</si>
  <si>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</si>
  <si>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</si>
  <si>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</si>
  <si>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</si>
  <si>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</si>
  <si>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</si>
  <si>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</si>
  <si>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</si>
  <si>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</si>
  <si>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</si>
  <si>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</si>
  <si>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</si>
  <si>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</si>
  <si>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</si>
  <si>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</si>
  <si>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</si>
  <si>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</si>
  <si>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</si>
  <si>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</si>
  <si>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</si>
  <si>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</si>
  <si>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</si>
  <si>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</si>
  <si>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</si>
  <si>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</si>
  <si>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</si>
  <si>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</si>
  <si>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</si>
  <si>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</si>
  <si>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</si>
  <si>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</si>
  <si>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</si>
  <si>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</si>
  <si>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</si>
  <si>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</si>
  <si>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</si>
  <si>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</si>
  <si>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</si>
  <si>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</si>
  <si>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</si>
  <si>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</si>
  <si>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</si>
  <si>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</si>
  <si>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</si>
  <si>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</si>
  <si>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</si>
  <si>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</si>
  <si>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</si>
  <si>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</si>
  <si>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</si>
  <si>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</si>
  <si>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</si>
  <si>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</si>
  <si>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</si>
  <si>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</si>
  <si>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</si>
  <si>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</si>
  <si>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</si>
  <si>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</si>
  <si>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</si>
  <si>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</si>
  <si>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</si>
  <si>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</si>
  <si>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</si>
  <si>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</si>
  <si>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</si>
  <si>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</si>
  <si>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</si>
  <si>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</si>
  <si>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</si>
  <si>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</si>
  <si>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</si>
  <si>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</si>
  <si>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</si>
  <si>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</si>
  <si>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</si>
  <si>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</si>
  <si>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</si>
  <si>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</si>
  <si>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</si>
  <si>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</si>
  <si>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</si>
  <si>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</si>
  <si>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</si>
  <si>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</si>
  <si>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</si>
  <si>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</si>
  <si>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</si>
  <si>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</si>
  <si>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</si>
  <si>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</si>
  <si>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</si>
  <si>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</si>
  <si>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</si>
  <si>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</si>
  <si>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</si>
  <si>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</si>
  <si>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</si>
  <si>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</si>
  <si>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</si>
  <si>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</si>
  <si>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</si>
  <si>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</si>
  <si>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</si>
  <si>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</si>
  <si>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</si>
  <si>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</si>
  <si>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</si>
  <si>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</si>
  <si>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</si>
  <si>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</si>
  <si>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</si>
  <si>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</si>
  <si>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</si>
  <si>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</si>
  <si>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</si>
  <si>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</si>
  <si>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</si>
  <si>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</si>
  <si>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</si>
  <si>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</si>
  <si>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Programmable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</si>
</sst>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43599.32903530093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271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43599.32903530093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Programmable Thermostat</v>
      </c>
      <c r="J2" t="s">
        <v>55</v>
      </c>
    </row>
    <row r="3" ht="12.75">
      <c r="J3" s="35">
        <f>+Title_RESULTS!I4</f>
        <v>43599.32903530093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271</v>
      </c>
      <c r="H5" t="s">
        <v>59</v>
      </c>
    </row>
    <row r="6" spans="3:7" ht="12.75">
      <c r="C6" t="s">
        <v>61</v>
      </c>
      <c r="G6" s="36">
        <f>+'Value of Defferal'!E3</f>
        <v>166.02793917963223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16.40726340414077</v>
      </c>
      <c r="D19" s="5">
        <f>IF((Title_RESULTS!$H$8-Title_RESULTS!$H$7)&lt;=('Sheet3(F_21)'!A19-Title_RESULTS!$H$7),((Title_RESULTS!$C$8*Partcipation!$C$26*8760*Title_RESULTS!$H$21/100000)),0)</f>
        <v>215.74187040945546</v>
      </c>
      <c r="E19" s="5">
        <f>IF($G19=0,0,((Title_RESULTS!$H$14*((1+Title_RESULTS!$H$15/100)^($A19-Title_RESULTS!$H$7))*'EUE_Line Losses'!$B$25*Partcipation!$C$26))/1000)</f>
        <v>1.6941714773367917</v>
      </c>
      <c r="F19" s="5">
        <f>IF($G19=0,0,(Title_RESULTS!$H$19/100*((1+Title_RESULTS!$H$20/100)^($A19-Title_RESULTS!$H$7))*$D19*1000)/1000)</f>
        <v>0.4864672458379027</v>
      </c>
      <c r="G19" s="5">
        <f>(+Title_RESULTS!$H$22/100*((1+Title_RESULTS!$H$23/100)^(+'Sheet4(F_22)'!A19-Title_RESULTS!$H$7)))*'Sheet3(F_21)'!D19</f>
        <v>9.243005141421781</v>
      </c>
      <c r="H19" s="5">
        <f>IF($G19=0,0,(($D19))*(Partcipation!$G19/100))</f>
        <v>6.844686077739164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20.986221190998087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16.80103772584015</v>
      </c>
      <c r="D20" s="5">
        <f>IF((Title_RESULTS!$H$8-Title_RESULTS!$H$7)&lt;=('Sheet3(F_21)'!A20-Title_RESULTS!$H$7),((Title_RESULTS!$C$8*Partcipation!$C$26*8760*Title_RESULTS!$H$21/100000)),0)</f>
        <v>215.74187040945546</v>
      </c>
      <c r="E20" s="5">
        <f>IF($G20=0,0,((Title_RESULTS!$H$14*((1+Title_RESULTS!$H$15/100)^($A20-Title_RESULTS!$H$7))*'EUE_Line Losses'!$B$25*Partcipation!$C$26))/1000)</f>
        <v>1.7348315927928744</v>
      </c>
      <c r="F20" s="5">
        <f>IF($G20=0,0,(Title_RESULTS!$H$19/100*((1+Title_RESULTS!$H$20/100)^($A20-Title_RESULTS!$H$7))*$D20*1000)/1000)</f>
        <v>0.4981424597380123</v>
      </c>
      <c r="G20" s="5">
        <f>(+Title_RESULTS!$H$22/100*((1+Title_RESULTS!$H$23/100)^(+'Sheet4(F_22)'!A20-Title_RESULTS!$H$7)))*'Sheet3(F_21)'!D20</f>
        <v>9.662637574842332</v>
      </c>
      <c r="H20" s="5">
        <f>IF($G20=0,0,(($D20))*(Partcipation!$G20/100))</f>
        <v>7.150879021277522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21.54577033193585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17.204262631260313</v>
      </c>
      <c r="D21" s="5">
        <f>IF((Title_RESULTS!$H$8-Title_RESULTS!$H$7)&lt;=('Sheet3(F_21)'!A21-Title_RESULTS!$H$7),((Title_RESULTS!$C$8*Partcipation!$C$26*8760*Title_RESULTS!$H$21/100000)),0)</f>
        <v>215.74187040945546</v>
      </c>
      <c r="E21" s="5">
        <f>IF($G21=0,0,((Title_RESULTS!$H$14*((1+Title_RESULTS!$H$15/100)^($A21-Title_RESULTS!$H$7))*'EUE_Line Losses'!$B$25*Partcipation!$C$26))/1000)</f>
        <v>1.7764675510199035</v>
      </c>
      <c r="F21" s="5">
        <f>IF($G21=0,0,(Title_RESULTS!$H$19/100*((1+Title_RESULTS!$H$20/100)^($A21-Title_RESULTS!$H$7))*$D21*1000)/1000)</f>
        <v>0.5100978787717246</v>
      </c>
      <c r="G21" s="5">
        <f>(+Title_RESULTS!$H$22/100*((1+Title_RESULTS!$H$23/100)^(+'Sheet4(F_22)'!A21-Title_RESULTS!$H$7)))*'Sheet3(F_21)'!D21</f>
        <v>10.101321320740174</v>
      </c>
      <c r="H21" s="5">
        <f>IF($G21=0,0,(($D21))*(Partcipation!$G21/100))</f>
        <v>7.434256295637291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22.157893086154825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17.61716493441056</v>
      </c>
      <c r="D22" s="5">
        <f>IF((Title_RESULTS!$H$8-Title_RESULTS!$H$7)&lt;=('Sheet3(F_21)'!A22-Title_RESULTS!$H$7),((Title_RESULTS!$C$8*Partcipation!$C$26*8760*Title_RESULTS!$H$21/100000)),0)</f>
        <v>215.74187040945546</v>
      </c>
      <c r="E22" s="5">
        <f>IF($G22=0,0,((Title_RESULTS!$H$14*((1+Title_RESULTS!$H$15/100)^($A22-Title_RESULTS!$H$7))*'EUE_Line Losses'!$B$25*Partcipation!$C$26))/1000)</f>
        <v>1.8191027722443804</v>
      </c>
      <c r="F22" s="5">
        <f>IF($G22=0,0,(Title_RESULTS!$H$19/100*((1+Title_RESULTS!$H$20/100)^($A22-Title_RESULTS!$H$7))*$D22*1000)/1000)</f>
        <v>0.522340227862246</v>
      </c>
      <c r="G22" s="5">
        <f>(+Title_RESULTS!$H$22/100*((1+Title_RESULTS!$H$23/100)^(+'Sheet4(F_22)'!A22-Title_RESULTS!$H$7)))*'Sheet3(F_21)'!D22</f>
        <v>10.55992130870178</v>
      </c>
      <c r="H22" s="5">
        <f>IF($G22=0,0,(($D22))*(Partcipation!$G22/100))</f>
        <v>7.675128856871476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22.84340038634749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18.039976892836414</v>
      </c>
      <c r="D23" s="5">
        <f>IF((Title_RESULTS!$H$8-Title_RESULTS!$H$7)&lt;=('Sheet3(F_21)'!A23-Title_RESULTS!$H$7),((Title_RESULTS!$C$8*Partcipation!$C$26*8760*Title_RESULTS!$H$21/100000)),0)</f>
        <v>215.74187040945546</v>
      </c>
      <c r="E23" s="5">
        <f>IF($G23=0,0,((Title_RESULTS!$H$14*((1+Title_RESULTS!$H$15/100)^($A23-Title_RESULTS!$H$7))*'EUE_Line Losses'!$B$25*Partcipation!$C$26))/1000)</f>
        <v>1.8627612387782464</v>
      </c>
      <c r="F23" s="5">
        <f>IF($G23=0,0,(Title_RESULTS!$H$19/100*((1+Title_RESULTS!$H$20/100)^($A23-Title_RESULTS!$H$7))*$D23*1000)/1000)</f>
        <v>0.5348763933309398</v>
      </c>
      <c r="G23" s="5">
        <f>(+Title_RESULTS!$H$22/100*((1+Title_RESULTS!$H$23/100)^(+'Sheet4(F_22)'!A23-Title_RESULTS!$H$7)))*'Sheet3(F_21)'!D23</f>
        <v>11.039341736116842</v>
      </c>
      <c r="H23" s="5">
        <f>IF($G23=0,0,(($D23))*(Partcipation!$G23/100))</f>
        <v>8.018665083309447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23.458291177752997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18.47293633826449</v>
      </c>
      <c r="D24" s="5">
        <f>IF((Title_RESULTS!$H$8-Title_RESULTS!$H$7)&lt;=('Sheet3(F_21)'!A24-Title_RESULTS!$H$7),((Title_RESULTS!$C$8*Partcipation!$C$26*8760*Title_RESULTS!$H$21/100000)),0)</f>
        <v>215.74187040945546</v>
      </c>
      <c r="E24" s="5">
        <f>IF($G24=0,0,((Title_RESULTS!$H$14*((1+Title_RESULTS!$H$15/100)^($A24-Title_RESULTS!$H$7))*'EUE_Line Losses'!$B$25*Partcipation!$C$26))/1000)</f>
        <v>1.9074675085089239</v>
      </c>
      <c r="F24" s="5">
        <f>IF($G24=0,0,(Title_RESULTS!$H$19/100*((1+Title_RESULTS!$H$20/100)^($A24-Title_RESULTS!$H$7))*$D24*1000)/1000)</f>
        <v>0.5477134267708824</v>
      </c>
      <c r="G24" s="5">
        <f>(+Title_RESULTS!$H$22/100*((1+Title_RESULTS!$H$23/100)^(+'Sheet4(F_22)'!A24-Title_RESULTS!$H$7)))*'Sheet3(F_21)'!D24</f>
        <v>11.540527850936549</v>
      </c>
      <c r="H24" s="5">
        <f>IF($G24=0,0,(($D24))*(Partcipation!$G24/100))</f>
        <v>8.630203685306714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23.83844143917413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18.916286810382836</v>
      </c>
      <c r="D25" s="5">
        <f>IF((Title_RESULTS!$H$8-Title_RESULTS!$H$7)&lt;=('Sheet3(F_21)'!A25-Title_RESULTS!$H$7),((Title_RESULTS!$C$8*Partcipation!$C$26*8760*Title_RESULTS!$H$21/100000)),0)</f>
        <v>215.74187040945546</v>
      </c>
      <c r="E25" s="5">
        <f>IF($G25=0,0,((Title_RESULTS!$H$14*((1+Title_RESULTS!$H$15/100)^($A25-Title_RESULTS!$H$7))*'EUE_Line Losses'!$B$25*Partcipation!$C$26))/1000)</f>
        <v>1.953246728713138</v>
      </c>
      <c r="F25" s="5">
        <f>IF($G25=0,0,(Title_RESULTS!$H$19/100*((1+Title_RESULTS!$H$20/100)^($A25-Title_RESULTS!$H$7))*$D25*1000)/1000)</f>
        <v>0.5608585490133835</v>
      </c>
      <c r="G25" s="5">
        <f>(+Title_RESULTS!$H$22/100*((1+Title_RESULTS!$H$23/100)^(+'Sheet4(F_22)'!A25-Title_RESULTS!$H$7)))*'Sheet3(F_21)'!D25</f>
        <v>12.064467815369069</v>
      </c>
      <c r="H25" s="5">
        <f>IF($G25=0,0,(($D25))*(Partcipation!$G25/100))</f>
        <v>9.00894581428863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24.485914089189798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19.370277693832026</v>
      </c>
      <c r="D26" s="5">
        <f>IF((Title_RESULTS!$H$8-Title_RESULTS!$H$7)&lt;=('Sheet3(F_21)'!A26-Title_RESULTS!$H$7),((Title_RESULTS!$C$8*Partcipation!$C$26*8760*Title_RESULTS!$H$21/100000)),0)</f>
        <v>215.74187040945546</v>
      </c>
      <c r="E26" s="5">
        <f>IF($G26=0,0,((Title_RESULTS!$H$14*((1+Title_RESULTS!$H$15/100)^($A26-Title_RESULTS!$H$7))*'EUE_Line Losses'!$B$25*Partcipation!$C$26))/1000)</f>
        <v>2.0001246502022534</v>
      </c>
      <c r="F26" s="5">
        <f>IF($G26=0,0,(Title_RESULTS!$H$19/100*((1+Title_RESULTS!$H$20/100)^($A26-Title_RESULTS!$H$7))*$D26*1000)/1000)</f>
        <v>0.5743191541897048</v>
      </c>
      <c r="G26" s="5">
        <f>(+Title_RESULTS!$H$22/100*((1+Title_RESULTS!$H$23/100)^(+'Sheet4(F_22)'!A26-Title_RESULTS!$H$7)))*'Sheet3(F_21)'!D26</f>
        <v>12.612194654186824</v>
      </c>
      <c r="H26" s="5">
        <f>IF($G26=0,0,(($D26))*(Partcipation!$G26/100))</f>
        <v>9.67878712179158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24.878129030619228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142.82920643096756</v>
      </c>
      <c r="D28" s="9">
        <f t="shared" si="1"/>
        <v>1725.9349632756437</v>
      </c>
      <c r="E28" s="9">
        <f t="shared" si="1"/>
        <v>14.748173519596513</v>
      </c>
      <c r="F28" s="9">
        <f t="shared" si="1"/>
        <v>4.234815335514797</v>
      </c>
      <c r="G28" s="9">
        <f t="shared" si="1"/>
        <v>86.82341740231534</v>
      </c>
      <c r="H28" s="9">
        <f t="shared" si="1"/>
        <v>64.44155195622182</v>
      </c>
      <c r="I28" s="9">
        <f t="shared" si="1"/>
        <v>0</v>
      </c>
      <c r="J28" s="9">
        <f t="shared" si="1"/>
        <v>184.1940607321724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91.9064455848077</v>
      </c>
      <c r="D30" s="5"/>
      <c r="E30" s="5">
        <f>NPV(Title_RESULTS!$C$37,E17:E27)+'Sheet3(F_21)'!E16</f>
        <v>9.490021270329036</v>
      </c>
      <c r="F30" s="5">
        <f>NPV(Title_RESULTS!$C$37,F17:F27)+'Sheet3(F_21)'!F16</f>
        <v>2.7249806599136424</v>
      </c>
      <c r="G30" s="5">
        <f>NPV(Title_RESULTS!$C$37,G17:G27)+'Sheet3(F_21)'!G16</f>
        <v>55.45546630246398</v>
      </c>
      <c r="H30" s="5">
        <f>NPV(Title_RESULTS!$C$37,H17:H27)+'Sheet3(F_21)'!H16</f>
        <v>41.097474074035034</v>
      </c>
      <c r="I30" s="5">
        <f>NPV(Title_RESULTS!$C$37,I17:I27)+'Sheet3(F_21)'!I16</f>
        <v>0</v>
      </c>
      <c r="J30" s="5">
        <f>NPV(Title_RESULTS!$C$37,J17:J27)+'Sheet3(F_21)'!J16</f>
        <v>118.47943974347933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Programmable Thermostat</v>
      </c>
      <c r="F2" t="s">
        <v>55</v>
      </c>
    </row>
    <row r="3" spans="6:7" ht="12.75">
      <c r="F3" s="35">
        <f>+Title_RESULTS!I4</f>
        <v>43599.32903530093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59.6271186440678</v>
      </c>
      <c r="C16" s="5">
        <f>$B16*'Sheet2(F_12)'!$E16/100</f>
        <v>1.7296095687588118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1.7296095687588118</v>
      </c>
      <c r="G16" s="5">
        <f>+$F16*'Sheet2(F_12)'!$I16</f>
        <v>1.7296095687588118</v>
      </c>
    </row>
    <row r="17" spans="1:7" ht="12.75">
      <c r="A17">
        <f>+A16+1</f>
        <v>2021</v>
      </c>
      <c r="B17" s="5">
        <f>(+Partcipation!$C16+(Partcipation!$C17-Partcipation!$C16)/2)*Title_RESULTS!$C$10/1000</f>
        <v>178.8813559322034</v>
      </c>
      <c r="C17" s="5">
        <f>$B17*'Sheet2(F_12)'!$E17/100</f>
        <v>5.146623535330082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5.146623535330082</v>
      </c>
      <c r="G17" s="5">
        <f>+$F17*'Sheet2(F_12)'!$I17</f>
        <v>5.146623535330082</v>
      </c>
    </row>
    <row r="18" spans="1:7" ht="12.75">
      <c r="A18">
        <f>+A17+1</f>
        <v>2022</v>
      </c>
      <c r="B18" s="5">
        <f>(+Partcipation!$C17+(Partcipation!$C18-Partcipation!$C17)/2)*Title_RESULTS!$C$10/1000</f>
        <v>298.135593220339</v>
      </c>
      <c r="C18" s="5">
        <f>$B18*'Sheet2(F_12)'!$E18/100</f>
        <v>8.852766607331734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8.852766607331734</v>
      </c>
      <c r="G18" s="5">
        <f>+$F18*'Sheet2(F_12)'!$I18</f>
        <v>8.852766607331734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357.7627118644068</v>
      </c>
      <c r="C19" s="5">
        <f>$B19*'Sheet2(F_12)'!$E19/100</f>
        <v>11.059128821298664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11.059128821298664</v>
      </c>
      <c r="G19" s="5">
        <f>+$F19*'Sheet2(F_12)'!$I19</f>
        <v>11.059128821298664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357.7627118644068</v>
      </c>
      <c r="C20" s="5">
        <f>$B20*'Sheet2(F_12)'!$E20/100</f>
        <v>11.493710899632616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11.493710899632616</v>
      </c>
      <c r="G20" s="5">
        <f>+$F20*'Sheet2(F_12)'!$I20</f>
        <v>11.493710899632616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357.7627118644068</v>
      </c>
      <c r="C21" s="5">
        <f>$B21*'Sheet2(F_12)'!$E21/100</f>
        <v>12.340785148208342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12.340785148208342</v>
      </c>
      <c r="G21" s="5">
        <f>+$F21*'Sheet2(F_12)'!$I21</f>
        <v>12.340785148208342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357.7627118644068</v>
      </c>
      <c r="C22" s="5">
        <f>$B22*'Sheet2(F_12)'!$E22/100</f>
        <v>12.73661119882362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12.73661119882362</v>
      </c>
      <c r="G22" s="5">
        <f>+$F22*'Sheet2(F_12)'!$I22</f>
        <v>12.73661119882362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357.7627118644068</v>
      </c>
      <c r="C23" s="5">
        <f>$B23*'Sheet2(F_12)'!$E23/100</f>
        <v>13.532592392229706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13.532592392229706</v>
      </c>
      <c r="G23" s="5">
        <f>+$F23*'Sheet2(F_12)'!$I23</f>
        <v>13.532592392229706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357.7627118644068</v>
      </c>
      <c r="C24" s="5">
        <f>$B24*'Sheet2(F_12)'!$E24/100</f>
        <v>14.995677286900682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14.995677286900682</v>
      </c>
      <c r="G24" s="5">
        <f>+$F24*'Sheet2(F_12)'!$I24</f>
        <v>14.995677286900682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357.7627118644068</v>
      </c>
      <c r="C25" s="5">
        <f>$B25*'Sheet2(F_12)'!$E25/100</f>
        <v>16.065832830276296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16.065832830276296</v>
      </c>
      <c r="G25" s="5">
        <f>+$F25*'Sheet2(F_12)'!$I25</f>
        <v>16.065832830276296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357.7627118644068</v>
      </c>
      <c r="C26" s="5">
        <f>$B26*'Sheet2(F_12)'!$E26/100</f>
        <v>17.94464522095814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17.94464522095814</v>
      </c>
      <c r="G26" s="5">
        <f>+$F26*'Sheet2(F_12)'!$I26</f>
        <v>17.94464522095814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3398.7457627118647</v>
      </c>
      <c r="C28" s="5">
        <f t="shared" si="2"/>
        <v>125.89798350974868</v>
      </c>
      <c r="D28" s="5">
        <f t="shared" si="2"/>
        <v>0</v>
      </c>
      <c r="E28" s="5">
        <f t="shared" si="2"/>
        <v>0</v>
      </c>
      <c r="F28" s="5">
        <f t="shared" si="2"/>
        <v>125.89798350974868</v>
      </c>
      <c r="G28" s="5">
        <f t="shared" si="2"/>
        <v>125.89798350974868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84.01477743441745</v>
      </c>
      <c r="D30" s="5"/>
      <c r="E30" s="5">
        <f>NPV(+Title_RESULTS!$C$37,E17:E27)+E16</f>
        <v>0</v>
      </c>
      <c r="F30" s="5">
        <f>NPV(+Title_RESULTS!$C$37,F17:F27)+F16</f>
        <v>84.01477743441745</v>
      </c>
      <c r="G30" s="5">
        <f>NPV(+Title_RESULTS!$C$37,G17:G27)+G16</f>
        <v>84.01477743441745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Programmable Thermostat</v>
      </c>
      <c r="J2" t="s">
        <v>42</v>
      </c>
    </row>
    <row r="3" spans="9:10" ht="12.75">
      <c r="I3" s="4"/>
      <c r="J3" s="35">
        <f>+Title_RESULTS!I4</f>
        <v>43599.32903530093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Programmable Thermostat</v>
      </c>
      <c r="H2" t="s">
        <v>108</v>
      </c>
    </row>
    <row r="3" ht="12.75">
      <c r="H3" s="35">
        <f>+Title_RESULTS!I4</f>
        <v>43599.32903530093</v>
      </c>
    </row>
    <row r="5" spans="3:6" ht="12.75">
      <c r="C5" t="s">
        <v>60</v>
      </c>
      <c r="F5" s="38">
        <f>+'Value of Defferal'!L4</f>
        <v>9.6848896</v>
      </c>
    </row>
    <row r="6" spans="3:6" ht="12.75">
      <c r="C6" t="s">
        <v>62</v>
      </c>
      <c r="F6" s="38">
        <f>+'Value of Defferal'!L5</f>
        <v>25.683624960000007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1.7296095687588118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0.9570830999432005</v>
      </c>
      <c r="C17" s="5">
        <f>IF(+Title_RESULTS!$H$9&lt;='Sheet4(F_22)'!$A17,(+Title_RESULTS!$H$16*((1+Title_RESULTS!$H$18/100)^('Sheet4(F_22)'!$A17-Title_RESULTS!$H$7))*Title_RESULTS!$C$8*Partcipation!$C$26/1000),0)</f>
        <v>0.7704309013648516</v>
      </c>
      <c r="D17" s="5">
        <f>(+B17+C17)*+Partcipation!$H17</f>
        <v>1.727514001308052</v>
      </c>
      <c r="E17" s="5">
        <f>VLOOKUP(A17,'Value of Defferal'!$I24:$P$58,'Value of Defferal'!$K$13)</f>
        <v>2.538114982177532</v>
      </c>
      <c r="F17" s="5">
        <f>IF(+'Value of Defferal'!P24=0,0,Title_RESULTS!$H$17*Title_RESULTS!$C$7*Partcipation!$C$26*(1+Title_RESULTS!$H$18/100)^('Sheet4(F_22)'!A17-Title_RESULTS!$H$7))/1000</f>
        <v>3.5359027200000006</v>
      </c>
      <c r="G17" s="5">
        <f>(+E17+F17)*Partcipation!$H17</f>
        <v>6.074017702177533</v>
      </c>
      <c r="H17" s="5">
        <f>+'Sheet5(p_5)'!$F17*'Sheet2(F_12)'!$I17</f>
        <v>5.146623535330082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0.9800530943418373</v>
      </c>
      <c r="C18" s="5">
        <f>IF(+Title_RESULTS!$H$9&lt;='Sheet4(F_22)'!$A18,(+Title_RESULTS!$H$16*((1+Title_RESULTS!$H$18/100)^('Sheet4(F_22)'!$A18-Title_RESULTS!$H$7))*Title_RESULTS!$C$8*Partcipation!$C$26/1000),0)</f>
        <v>0.7889212429976078</v>
      </c>
      <c r="D18" s="5">
        <f>(+B18+C18)*+Partcipation!$H18</f>
        <v>1.768974337339445</v>
      </c>
      <c r="E18" s="5">
        <f>VLOOKUP(A18,'Value of Defferal'!$I25:$P$58,'Value of Defferal'!$K$13)</f>
        <v>2.5990297417497925</v>
      </c>
      <c r="F18" s="5">
        <f>IF(+'Value of Defferal'!P25=0,0,Title_RESULTS!$H$17*Title_RESULTS!$C$7*Partcipation!$C$26*(1+Title_RESULTS!$H$18/100)^('Sheet4(F_22)'!A18-Title_RESULTS!$H$7))/1000</f>
        <v>3.62076438528</v>
      </c>
      <c r="G18" s="5">
        <f>(+E18+F18)*Partcipation!$H18</f>
        <v>6.219794127029793</v>
      </c>
      <c r="H18" s="5">
        <f>+'Sheet5(p_5)'!$F18*'Sheet2(F_12)'!$I18</f>
        <v>8.852766607331734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1.0035743686060414</v>
      </c>
      <c r="C19" s="5">
        <f>IF(+Title_RESULTS!$H$9&lt;='Sheet4(F_22)'!$A19,(+Title_RESULTS!$H$16*((1+Title_RESULTS!$H$18/100)^('Sheet4(F_22)'!$A19-Title_RESULTS!$H$7))*Title_RESULTS!$C$8*Partcipation!$C$26/1000),0)</f>
        <v>0.8078553528295506</v>
      </c>
      <c r="D19" s="5">
        <f>(+B19+C19)*+Partcipation!$H19</f>
        <v>1.811429721435592</v>
      </c>
      <c r="E19" s="5">
        <f>VLOOKUP(A19,'Value of Defferal'!$I26:$P$58,'Value of Defferal'!$K$13)</f>
        <v>2.661406455551788</v>
      </c>
      <c r="F19" s="5">
        <f>IF(+'Value of Defferal'!P26=0,0,Title_RESULTS!$H$17*Title_RESULTS!$C$7*Partcipation!$C$26*(1+Title_RESULTS!$H$18/100)^('Sheet4(F_22)'!A19-Title_RESULTS!$H$7))/1000</f>
        <v>3.70766273052672</v>
      </c>
      <c r="G19" s="5">
        <f>(+E19+F19)*Partcipation!$H19</f>
        <v>6.369069186078508</v>
      </c>
      <c r="H19" s="5">
        <f>+'Sheet5(p_5)'!$F19*'Sheet2(F_12)'!$I19</f>
        <v>11.059128821298664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1.0276601534525864</v>
      </c>
      <c r="C20" s="5">
        <f>IF(+Title_RESULTS!$H$9&lt;='Sheet4(F_22)'!$A20,(+Title_RESULTS!$H$16*((1+Title_RESULTS!$H$18/100)^('Sheet4(F_22)'!$A20-Title_RESULTS!$H$7))*Title_RESULTS!$C$8*Partcipation!$C$26/1000),0)</f>
        <v>0.8272438812974596</v>
      </c>
      <c r="D20" s="5">
        <f>(+B20+C20)*+Partcipation!$H20</f>
        <v>1.854904034750046</v>
      </c>
      <c r="E20" s="5">
        <f>VLOOKUP(A20,'Value of Defferal'!$I27:$P$58,'Value of Defferal'!$K$13)</f>
        <v>2.7252802104850304</v>
      </c>
      <c r="F20" s="5">
        <f>IF(+'Value of Defferal'!P27=0,0,Title_RESULTS!$H$17*Title_RESULTS!$C$7*Partcipation!$C$26*(1+Title_RESULTS!$H$18/100)^('Sheet4(F_22)'!A20-Title_RESULTS!$H$7))/1000</f>
        <v>3.796646636059361</v>
      </c>
      <c r="G20" s="5">
        <f>(+E20+F20)*Partcipation!$H20</f>
        <v>6.521926846544392</v>
      </c>
      <c r="H20" s="5">
        <f>+'Sheet5(p_5)'!$F20*'Sheet2(F_12)'!$I20</f>
        <v>11.493710899632616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1.0523239971354486</v>
      </c>
      <c r="C21" s="5">
        <f>IF(+Title_RESULTS!$H$9&lt;='Sheet4(F_22)'!$A21,(+Title_RESULTS!$H$16*((1+Title_RESULTS!$H$18/100)^('Sheet4(F_22)'!$A21-Title_RESULTS!$H$7))*Title_RESULTS!$C$8*Partcipation!$C$26/1000),0)</f>
        <v>0.8470977344485988</v>
      </c>
      <c r="D21" s="5">
        <f>(+B21+C21)*+Partcipation!$H21</f>
        <v>1.8994217315840474</v>
      </c>
      <c r="E21" s="5">
        <f>VLOOKUP(A21,'Value of Defferal'!$I28:$P$58,'Value of Defferal'!$K$13)</f>
        <v>2.7906869355366712</v>
      </c>
      <c r="F21" s="5">
        <f>IF(+'Value of Defferal'!P28=0,0,Title_RESULTS!$H$17*Title_RESULTS!$C$7*Partcipation!$C$26*(1+Title_RESULTS!$H$18/100)^('Sheet4(F_22)'!A21-Title_RESULTS!$H$7))/1000</f>
        <v>3.8877661553247864</v>
      </c>
      <c r="G21" s="5">
        <f>(+E21+F21)*Partcipation!$H21</f>
        <v>6.678453090861458</v>
      </c>
      <c r="H21" s="5">
        <f>+'Sheet5(p_5)'!$F21*'Sheet2(F_12)'!$I21</f>
        <v>12.340785148208342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1.0775797730666992</v>
      </c>
      <c r="C22" s="5">
        <f>IF(+Title_RESULTS!$H$9&lt;='Sheet4(F_22)'!$A22,(+Title_RESULTS!$H$16*((1+Title_RESULTS!$H$18/100)^('Sheet4(F_22)'!$A22-Title_RESULTS!$H$7))*Title_RESULTS!$C$8*Partcipation!$C$26/1000),0)</f>
        <v>0.867428080075365</v>
      </c>
      <c r="D22" s="5">
        <f>(+B22+C22)*+Partcipation!$H22</f>
        <v>1.945007853142064</v>
      </c>
      <c r="E22" s="5">
        <f>VLOOKUP(A22,'Value of Defferal'!$I29:$P$58,'Value of Defferal'!$K$13)</f>
        <v>2.857663421989552</v>
      </c>
      <c r="F22" s="5">
        <f>IF(+'Value of Defferal'!P29=0,0,Title_RESULTS!$H$17*Title_RESULTS!$C$7*Partcipation!$C$26*(1+Title_RESULTS!$H$18/100)^('Sheet4(F_22)'!A22-Title_RESULTS!$H$7))/1000</f>
        <v>3.9810725430525804</v>
      </c>
      <c r="G22" s="5">
        <f>(+E22+F22)*Partcipation!$H22</f>
        <v>6.838735965042132</v>
      </c>
      <c r="H22" s="5">
        <f>+'Sheet5(p_5)'!$F22*'Sheet2(F_12)'!$I22</f>
        <v>12.73661119882362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1.1034416876203</v>
      </c>
      <c r="C23" s="5">
        <f>IF(+Title_RESULTS!$H$9&lt;='Sheet4(F_22)'!$A23,(+Title_RESULTS!$H$16*((1+Title_RESULTS!$H$18/100)^('Sheet4(F_22)'!$A23-Title_RESULTS!$H$7))*Title_RESULTS!$C$8*Partcipation!$C$26/1000),0)</f>
        <v>0.888246353997174</v>
      </c>
      <c r="D23" s="5">
        <f>(+B23+C23)*+Partcipation!$H23</f>
        <v>1.9916880416174738</v>
      </c>
      <c r="E23" s="5">
        <f>VLOOKUP(A23,'Value of Defferal'!$I30:$P$58,'Value of Defferal'!$K$13)</f>
        <v>2.926247344117301</v>
      </c>
      <c r="F23" s="5">
        <f>IF(+'Value of Defferal'!P30=0,0,Title_RESULTS!$H$17*Title_RESULTS!$C$7*Partcipation!$C$26*(1+Title_RESULTS!$H$18/100)^('Sheet4(F_22)'!A23-Title_RESULTS!$H$7))/1000</f>
        <v>4.076618284085844</v>
      </c>
      <c r="G23" s="5">
        <f>(+E23+F23)*Partcipation!$H23</f>
        <v>7.0028656282031445</v>
      </c>
      <c r="H23" s="5">
        <f>+'Sheet5(p_5)'!$F23*'Sheet2(F_12)'!$I23</f>
        <v>13.532592392229706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1.1299242881231872</v>
      </c>
      <c r="C24" s="5">
        <f>IF(+Title_RESULTS!$H$9&lt;='Sheet4(F_22)'!$A24,(+Title_RESULTS!$H$16*((1+Title_RESULTS!$H$18/100)^('Sheet4(F_22)'!$A24-Title_RESULTS!$H$7))*Title_RESULTS!$C$8*Partcipation!$C$26/1000),0)</f>
        <v>0.909564266493106</v>
      </c>
      <c r="D24" s="5">
        <f>(+B24+C24)*+Partcipation!$H24</f>
        <v>2.0394885546162933</v>
      </c>
      <c r="E24" s="5">
        <f>VLOOKUP(A24,'Value of Defferal'!$I31:$P$58,'Value of Defferal'!$K$13)</f>
        <v>2.9964772803761157</v>
      </c>
      <c r="F24" s="5">
        <f>IF(+'Value of Defferal'!P31=0,0,Title_RESULTS!$H$17*Title_RESULTS!$C$7*Partcipation!$C$26*(1+Title_RESULTS!$H$18/100)^('Sheet4(F_22)'!A24-Title_RESULTS!$H$7))/1000</f>
        <v>4.174457122903903</v>
      </c>
      <c r="G24" s="5">
        <f>(+E24+F24)*Partcipation!$H24</f>
        <v>7.170934403280019</v>
      </c>
      <c r="H24" s="5">
        <f>+'Sheet5(p_5)'!$F24*'Sheet2(F_12)'!$I24</f>
        <v>14.995677286900682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1.1570424710381437</v>
      </c>
      <c r="C25" s="5">
        <f>IF(+Title_RESULTS!$H$9&lt;='Sheet4(F_22)'!$A25,(+Title_RESULTS!$H$16*((1+Title_RESULTS!$H$18/100)^('Sheet4(F_22)'!$A25-Title_RESULTS!$H$7))*Title_RESULTS!$C$8*Partcipation!$C$26/1000),0)</f>
        <v>0.9313938088889405</v>
      </c>
      <c r="D25" s="5">
        <f>(+B25+C25)*+Partcipation!$H25</f>
        <v>2.0884362799270844</v>
      </c>
      <c r="E25" s="5">
        <f>VLOOKUP(A25,'Value of Defferal'!$I32:$P$58,'Value of Defferal'!$K$13)</f>
        <v>3.0683927351051428</v>
      </c>
      <c r="F25" s="5">
        <f>IF(+'Value of Defferal'!P32=0,0,Title_RESULTS!$H$17*Title_RESULTS!$C$7*Partcipation!$C$26*(1+Title_RESULTS!$H$18/100)^('Sheet4(F_22)'!A25-Title_RESULTS!$H$7))/1000</f>
        <v>4.274644093853596</v>
      </c>
      <c r="G25" s="5">
        <f>(+E25+F25)*Partcipation!$H25</f>
        <v>7.3430368289587395</v>
      </c>
      <c r="H25" s="5">
        <f>+'Sheet5(p_5)'!$F25*'Sheet2(F_12)'!$I25</f>
        <v>16.065832830276296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1.1848114903430593</v>
      </c>
      <c r="C26" s="5">
        <f>IF(+Title_RESULTS!$H$9&lt;='Sheet4(F_22)'!$A26,(+Title_RESULTS!$H$16*((1+Title_RESULTS!$H$18/100)^('Sheet4(F_22)'!$A26-Title_RESULTS!$H$7))*Title_RESULTS!$C$8*Partcipation!$C$26/1000),0)</f>
        <v>0.9537472603022752</v>
      </c>
      <c r="D26" s="5">
        <f>(+B26+C26)*+Partcipation!$H26</f>
        <v>2.1385587506453345</v>
      </c>
      <c r="E26" s="5">
        <f>VLOOKUP(A26,'Value of Defferal'!$I33:$P$58,'Value of Defferal'!$K$13)</f>
        <v>3.1420341607476665</v>
      </c>
      <c r="F26" s="5">
        <f>IF(+'Value of Defferal'!P33=0,0,Title_RESULTS!$H$17*Title_RESULTS!$C$7*Partcipation!$C$26*(1+Title_RESULTS!$H$18/100)^('Sheet4(F_22)'!A26-Title_RESULTS!$H$7))/1000</f>
        <v>4.377235552106082</v>
      </c>
      <c r="G26" s="5">
        <f>(+E26+F26)*Partcipation!$H26</f>
        <v>7.519269712853749</v>
      </c>
      <c r="H26" s="5">
        <f>+'Sheet5(p_5)'!$F26*'Sheet2(F_12)'!$I26</f>
        <v>17.94464522095814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10.673494423670505</v>
      </c>
      <c r="C28" s="5">
        <f t="shared" si="1"/>
        <v>8.59192888269493</v>
      </c>
      <c r="D28" s="5">
        <f t="shared" si="1"/>
        <v>19.26542330636543</v>
      </c>
      <c r="E28" s="5">
        <f t="shared" si="1"/>
        <v>28.30533326783659</v>
      </c>
      <c r="F28" s="5">
        <f t="shared" si="1"/>
        <v>39.432770223192875</v>
      </c>
      <c r="G28" s="5">
        <f t="shared" si="1"/>
        <v>67.73810349102948</v>
      </c>
      <c r="H28" s="5">
        <f t="shared" si="1"/>
        <v>125.89798350974868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7.3701324178057614</v>
      </c>
      <c r="C30" s="5">
        <f>NPV(Title_RESULTS!$C$37,'Sheet4(F_22)'!C17:C27)+'Sheet4(F_22)'!C16</f>
        <v>5.93279492884723</v>
      </c>
      <c r="D30" s="5">
        <f>NPV(Title_RESULTS!$C$37,'Sheet4(F_22)'!D17:D27)+'Sheet4(F_22)'!D16</f>
        <v>13.302927346652988</v>
      </c>
      <c r="E30" s="5">
        <f>NPV(Title_RESULTS!$C$37,'Sheet4(F_22)'!E17:E27)+'Sheet4(F_22)'!E16</f>
        <v>19.54505675774159</v>
      </c>
      <c r="F30" s="5">
        <f>NPV(Title_RESULTS!$C$37,'Sheet4(F_22)'!F17:F27)+'Sheet4(F_22)'!F16</f>
        <v>27.22864008822864</v>
      </c>
      <c r="G30" s="5">
        <f>NPV(Title_RESULTS!$C$37,'Sheet4(F_22)'!G17:G27)+'Sheet4(F_22)'!G16</f>
        <v>46.77369684597023</v>
      </c>
      <c r="H30" s="5">
        <f>NPV(Title_RESULTS!$C$37,'Sheet4(F_22)'!H17:H27)+'Sheet4(F_22)'!H16</f>
        <v>84.01477743441745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Programmable Thermostat</v>
      </c>
      <c r="P2" t="s">
        <v>121</v>
      </c>
    </row>
    <row r="3" ht="12.75">
      <c r="P3" s="35">
        <f>+Title_RESULTS!I4</f>
        <v>43599.32903530093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14.22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14.22</v>
      </c>
      <c r="H16" s="5">
        <f>IF(Partcipation!$B17&lt;Partcipation!$B16,0,IF(Partcipation!$B16=0,0,(Partcipation!$B16-Partcipation!$B15)*(+Title_RESULTS!$C$29*(1+Title_RESULTS!$C$30/100)^(+'Sheet8(F_24)'!$A16-Title_RESULTS!$H$7))/1000))</f>
        <v>33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33</v>
      </c>
      <c r="K16" s="5">
        <f>(+Partcipation!$B15+(Partcipation!$B16-Partcipation!$B15)/2)*(+Title_RESULTS!$C$14)/1000</f>
        <v>56.288</v>
      </c>
      <c r="L16" s="5">
        <f>($K16)*Partcipation!$E73*Title_RESULTS!$C$12/100</f>
        <v>1.3703947073942384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3.3414245439999997</v>
      </c>
      <c r="N16" s="5">
        <f>'Sheet2(F_12)'!$I16*('Sheet6(p_6)'!$L16+'Sheet6(p_6)'!$M16)</f>
        <v>4.711819251394238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14.22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14.22</v>
      </c>
      <c r="H17" s="5">
        <f>IF(Partcipation!$B18&lt;Partcipation!$B17,0,IF(Partcipation!$B17=0,0,(Partcipation!$B17-Partcipation!$B16)*(+Title_RESULTS!$C$29*(1+Title_RESULTS!$C$30/100)^(+'Sheet8(F_24)'!$A17-Title_RESULTS!$H$7))/1000))</f>
        <v>33.759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33.759</v>
      </c>
      <c r="K17" s="5">
        <f>(+Partcipation!$B16+(Partcipation!$B17-Partcipation!$B16)/2)*(+Title_RESULTS!$C$14)/1000</f>
        <v>168.864</v>
      </c>
      <c r="L17" s="5">
        <f>($K17)*Partcipation!$E74*Title_RESULTS!$C$12/100</f>
        <v>4.306849697099326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10.12451636832</v>
      </c>
      <c r="N17" s="5">
        <f>'Sheet2(F_12)'!$I17*('Sheet6(p_6)'!$L17+'Sheet6(p_6)'!$M17)</f>
        <v>14.431366065419326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14.22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14.22</v>
      </c>
      <c r="H18" s="5">
        <f>IF(Partcipation!$B19&lt;Partcipation!$B18,0,IF(Partcipation!$B18=0,0,(Partcipation!$B18-Partcipation!$B17)*(+Title_RESULTS!$C$29*(1+Title_RESULTS!$C$30/100)^(+'Sheet8(F_24)'!$A18-Title_RESULTS!$H$7))/1000))</f>
        <v>34.535456999999994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34.535456999999994</v>
      </c>
      <c r="K18" s="5">
        <f>(+Partcipation!$B17+(Partcipation!$B18-Partcipation!$B17)/2)*(+Title_RESULTS!$C$14)/1000</f>
        <v>281.44</v>
      </c>
      <c r="L18" s="5">
        <f>($K18)*Partcipation!$E75*Title_RESULTS!$C$12/100</f>
        <v>7.442490295155575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17.042935886672</v>
      </c>
      <c r="N18" s="5">
        <f>'Sheet2(F_12)'!$I18*('Sheet6(p_6)'!$L18+'Sheet6(p_6)'!$M18)</f>
        <v>24.485426181827577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337.728</v>
      </c>
      <c r="L19" s="5">
        <f>($K19)*Partcipation!$E76*Title_RESULTS!$C$12/100</f>
        <v>8.857777573155355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20.65603829464646</v>
      </c>
      <c r="N19" s="5">
        <f>'Sheet2(F_12)'!$I19*('Sheet6(p_6)'!$L19+'Sheet6(p_6)'!$M19)</f>
        <v>29.513815867801817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337.728</v>
      </c>
      <c r="L20" s="5">
        <f>($K20)*Partcipation!$E77*Title_RESULTS!$C$12/100</f>
        <v>9.360188356907662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20.862598677592928</v>
      </c>
      <c r="N20" s="5">
        <f>'Sheet2(F_12)'!$I20*('Sheet6(p_6)'!$L20+'Sheet6(p_6)'!$M20)</f>
        <v>30.22278703450059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337.728</v>
      </c>
      <c r="L21" s="5">
        <f>($K21)*Partcipation!$E78*Title_RESULTS!$C$12/100</f>
        <v>9.897450784455168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21.071224664368856</v>
      </c>
      <c r="N21" s="5">
        <f>'Sheet2(F_12)'!$I21*('Sheet6(p_6)'!$L21+'Sheet6(p_6)'!$M21)</f>
        <v>30.968675448824023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337.728</v>
      </c>
      <c r="L22" s="5">
        <f>($K22)*Partcipation!$E79*Title_RESULTS!$C$12/100</f>
        <v>10.344955771770394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21.28193691101255</v>
      </c>
      <c r="N22" s="5">
        <f>'Sheet2(F_12)'!$I22*('Sheet6(p_6)'!$L22+'Sheet6(p_6)'!$M22)</f>
        <v>31.626892682782945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337.728</v>
      </c>
      <c r="L23" s="5">
        <f>($K23)*Partcipation!$E80*Title_RESULTS!$C$12/100</f>
        <v>10.954076780768403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21.49475628012267</v>
      </c>
      <c r="N23" s="5">
        <f>'Sheet2(F_12)'!$I23*('Sheet6(p_6)'!$L23+'Sheet6(p_6)'!$M23)</f>
        <v>32.448833060891076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337.728</v>
      </c>
      <c r="L24" s="5">
        <f>($K24)*Partcipation!$E81*Title_RESULTS!$C$12/100</f>
        <v>11.991374302277253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21.7097038429239</v>
      </c>
      <c r="N24" s="5">
        <f>'Sheet2(F_12)'!$I24*('Sheet6(p_6)'!$L24+'Sheet6(p_6)'!$M24)</f>
        <v>33.70107814520115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337.728</v>
      </c>
      <c r="L25" s="5">
        <f>($K25)*Partcipation!$E82*Title_RESULTS!$C$12/100</f>
        <v>12.602307821549774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21.92680088135314</v>
      </c>
      <c r="N25" s="5">
        <f>'Sheet2(F_12)'!$I25*('Sheet6(p_6)'!$L25+'Sheet6(p_6)'!$M25)</f>
        <v>34.52910870290292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337.728</v>
      </c>
      <c r="L26" s="5">
        <f>($K26)*Partcipation!$E83*Title_RESULTS!$C$12/100</f>
        <v>13.730869530531681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22.146068890166674</v>
      </c>
      <c r="N26" s="5">
        <f>'Sheet2(F_12)'!$I26*('Sheet6(p_6)'!$L26+'Sheet6(p_6)'!$M26)</f>
        <v>35.87693842069835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92.17728</v>
      </c>
      <c r="C28" s="5">
        <f t="shared" si="4"/>
        <v>0</v>
      </c>
      <c r="D28" s="5">
        <f t="shared" si="4"/>
        <v>92.17728</v>
      </c>
      <c r="E28" s="5">
        <f t="shared" si="4"/>
        <v>42.660000000000004</v>
      </c>
      <c r="F28" s="5">
        <f t="shared" si="4"/>
        <v>0</v>
      </c>
      <c r="G28" s="5">
        <f t="shared" si="4"/>
        <v>42.660000000000004</v>
      </c>
      <c r="H28" s="5">
        <f t="shared" si="4"/>
        <v>101.294457</v>
      </c>
      <c r="I28" s="5">
        <f t="shared" si="4"/>
        <v>0</v>
      </c>
      <c r="J28" s="5">
        <f t="shared" si="4"/>
        <v>101.294457</v>
      </c>
      <c r="K28" s="5">
        <f t="shared" si="4"/>
        <v>3208.416</v>
      </c>
      <c r="L28" s="5">
        <f t="shared" si="4"/>
        <v>100.85873562106482</v>
      </c>
      <c r="M28" s="5">
        <f t="shared" si="4"/>
        <v>201.65800524117915</v>
      </c>
      <c r="N28" s="5">
        <f t="shared" si="4"/>
        <v>302.51674086224403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86.12379783289325</v>
      </c>
      <c r="C30" s="5">
        <f>NPV(Title_RESULTS!$C$37,'Sheet6(p_6)'!C17:C27)+'Sheet6(p_6)'!C16</f>
        <v>0</v>
      </c>
      <c r="D30" s="5">
        <f>NPV(Title_RESULTS!$C$37,'Sheet6(p_6)'!D17:D27)+'Sheet6(p_6)'!D16</f>
        <v>86.12379783289325</v>
      </c>
      <c r="E30" s="5">
        <f>NPV(Title_RESULTS!$C$37,'Sheet6(p_6)'!E17:E27)+'Sheet6(p_6)'!E16</f>
        <v>39.90153792548458</v>
      </c>
      <c r="F30" s="5">
        <f>NPV(Title_RESULTS!$C$37,'Sheet6(p_6)'!F17:F27)+'Sheet6(p_6)'!F16</f>
        <v>0</v>
      </c>
      <c r="G30" s="5">
        <f>NPV(Title_RESULTS!$C$37,'Sheet6(p_6)'!G17:G27)+'Sheet6(p_6)'!G16</f>
        <v>39.90153792548458</v>
      </c>
      <c r="H30" s="5">
        <f>NPV(Title_RESULTS!$C$37,'Sheet6(p_6)'!H17:H27)+'Sheet6(p_6)'!H16</f>
        <v>94.64644600464199</v>
      </c>
      <c r="I30" s="5">
        <f>NPV(Title_RESULTS!$C$37,'Sheet6(p_6)'!I17:I27)+'Sheet6(p_6)'!I16</f>
        <v>0</v>
      </c>
      <c r="J30" s="5">
        <f>NPV(Title_RESULTS!$C$37,'Sheet6(p_6)'!J17:J27)+'Sheet6(p_6)'!J16</f>
        <v>94.64644600464199</v>
      </c>
      <c r="K30" s="5"/>
      <c r="L30" s="5">
        <f>NPV(Title_RESULTS!$C$37,'Sheet6(p_6)'!L17:L27)+'Sheet6(p_6)'!L16</f>
        <v>67.57062002592902</v>
      </c>
      <c r="M30" s="5">
        <f>NPV(Title_RESULTS!$C$37,'Sheet6(p_6)'!M17:M27)+'Sheet6(p_6)'!M16</f>
        <v>138.33430058595442</v>
      </c>
      <c r="N30" s="5">
        <f>NPV(Title_RESULTS!$C$37,'Sheet6(p_6)'!N17:N27)+'Sheet6(p_6)'!N16</f>
        <v>205.90492061188343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Programmable Thermostat</v>
      </c>
      <c r="M2" t="s">
        <v>55</v>
      </c>
    </row>
    <row r="3" ht="12.75">
      <c r="M3" s="35">
        <f>+Title_RESULTS!I4</f>
        <v>43599.32903530093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33</v>
      </c>
      <c r="E16" s="5">
        <f>IF(A16&gt;=(Title_RESULTS!$H$7+Title_RESULTS!$C$17),0,(+'f-11B'!$N15))</f>
        <v>0</v>
      </c>
      <c r="F16" s="5">
        <f>IF(A16&gt;=(Title_RESULTS!$H$7+Title_RESULTS!$C$17),0,(SUM(B16:E16)))</f>
        <v>63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1.7296095687588118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1.7296095687588118</v>
      </c>
      <c r="L16" s="23">
        <f>IF(A16&gt;=(Title_RESULTS!$H$7+Title_RESULTS!$C$17),0,(+$K16-$F16))</f>
        <v>-61.27039043124119</v>
      </c>
      <c r="M16" s="23">
        <f>IF(A16&gt;=(Title_RESULTS!$H$7+Title_RESULTS!$C$17),0,(+$L16/(1+Title_RESULTS!$C$37)^('Sheet7(F_23)'!$A16-Title_RESULTS!$H$7)))</f>
        <v>-61.27039043124119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33.759</v>
      </c>
      <c r="E17" s="5">
        <f>IF(A17&gt;=(Title_RESULTS!$H$7+Title_RESULTS!$C$17),0,(+'f-11B'!$N16))</f>
        <v>0</v>
      </c>
      <c r="F17" s="5">
        <f>IF(A17&gt;=(Title_RESULTS!$H$7+Title_RESULTS!$C$17),0,(SUM(B17:E17)))</f>
        <v>64.479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7.801531703485585</v>
      </c>
      <c r="I17" s="5">
        <f>IF(A17&gt;=(Title_RESULTS!$H$7+Title_RESULTS!$C$17),0,(+'Sheet4(F_22)'!$H17))</f>
        <v>5.146623535330082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12.948155238815668</v>
      </c>
      <c r="L17" s="23">
        <f>IF(A17&gt;=(Title_RESULTS!$H$7+Title_RESULTS!$C$17),0,(+$K17-$F17))</f>
        <v>-51.53084476118433</v>
      </c>
      <c r="M17" s="23">
        <f>IF(A17&gt;=(Title_RESULTS!$H$7+Title_RESULTS!$C$17),0,(+M16+$L17/(1+Title_RESULTS!$C$37)^('Sheet7(F_23)'!$A17-Title_RESULTS!$H$7)))</f>
        <v>-109.39407810511524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34.535456999999994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65.99273699999999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7.9887684643692385</v>
      </c>
      <c r="I18" s="5">
        <f>IF(A18&gt;=(Title_RESULTS!$H$7+Title_RESULTS!$C$17),0,(+'Sheet4(F_22)'!$H18))</f>
        <v>8.852766607331734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16.841535071700974</v>
      </c>
      <c r="L18" s="23">
        <f>IF(A18&gt;=(Title_RESULTS!$H$7+Title_RESULTS!$C$17),0,(+$K18-$F18))</f>
        <v>-49.15120192829902</v>
      </c>
      <c r="M18" s="23">
        <f>IF(A18&gt;=(Title_RESULTS!$H$7+Title_RESULTS!$C$17),0,(+M17+$L18/(1+Title_RESULTS!$C$37)^('Sheet7(F_23)'!$A18-Title_RESULTS!$H$7)))</f>
        <v>-152.260518098572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20.986221190998087</v>
      </c>
      <c r="H19" s="5">
        <f>IF(A19&gt;=(Title_RESULTS!$H$7+Title_RESULTS!$C$17),0,(+'Sheet4(F_22)'!$D19+'Sheet4(F_22)'!$G19))</f>
        <v>8.1804989075141</v>
      </c>
      <c r="I19" s="5">
        <f>IF(A19&gt;=(Title_RESULTS!$H$7+Title_RESULTS!$C$17),0,(+'Sheet4(F_22)'!$H19))</f>
        <v>11.059128821298664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40.22584891981085</v>
      </c>
      <c r="L19" s="23">
        <f>IF(A19&gt;=(Title_RESULTS!$H$7+Title_RESULTS!$C$17),0,(+$K19-$F19))</f>
        <v>40.22584891981085</v>
      </c>
      <c r="M19" s="23">
        <f>IF(A19&gt;=(Title_RESULTS!$H$7+Title_RESULTS!$C$17),0,(+M18+$L19/(1+Title_RESULTS!$C$37)^('Sheet7(F_23)'!$A19-Title_RESULTS!$H$7)))</f>
        <v>-119.49778449135995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21.54577033193585</v>
      </c>
      <c r="H20" s="5">
        <f>IF(A20&gt;=(Title_RESULTS!$H$7+Title_RESULTS!$C$17),0,(+'Sheet4(F_22)'!$D20+'Sheet4(F_22)'!$G20))</f>
        <v>8.376830881294438</v>
      </c>
      <c r="I20" s="5">
        <f>IF(A20&gt;=(Title_RESULTS!$H$7+Title_RESULTS!$C$17),0,(+'Sheet4(F_22)'!$H20))</f>
        <v>11.493710899632616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41.416312112862904</v>
      </c>
      <c r="L20" s="23">
        <f>IF(A20&gt;=(Title_RESULTS!$H$7+Title_RESULTS!$C$17),0,(+$K20-$F20))</f>
        <v>41.416312112862904</v>
      </c>
      <c r="M20" s="23">
        <f>IF(A20&gt;=(Title_RESULTS!$H$7+Title_RESULTS!$C$17),0,(+M19+$L20/(1+Title_RESULTS!$C$37)^('Sheet7(F_23)'!$A20-Title_RESULTS!$H$7)))</f>
        <v>-87.995795546009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22.157893086154825</v>
      </c>
      <c r="H21" s="5">
        <f>IF(A21&gt;=(Title_RESULTS!$H$7+Title_RESULTS!$C$17),0,(+'Sheet4(F_22)'!$D21+'Sheet4(F_22)'!$G21))</f>
        <v>8.577874822445505</v>
      </c>
      <c r="I21" s="5">
        <f>IF(A21&gt;=(Title_RESULTS!$H$7+Title_RESULTS!$C$17),0,(+'Sheet4(F_22)'!$H21))</f>
        <v>12.340785148208342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43.07655305680867</v>
      </c>
      <c r="L21" s="23">
        <f>IF(A21&gt;=(Title_RESULTS!$H$7+Title_RESULTS!$C$17),0,(+$K21-$F21))</f>
        <v>43.07655305680867</v>
      </c>
      <c r="M21" s="23">
        <f>IF(A21&gt;=(Title_RESULTS!$H$7+Title_RESULTS!$C$17),0,(+M20+$L21/(1+Title_RESULTS!$C$37)^('Sheet7(F_23)'!$A21-Title_RESULTS!$H$7)))</f>
        <v>-57.39736638118474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22.84340038634749</v>
      </c>
      <c r="H22" s="5">
        <f>IF(A22&gt;=(Title_RESULTS!$H$7+Title_RESULTS!$C$17),0,(+'Sheet4(F_22)'!$D22+'Sheet4(F_22)'!$G22))</f>
        <v>8.783743818184195</v>
      </c>
      <c r="I22" s="5">
        <f>IF(A22&gt;=(Title_RESULTS!$H$7+Title_RESULTS!$C$17),0,(+'Sheet4(F_22)'!$H22))</f>
        <v>12.73661119882362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44.363755403355306</v>
      </c>
      <c r="L22" s="23">
        <f>IF(A22&gt;=(Title_RESULTS!$H$7+Title_RESULTS!$C$17),0,(+$K22-$F22))</f>
        <v>44.363755403355306</v>
      </c>
      <c r="M22" s="23">
        <f>IF(A22&gt;=(Title_RESULTS!$H$7+Title_RESULTS!$C$17),0,(+M21+$L22/(1+Title_RESULTS!$C$37)^('Sheet7(F_23)'!$A22-Title_RESULTS!$H$7)))</f>
        <v>-27.968188699995974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23.458291177752997</v>
      </c>
      <c r="H23" s="5">
        <f>IF(A23&gt;=(Title_RESULTS!$H$7+Title_RESULTS!$C$17),0,(+'Sheet4(F_22)'!$D23+'Sheet4(F_22)'!$G23))</f>
        <v>8.994553669820618</v>
      </c>
      <c r="I23" s="5">
        <f>IF(A23&gt;=(Title_RESULTS!$H$7+Title_RESULTS!$C$17),0,(+'Sheet4(F_22)'!$H23))</f>
        <v>13.532592392229706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45.98543723980332</v>
      </c>
      <c r="L23" s="23">
        <f>IF(A23&gt;=(Title_RESULTS!$H$7+Title_RESULTS!$C$17),0,(+$K23-$F23))</f>
        <v>45.98543723980332</v>
      </c>
      <c r="M23" s="23">
        <f>IF(A23&gt;=(Title_RESULTS!$H$7+Title_RESULTS!$C$17),0,(+M22+$L23/(1+Title_RESULTS!$C$37)^('Sheet7(F_23)'!$A23-Title_RESULTS!$H$7)))</f>
        <v>0.5197996199039387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23.83844143917413</v>
      </c>
      <c r="H24" s="5">
        <f>IF(A24&gt;=(Title_RESULTS!$H$7+Title_RESULTS!$C$17),0,(+'Sheet4(F_22)'!$D24+'Sheet4(F_22)'!$G24))</f>
        <v>9.210422957896313</v>
      </c>
      <c r="I24" s="5">
        <f>IF(A24&gt;=(Title_RESULTS!$H$7+Title_RESULTS!$C$17),0,(+'Sheet4(F_22)'!$H24))</f>
        <v>14.995677286900682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48.044541683971126</v>
      </c>
      <c r="L24" s="23">
        <f>IF(A24&gt;=(Title_RESULTS!$H$7+Title_RESULTS!$C$17),0,(+$K24-$F24))</f>
        <v>48.044541683971126</v>
      </c>
      <c r="M24" s="23">
        <f>IF(A24&gt;=(Title_RESULTS!$H$7+Title_RESULTS!$C$17),0,(+M23+$L24/(1+Title_RESULTS!$C$37)^('Sheet7(F_23)'!$A24-Title_RESULTS!$H$7)))</f>
        <v>28.31547011727887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24.485914089189798</v>
      </c>
      <c r="H25" s="5">
        <f>IF(A25&gt;=(Title_RESULTS!$H$7+Title_RESULTS!$C$17),0,(+'Sheet4(F_22)'!$D25+'Sheet4(F_22)'!$G25))</f>
        <v>9.431473108885823</v>
      </c>
      <c r="I25" s="5">
        <f>IF(A25&gt;=(Title_RESULTS!$H$7+Title_RESULTS!$C$17),0,(+'Sheet4(F_22)'!$H25))</f>
        <v>16.065832830276296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49.98322002835192</v>
      </c>
      <c r="L25" s="23">
        <f>IF(A25&gt;=(Title_RESULTS!$H$7+Title_RESULTS!$C$17),0,(+$K25-$F25))</f>
        <v>49.98322002835192</v>
      </c>
      <c r="M25" s="23">
        <f>IF(A25&gt;=(Title_RESULTS!$H$7+Title_RESULTS!$C$17),0,(+M24+$L25/(1+Title_RESULTS!$C$37)^('Sheet7(F_23)'!$A25-Title_RESULTS!$H$7)))</f>
        <v>55.32076775851512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24.878129030619228</v>
      </c>
      <c r="H26" s="5">
        <f>IF(A26&gt;=(Title_RESULTS!$H$7+Title_RESULTS!$C$17),0,(+'Sheet4(F_22)'!$D26+'Sheet4(F_22)'!$G26))</f>
        <v>9.657828463499083</v>
      </c>
      <c r="I26" s="5">
        <f>IF(A26&gt;=(Title_RESULTS!$H$7+Title_RESULTS!$C$17),0,(+'Sheet4(F_22)'!$H26))</f>
        <v>17.94464522095814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52.480602715076444</v>
      </c>
      <c r="L26" s="23">
        <f>IF(A26&gt;=(Title_RESULTS!$H$7+Title_RESULTS!$C$17),0,(+$K26-$F26))</f>
        <v>52.480602715076444</v>
      </c>
      <c r="M26" s="23">
        <f>IF(A26&gt;=(Title_RESULTS!$H$7+Title_RESULTS!$C$17),0,(+M25+$L26/(1+Title_RESULTS!$C$37)^('Sheet7(F_23)'!$A26-Title_RESULTS!$H$7)))</f>
        <v>81.8005975329848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92.17728</v>
      </c>
      <c r="D28" s="5">
        <f t="shared" si="1"/>
        <v>101.294457</v>
      </c>
      <c r="E28" s="5">
        <f t="shared" si="1"/>
        <v>0</v>
      </c>
      <c r="F28" s="5">
        <f t="shared" si="1"/>
        <v>193.471737</v>
      </c>
      <c r="G28" s="5">
        <f t="shared" si="1"/>
        <v>184.1940607321724</v>
      </c>
      <c r="H28" s="5">
        <f t="shared" si="1"/>
        <v>87.0035267973949</v>
      </c>
      <c r="I28" s="5">
        <f t="shared" si="1"/>
        <v>125.89798350974868</v>
      </c>
      <c r="J28" s="5">
        <f t="shared" si="1"/>
        <v>0</v>
      </c>
      <c r="K28" s="5">
        <f t="shared" si="1"/>
        <v>397.095571039316</v>
      </c>
      <c r="L28" s="5">
        <f t="shared" si="1"/>
        <v>203.62383403931602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86.12379783289325</v>
      </c>
      <c r="D30" s="5">
        <f>NPV(Title_RESULTS!$C$37,'Sheet7(F_23)'!D17:D27)+'Sheet7(F_23)'!D16</f>
        <v>94.64644600464199</v>
      </c>
      <c r="E30" s="5">
        <f>NPV(Title_RESULTS!$C$37,'Sheet7(F_23)'!E17:E27)+'Sheet7(F_23)'!E16</f>
        <v>0</v>
      </c>
      <c r="F30" s="5">
        <f>NPV(Title_RESULTS!$C$37,'Sheet7(F_23)'!F17:F27)+'Sheet7(F_23)'!F16</f>
        <v>180.77024383753525</v>
      </c>
      <c r="G30" s="5">
        <f>NPV(Title_RESULTS!$C$37,'Sheet7(F_23)'!G17:G27)+'Sheet7(F_23)'!G16</f>
        <v>118.47943974347933</v>
      </c>
      <c r="H30" s="5">
        <f>NPV(Title_RESULTS!$C$37,'Sheet7(F_23)'!H17:H27)+'Sheet7(F_23)'!H16</f>
        <v>60.07662419262323</v>
      </c>
      <c r="I30" s="5">
        <f>NPV(Title_RESULTS!$C$37,'Sheet7(F_23)'!I17:I27)+'Sheet7(F_23)'!I16</f>
        <v>84.01477743441745</v>
      </c>
      <c r="J30" s="5">
        <f>NPV(Title_RESULTS!$C$37,'Sheet7(F_23)'!J17:J27)+'Sheet7(F_23)'!J16</f>
        <v>0</v>
      </c>
      <c r="K30" s="5">
        <f>NPV(Title_RESULTS!$C$37,'Sheet7(F_23)'!K17:K27)+'Sheet7(F_23)'!K16</f>
        <v>262.57084137052004</v>
      </c>
      <c r="L30" s="5">
        <f>NPV(Title_RESULTS!$C$37,'Sheet7(F_23)'!L17:L27)+'Sheet7(F_23)'!L16</f>
        <v>81.8005975329848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1.4525114078316006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Programmable Thermostat</v>
      </c>
      <c r="L2" t="s">
        <v>55</v>
      </c>
    </row>
    <row r="3" ht="12.75">
      <c r="L3" s="35">
        <f>+Title_RESULTS!I4</f>
        <v>43599.32903530093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4.711819251394238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14.22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18.931819251394238</v>
      </c>
      <c r="G16" s="5">
        <f>IF(A16&gt;=(Title_RESULTS!$H$7+Title_RESULTS!$C$17),0,(+'Sheet6(p_6)'!$H16))</f>
        <v>33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33</v>
      </c>
      <c r="K16" s="23">
        <f>IF(A16&gt;=(Title_RESULTS!$H$7+Title_RESULTS!$C$17),0,(+F16-J16))</f>
        <v>-14.068180748605762</v>
      </c>
      <c r="L16" s="23">
        <f>IF(A16&gt;=(Title_RESULTS!$H$7+Title_RESULTS!$C$17),0,(+$K16/((1+Title_RESULTS!$C$37)^('Sheet8(F_24)'!$A16-Title_RESULTS!$H$7))))</f>
        <v>-14.068180748605762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14.431366065419326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14.22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28.651366065419325</v>
      </c>
      <c r="G17" s="5">
        <f>IF(A17&gt;=(Title_RESULTS!$H$7+Title_RESULTS!$C$17),0,(+'Sheet6(p_6)'!$H17))</f>
        <v>33.759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33.759</v>
      </c>
      <c r="K17" s="23">
        <f>IF(A17&gt;=(Title_RESULTS!$H$7+Title_RESULTS!$C$17),0,(+F17-J17))</f>
        <v>-5.107633934580676</v>
      </c>
      <c r="L17" s="23">
        <f>IF(A16&gt;=(Title_RESULTS!$H$7+Title_RESULTS!$C$17),0,(+$K17/((1+Title_RESULTS!$C$37)^('Sheet8(F_24)'!$A17-Title_RESULTS!$H$7))+L16))</f>
        <v>-18.83810410925264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24.485426181827577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14.22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38.705426181827576</v>
      </c>
      <c r="G18" s="5">
        <f>IF(A18&gt;=(Title_RESULTS!$H$7+Title_RESULTS!$C$17),0,(+'Sheet6(p_6)'!$H18))</f>
        <v>34.535456999999994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34.535456999999994</v>
      </c>
      <c r="K18" s="23">
        <f>IF(A18&gt;=(Title_RESULTS!$H$7+Title_RESULTS!$C$17),0,(+F18-J18))</f>
        <v>4.169969181827582</v>
      </c>
      <c r="L18" s="23">
        <f>IF(A17&gt;=(Title_RESULTS!$H$7+Title_RESULTS!$C$17),0,(+$K18/((1+Title_RESULTS!$C$37)^('Sheet8(F_24)'!$A18-Title_RESULTS!$H$7))+L17))</f>
        <v>-15.201331727406593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29.513815867801817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29.513815867801817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29.513815867801817</v>
      </c>
      <c r="L19" s="23">
        <f>IF(A18&gt;=(Title_RESULTS!$H$7+Title_RESULTS!$C$17),0,(+$K19/((1+Title_RESULTS!$C$37)^('Sheet8(F_24)'!$A19-Title_RESULTS!$H$7))+L18))</f>
        <v>8.836775931593817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30.22278703450059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30.22278703450059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30.22278703450059</v>
      </c>
      <c r="L20" s="23">
        <f>IF(A19&gt;=(Title_RESULTS!$H$7+Title_RESULTS!$C$17),0,(+$K20/((1+Title_RESULTS!$C$37)^('Sheet8(F_24)'!$A20-Title_RESULTS!$H$7))+L19))</f>
        <v>31.824769175995726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30.968675448824023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30.968675448824023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30.968675448824023</v>
      </c>
      <c r="L21" s="23">
        <f>IF(A20&gt;=(Title_RESULTS!$H$7+Title_RESULTS!$C$17),0,(+$K21/((1+Title_RESULTS!$C$37)^('Sheet8(F_24)'!$A21-Title_RESULTS!$H$7))+L20))</f>
        <v>53.822648644197464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31.626892682782945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31.626892682782945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31.626892682782945</v>
      </c>
      <c r="L22" s="23">
        <f>IF(A21&gt;=(Title_RESULTS!$H$7+Title_RESULTS!$C$17),0,(+$K22/((1+Title_RESULTS!$C$37)^('Sheet8(F_24)'!$A22-Title_RESULTS!$H$7))+L21))</f>
        <v>74.80269047796688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32.448833060891076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32.448833060891076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32.448833060891076</v>
      </c>
      <c r="L23" s="23">
        <f>IF(A22&gt;=(Title_RESULTS!$H$7+Title_RESULTS!$C$17),0,(+$K23/((1+Title_RESULTS!$C$37)^('Sheet8(F_24)'!$A23-Title_RESULTS!$H$7))+L22))</f>
        <v>94.90474958012365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33.70107814520115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33.70107814520115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33.70107814520115</v>
      </c>
      <c r="L24" s="23">
        <f>IF(A23&gt;=(Title_RESULTS!$H$7+Title_RESULTS!$C$17),0,(+$K24/((1+Title_RESULTS!$C$37)^('Sheet8(F_24)'!$A24-Title_RESULTS!$H$7))+L23))</f>
        <v>114.40215824918826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34.52910870290292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34.52910870290292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34.52910870290292</v>
      </c>
      <c r="L25" s="23">
        <f>IF(A24&gt;=(Title_RESULTS!$H$7+Title_RESULTS!$C$17),0,(+$K25/((1+Title_RESULTS!$C$37)^('Sheet8(F_24)'!$A25-Title_RESULTS!$H$7))+L24))</f>
        <v>133.057796226885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35.87693842069835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35.87693842069835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35.87693842069835</v>
      </c>
      <c r="L26" s="23">
        <f>IF(A25&gt;=(Title_RESULTS!$H$7+Title_RESULTS!$C$17),0,(+$K26/((1+Title_RESULTS!$C$37)^('Sheet8(F_24)'!$A26-Title_RESULTS!$H$7))+L25))</f>
        <v>151.16001253272606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302.51674086224403</v>
      </c>
      <c r="C28" s="5">
        <f t="shared" si="1"/>
        <v>0</v>
      </c>
      <c r="D28" s="5">
        <f t="shared" si="1"/>
        <v>42.660000000000004</v>
      </c>
      <c r="E28" s="5">
        <f t="shared" si="1"/>
        <v>0</v>
      </c>
      <c r="F28" s="5">
        <f t="shared" si="1"/>
        <v>345.176740862244</v>
      </c>
      <c r="G28" s="5">
        <f t="shared" si="1"/>
        <v>101.294457</v>
      </c>
      <c r="H28" s="5">
        <f t="shared" si="1"/>
        <v>0</v>
      </c>
      <c r="I28" s="5">
        <f t="shared" si="1"/>
        <v>0</v>
      </c>
      <c r="J28" s="5">
        <f t="shared" si="1"/>
        <v>101.294457</v>
      </c>
      <c r="K28" s="5">
        <f t="shared" si="1"/>
        <v>243.88228386224404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205.90492061188343</v>
      </c>
      <c r="C30" s="5">
        <f>NPV(Title_RESULTS!$C$37,'Sheet8(F_24)'!C17:C27)+'Sheet8(F_24)'!C16</f>
        <v>0</v>
      </c>
      <c r="D30" s="5">
        <f>NPV(Title_RESULTS!$C$37,'Sheet8(F_24)'!D17:D27)+'Sheet8(F_24)'!D16</f>
        <v>39.90153792548458</v>
      </c>
      <c r="E30" s="5">
        <f>NPV(Title_RESULTS!$C$37,'Sheet8(F_24)'!E17:E27)+'Sheet8(F_24)'!E16</f>
        <v>0</v>
      </c>
      <c r="F30" s="5">
        <f>NPV(Title_RESULTS!$C$37,'Sheet8(F_24)'!F17:F27)+'Sheet8(F_24)'!F16</f>
        <v>245.806458537368</v>
      </c>
      <c r="G30" s="5">
        <f>NPV(Title_RESULTS!$C$37,'Sheet8(F_24)'!G17:G27)+'Sheet8(F_24)'!G16</f>
        <v>94.64644600464199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94.64644600464199</v>
      </c>
      <c r="K30" s="5">
        <f>NPV(Title_RESULTS!$C$37,'Sheet8(F_24)'!K17:K27)+'Sheet8(F_24)'!K16</f>
        <v>151.16001253272603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2.5971018343923054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Programmable Thermostat</v>
      </c>
      <c r="N2" t="s">
        <v>55</v>
      </c>
    </row>
    <row r="3" ht="12.75">
      <c r="N3" s="35">
        <f>+Title_RESULTS!I4</f>
        <v>43599.32903530093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14.22</v>
      </c>
      <c r="E16" s="5">
        <f>+'Sheet6(p_6)'!M16</f>
        <v>3.3414245439999997</v>
      </c>
      <c r="F16">
        <f>IF(A16&gt;=(Title_RESULTS!$H$7+Title_RESULTS!$C$17),0,(+'f-11B'!$R15))</f>
        <v>0</v>
      </c>
      <c r="G16" s="5">
        <f>IF(A16&gt;=(Title_RESULTS!$H$7+Title_RESULTS!$C$17),0,(SUM(B16:F16)))</f>
        <v>47.561424544</v>
      </c>
      <c r="H16" s="5">
        <f>IF(A16&gt;=(Title_RESULTS!$H$7+Title_RESULTS!$C$17),0,(+'Sheet3(F_21)'!$J16+'Sheet4(F_22)'!$H16))</f>
        <v>1.7296095687588118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1.7296095687588118</v>
      </c>
      <c r="M16" s="23">
        <f>IF(A16&gt;=(Title_RESULTS!$H$7+Title_RESULTS!$C$17),0,(+L16-G16))</f>
        <v>-45.83181497524119</v>
      </c>
      <c r="N16" s="24">
        <f>IF(A16&gt;=(Title_RESULTS!$H$7+Title_RESULTS!$C$17),0,(+$M16/((1+Title_RESULTS!$C$37)^('Sheet9(F_25)'!$A16-Title_RESULTS!$H$7))))</f>
        <v>-45.83181497524119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14.22</v>
      </c>
      <c r="E17" s="5">
        <f>+'Sheet6(p_6)'!M17</f>
        <v>10.12451636832</v>
      </c>
      <c r="F17">
        <f>IF(A17&gt;=(Title_RESULTS!$H$7+Title_RESULTS!$C$17),0,(+'f-11B'!$R16))</f>
        <v>0</v>
      </c>
      <c r="G17" s="5">
        <f>IF(A17&gt;=(Title_RESULTS!$H$7+Title_RESULTS!$C$17),0,(SUM(B17:F17)))</f>
        <v>55.06451636832</v>
      </c>
      <c r="H17" s="5">
        <f>IF(A17&gt;=(Title_RESULTS!$H$7+Title_RESULTS!$C$17),0,(+'Sheet3(F_21)'!$J17+'Sheet4(F_22)'!$H17))</f>
        <v>5.146623535330082</v>
      </c>
      <c r="I17" s="5">
        <f>IF(A17&gt;=(Title_RESULTS!$H$7+Title_RESULTS!$C$17),0,(+'Sheet4(F_22)'!$D17+'Sheet4(F_22)'!$G17))</f>
        <v>7.801531703485585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12.948155238815668</v>
      </c>
      <c r="M17" s="23">
        <f>IF(A17&gt;=(Title_RESULTS!$H$7+Title_RESULTS!$C$17),0,(+L17-G17))</f>
        <v>-42.116361129504334</v>
      </c>
      <c r="N17" s="24">
        <f>(IF(A16&gt;=(Title_RESULTS!$H$7+Title_RESULTS!$C$17),0,(+$M17/((1+Title_RESULTS!$C$37)^('Sheet9(F_25)'!$A17-Title_RESULTS!$H$7))+N16)))</f>
        <v>-85.16349328071777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14.22</v>
      </c>
      <c r="E18" s="5">
        <f>+'Sheet6(p_6)'!M18</f>
        <v>17.042935886672</v>
      </c>
      <c r="F18">
        <f>IF(A18&gt;=(Title_RESULTS!$H$7+Title_RESULTS!$C$17),0,(+'f-11B'!$R17))</f>
        <v>0</v>
      </c>
      <c r="G18" s="5">
        <f>IF(A18&gt;=(Title_RESULTS!$H$7+Title_RESULTS!$C$17),0,(SUM(B18:F18)))</f>
        <v>62.720215886671994</v>
      </c>
      <c r="H18" s="5">
        <f>IF(A18&gt;=(Title_RESULTS!$H$7+Title_RESULTS!$C$17),0,(+'Sheet3(F_21)'!$J18+'Sheet4(F_22)'!$H18))</f>
        <v>8.852766607331734</v>
      </c>
      <c r="I18" s="5">
        <f>IF(A18&gt;=(Title_RESULTS!$H$7+Title_RESULTS!$C$17),0,(+'Sheet4(F_22)'!$D18+'Sheet4(F_22)'!$G18))</f>
        <v>7.9887684643692385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16.841535071700974</v>
      </c>
      <c r="M18" s="23">
        <f>IF(A18&gt;=(Title_RESULTS!$H$7+Title_RESULTS!$C$17),0,(+L18-G18))</f>
        <v>-45.87868081497102</v>
      </c>
      <c r="N18" s="24">
        <f>(IF(A17&gt;=(Title_RESULTS!$H$7+Title_RESULTS!$C$17),0,(+$M18/((1+Title_RESULTS!$C$37)^('Sheet9(F_25)'!$A18-Title_RESULTS!$H$7))+N17)))</f>
        <v>-125.17585596928103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20.65603829464646</v>
      </c>
      <c r="F19">
        <f>IF(A19&gt;=(Title_RESULTS!$H$7+Title_RESULTS!$C$17),0,(+'f-11B'!$R18))</f>
        <v>0</v>
      </c>
      <c r="G19" s="5">
        <f>IF(A19&gt;=(Title_RESULTS!$H$7+Title_RESULTS!$C$17),0,(SUM(B19:F19)))</f>
        <v>20.65603829464646</v>
      </c>
      <c r="H19" s="5">
        <f>IF(A19&gt;=(Title_RESULTS!$H$7+Title_RESULTS!$C$17),0,(+'Sheet3(F_21)'!$J19+'Sheet4(F_22)'!$H19))</f>
        <v>32.04535001229675</v>
      </c>
      <c r="I19" s="5">
        <f>IF(A19&gt;=(Title_RESULTS!$H$7+Title_RESULTS!$C$17),0,(+'Sheet4(F_22)'!$D19+'Sheet4(F_22)'!$G19))</f>
        <v>8.1804989075141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40.22584891981085</v>
      </c>
      <c r="M19" s="23">
        <f>IF(A19&gt;=(Title_RESULTS!$H$7+Title_RESULTS!$C$17),0,(+L19-G19))</f>
        <v>19.56981062516439</v>
      </c>
      <c r="N19" s="24">
        <f>(IF(A18&gt;=(Title_RESULTS!$H$7+Title_RESULTS!$C$17),0,(+$M19/((1+Title_RESULTS!$C$37)^('Sheet9(F_25)'!$A19-Title_RESULTS!$H$7))+N18)))</f>
        <v>-109.23683890754083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20.862598677592928</v>
      </c>
      <c r="F20">
        <f>IF(A20&gt;=(Title_RESULTS!$H$7+Title_RESULTS!$C$17),0,(+'f-11B'!$R19))</f>
        <v>0</v>
      </c>
      <c r="G20" s="5">
        <f>IF(A20&gt;=(Title_RESULTS!$H$7+Title_RESULTS!$C$17),0,(SUM(B20:F20)))</f>
        <v>20.862598677592928</v>
      </c>
      <c r="H20" s="5">
        <f>IF(A20&gt;=(Title_RESULTS!$H$7+Title_RESULTS!$C$17),0,(+'Sheet3(F_21)'!$J20+'Sheet4(F_22)'!$H20))</f>
        <v>33.039481231568466</v>
      </c>
      <c r="I20" s="5">
        <f>IF(A20&gt;=(Title_RESULTS!$H$7+Title_RESULTS!$C$17),0,(+'Sheet4(F_22)'!$D20+'Sheet4(F_22)'!$G20))</f>
        <v>8.376830881294438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41.416312112862904</v>
      </c>
      <c r="M20" s="23">
        <f>IF(A20&gt;=(Title_RESULTS!$H$7+Title_RESULTS!$C$17),0,(+L20-G20))</f>
        <v>20.553713435269977</v>
      </c>
      <c r="N20" s="24">
        <f>(IF(A19&gt;=(Title_RESULTS!$H$7+Title_RESULTS!$C$17),0,(+$M20/((1+Title_RESULTS!$C$37)^('Sheet9(F_25)'!$A20-Title_RESULTS!$H$7))+N19)))</f>
        <v>-93.60331625928231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21.071224664368856</v>
      </c>
      <c r="F21">
        <f>IF(A21&gt;=(Title_RESULTS!$H$7+Title_RESULTS!$C$17),0,(+'f-11B'!$R20))</f>
        <v>0</v>
      </c>
      <c r="G21" s="5">
        <f>IF(A21&gt;=(Title_RESULTS!$H$7+Title_RESULTS!$C$17),0,(SUM(B21:F21)))</f>
        <v>21.071224664368856</v>
      </c>
      <c r="H21" s="5">
        <f>IF(A21&gt;=(Title_RESULTS!$H$7+Title_RESULTS!$C$17),0,(+'Sheet3(F_21)'!$J21+'Sheet4(F_22)'!$H21))</f>
        <v>34.49867823436317</v>
      </c>
      <c r="I21" s="5">
        <f>IF(A21&gt;=(Title_RESULTS!$H$7+Title_RESULTS!$C$17),0,(+'Sheet4(F_22)'!$D21+'Sheet4(F_22)'!$G21))</f>
        <v>8.577874822445505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43.07655305680868</v>
      </c>
      <c r="M21" s="23">
        <f>IF(A21&gt;=(Title_RESULTS!$H$7+Title_RESULTS!$C$17),0,(+L21-G21))</f>
        <v>22.00532839243982</v>
      </c>
      <c r="N21" s="24">
        <f>(IF(A20&gt;=(Title_RESULTS!$H$7+Title_RESULTS!$C$17),0,(+$M21/((1+Title_RESULTS!$C$37)^('Sheet9(F_25)'!$A21-Title_RESULTS!$H$7))+N20)))</f>
        <v>-77.97234223086384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21.28193691101255</v>
      </c>
      <c r="F22">
        <f>IF(A22&gt;=(Title_RESULTS!$H$7+Title_RESULTS!$C$17),0,(+'f-11B'!$R21))</f>
        <v>0</v>
      </c>
      <c r="G22" s="5">
        <f>IF(A22&gt;=(Title_RESULTS!$H$7+Title_RESULTS!$C$17),0,(SUM(B22:F22)))</f>
        <v>21.28193691101255</v>
      </c>
      <c r="H22" s="5">
        <f>IF(A22&gt;=(Title_RESULTS!$H$7+Title_RESULTS!$C$17),0,(+'Sheet3(F_21)'!$J22+'Sheet4(F_22)'!$H22))</f>
        <v>35.58001158517111</v>
      </c>
      <c r="I22" s="5">
        <f>IF(A22&gt;=(Title_RESULTS!$H$7+Title_RESULTS!$C$17),0,(+'Sheet4(F_22)'!$D22+'Sheet4(F_22)'!$G22))</f>
        <v>8.783743818184195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44.3637554033553</v>
      </c>
      <c r="M22" s="23">
        <f>IF(A22&gt;=(Title_RESULTS!$H$7+Title_RESULTS!$C$17),0,(+L22-G22))</f>
        <v>23.081818492342748</v>
      </c>
      <c r="N22" s="24">
        <f>(IF(A21&gt;=(Title_RESULTS!$H$7+Title_RESULTS!$C$17),0,(+$M22/((1+Title_RESULTS!$C$37)^('Sheet9(F_25)'!$A22-Title_RESULTS!$H$7))+N21)))</f>
        <v>-62.66076791890359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21.49475628012267</v>
      </c>
      <c r="F23">
        <f>IF(A23&gt;=(Title_RESULTS!$H$7+Title_RESULTS!$C$17),0,(+'f-11B'!$R22))</f>
        <v>0</v>
      </c>
      <c r="G23" s="5">
        <f>IF(A23&gt;=(Title_RESULTS!$H$7+Title_RESULTS!$C$17),0,(SUM(B23:F23)))</f>
        <v>21.49475628012267</v>
      </c>
      <c r="H23" s="5">
        <f>IF(A23&gt;=(Title_RESULTS!$H$7+Title_RESULTS!$C$17),0,(+'Sheet3(F_21)'!$J23+'Sheet4(F_22)'!$H23))</f>
        <v>36.9908835699827</v>
      </c>
      <c r="I23" s="5">
        <f>IF(A23&gt;=(Title_RESULTS!$H$7+Title_RESULTS!$C$17),0,(+'Sheet4(F_22)'!$D23+'Sheet4(F_22)'!$G23))</f>
        <v>8.994553669820618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45.98543723980332</v>
      </c>
      <c r="M23" s="23">
        <f>IF(A23&gt;=(Title_RESULTS!$H$7+Title_RESULTS!$C$17),0,(+L23-G23))</f>
        <v>24.49068095968065</v>
      </c>
      <c r="N23" s="24">
        <f>(IF(A22&gt;=(Title_RESULTS!$H$7+Title_RESULTS!$C$17),0,(+$M23/((1+Title_RESULTS!$C$37)^('Sheet9(F_25)'!$A23-Title_RESULTS!$H$7))+N22)))</f>
        <v>-47.48878576534732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21.7097038429239</v>
      </c>
      <c r="F24">
        <f>IF(A24&gt;=(Title_RESULTS!$H$7+Title_RESULTS!$C$17),0,(+'f-11B'!$R23))</f>
        <v>0</v>
      </c>
      <c r="G24" s="5">
        <f>IF(A24&gt;=(Title_RESULTS!$H$7+Title_RESULTS!$C$17),0,(SUM(B24:F24)))</f>
        <v>21.7097038429239</v>
      </c>
      <c r="H24" s="5">
        <f>IF(A24&gt;=(Title_RESULTS!$H$7+Title_RESULTS!$C$17),0,(+'Sheet3(F_21)'!$J24+'Sheet4(F_22)'!$H24))</f>
        <v>38.83411872607481</v>
      </c>
      <c r="I24" s="5">
        <f>IF(A24&gt;=(Title_RESULTS!$H$7+Title_RESULTS!$C$17),0,(+'Sheet4(F_22)'!$D24+'Sheet4(F_22)'!$G24))</f>
        <v>9.210422957896313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48.044541683971126</v>
      </c>
      <c r="M24" s="23">
        <f>IF(A24&gt;=(Title_RESULTS!$H$7+Title_RESULTS!$C$17),0,(+L24-G24))</f>
        <v>26.334837841047225</v>
      </c>
      <c r="N24" s="24">
        <f>(IF(A23&gt;=(Title_RESULTS!$H$7+Title_RESULTS!$C$17),0,(+$M24/((1+Title_RESULTS!$C$37)^('Sheet9(F_25)'!$A24-Title_RESULTS!$H$7))+N23)))</f>
        <v>-32.25303890264468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21.92680088135314</v>
      </c>
      <c r="F25">
        <f>IF(A25&gt;=(Title_RESULTS!$H$7+Title_RESULTS!$C$17),0,(+'f-11B'!$R24))</f>
        <v>0</v>
      </c>
      <c r="G25" s="5">
        <f>IF(A25&gt;=(Title_RESULTS!$H$7+Title_RESULTS!$C$17),0,(SUM(B25:F25)))</f>
        <v>21.92680088135314</v>
      </c>
      <c r="H25" s="5">
        <f>IF(A25&gt;=(Title_RESULTS!$H$7+Title_RESULTS!$C$17),0,(+'Sheet3(F_21)'!$J25+'Sheet4(F_22)'!$H25))</f>
        <v>40.5517469194661</v>
      </c>
      <c r="I25" s="5">
        <f>IF(A25&gt;=(Title_RESULTS!$H$7+Title_RESULTS!$C$17),0,(+'Sheet4(F_22)'!$D25+'Sheet4(F_22)'!$G25))</f>
        <v>9.431473108885823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49.98322002835192</v>
      </c>
      <c r="M25" s="23">
        <f>IF(A25&gt;=(Title_RESULTS!$H$7+Title_RESULTS!$C$17),0,(+L25-G25))</f>
        <v>28.05641914699878</v>
      </c>
      <c r="N25" s="24">
        <f>(IF(A24&gt;=(Title_RESULTS!$H$7+Title_RESULTS!$C$17),0,(+$M25/((1+Title_RESULTS!$C$37)^('Sheet9(F_25)'!$A25-Title_RESULTS!$H$7))+N24)))</f>
        <v>-17.09451271361148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22.146068890166674</v>
      </c>
      <c r="F26">
        <f>IF(A26&gt;=(Title_RESULTS!$H$7+Title_RESULTS!$C$17),0,(+'f-11B'!$R25))</f>
        <v>0</v>
      </c>
      <c r="G26" s="5">
        <f>IF(A26&gt;=(Title_RESULTS!$H$7+Title_RESULTS!$C$17),0,(SUM(B26:F26)))</f>
        <v>22.146068890166674</v>
      </c>
      <c r="H26" s="5">
        <f>IF(A26&gt;=(Title_RESULTS!$H$7+Title_RESULTS!$C$17),0,(+'Sheet3(F_21)'!$J26+'Sheet4(F_22)'!$H26))</f>
        <v>42.82277425157737</v>
      </c>
      <c r="I26" s="5">
        <f>IF(A26&gt;=(Title_RESULTS!$H$7+Title_RESULTS!$C$17),0,(+'Sheet4(F_22)'!$D26+'Sheet4(F_22)'!$G26))</f>
        <v>9.657828463499083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52.48060271507646</v>
      </c>
      <c r="M26" s="23">
        <f>IF(A26&gt;=(Title_RESULTS!$H$7+Title_RESULTS!$C$17),0,(+L26-G26))</f>
        <v>30.334533824909784</v>
      </c>
      <c r="N26" s="24">
        <f>(IF(A25&gt;=(Title_RESULTS!$H$7+Title_RESULTS!$C$17),0,(+$M26/((1+Title_RESULTS!$C$37)^('Sheet9(F_25)'!$A26-Title_RESULTS!$H$7))+N25)))</f>
        <v>-1.7887949738122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92.17728</v>
      </c>
      <c r="D28" s="5">
        <f t="shared" si="1"/>
        <v>42.660000000000004</v>
      </c>
      <c r="E28" s="5">
        <f t="shared" si="1"/>
        <v>201.65800524117915</v>
      </c>
      <c r="F28" s="5">
        <f t="shared" si="1"/>
        <v>0</v>
      </c>
      <c r="G28" s="5">
        <f t="shared" si="1"/>
        <v>336.4952852411792</v>
      </c>
      <c r="H28" s="5">
        <f t="shared" si="1"/>
        <v>310.09204424192114</v>
      </c>
      <c r="I28" s="5">
        <f t="shared" si="1"/>
        <v>87.0035267973949</v>
      </c>
      <c r="J28" s="5">
        <f t="shared" si="1"/>
        <v>0</v>
      </c>
      <c r="K28" s="9">
        <f t="shared" si="1"/>
        <v>0</v>
      </c>
      <c r="L28" s="5">
        <f t="shared" si="1"/>
        <v>397.09557103931604</v>
      </c>
      <c r="M28" s="5">
        <f t="shared" si="1"/>
        <v>60.60028579813684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86.12379783289325</v>
      </c>
      <c r="D30" s="5">
        <f>NPV(Title_RESULTS!$C$37,'Sheet9(F_25)'!D17:D27)+'Sheet9(F_25)'!D16</f>
        <v>39.90153792548458</v>
      </c>
      <c r="E30" s="5">
        <f>NPV(Title_RESULTS!$C$37,'Sheet9(F_25)'!E17:E27)+'Sheet9(F_25)'!E16</f>
        <v>138.33430058595442</v>
      </c>
      <c r="F30" s="5">
        <f>NPV(Title_RESULTS!$C$37,'Sheet9(F_25)'!F17:F27)+'Sheet9(F_25)'!F16</f>
        <v>0</v>
      </c>
      <c r="G30" s="5">
        <f>NPV(Title_RESULTS!$C$37,'Sheet9(F_25)'!G17:G27)+'Sheet9(F_25)'!G16</f>
        <v>264.3596363443323</v>
      </c>
      <c r="H30" s="5">
        <f>NPV(Title_RESULTS!$C$37,'Sheet9(F_25)'!H17:H27)+'Sheet9(F_25)'!H16</f>
        <v>202.49421717789681</v>
      </c>
      <c r="I30" s="5">
        <f>NPV(Title_RESULTS!$C$37,'Sheet9(F_25)'!I17:I27)+'Sheet9(F_25)'!I16</f>
        <v>60.07662419262323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262.57084137052004</v>
      </c>
      <c r="M30" s="5">
        <f>NPV(Title_RESULTS!$C$37,'Sheet9(F_25)'!M17:M27)+'Sheet9(F_25)'!M16</f>
        <v>-1.788794973812216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0.9932334792158577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166.02793917963223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9.6848896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25.683624960000007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0.9570830999432005</v>
      </c>
      <c r="P24" s="48">
        <f aca="true" t="shared" si="4" ref="P24:P61">N24*$L$5</f>
        <v>2.538114982177532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0.9800530943418373</v>
      </c>
      <c r="P25" s="48">
        <f t="shared" si="4"/>
        <v>2.5990297417497925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22.843894105772392</v>
      </c>
      <c r="E26" s="11">
        <f>IF(B26=Title_RESULTS!$H$8,$F$16,+E25*(1+$F$7))</f>
        <v>0.09882230355451863</v>
      </c>
      <c r="F26" s="9">
        <f t="shared" si="1"/>
        <v>16.40726340414077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1.3325503740013742</v>
      </c>
      <c r="L26" s="5">
        <f t="shared" si="3"/>
        <v>3.533826967543238</v>
      </c>
      <c r="N26" s="11">
        <f>IF(+B26=Title_RESULTS!$H$9,'Value of Defferal'!$O$16,+'Value of Defferal'!N25*(1+'Value of Defferal'!$F$7))</f>
        <v>0.10362269577198292</v>
      </c>
      <c r="O26" s="5">
        <f t="shared" si="7"/>
        <v>1.0035743686060414</v>
      </c>
      <c r="P26" s="48">
        <f t="shared" si="4"/>
        <v>2.661406455551788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22.169316560032033</v>
      </c>
      <c r="E27" s="11">
        <f>IF(B27=Title_RESULTS!$H$8,$F$16,+E26*(1+$F$7))</f>
        <v>0.10119403883982707</v>
      </c>
      <c r="F27" s="9">
        <f t="shared" si="1"/>
        <v>16.80103772584015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1.2932003158761223</v>
      </c>
      <c r="L27" s="5">
        <f t="shared" si="3"/>
        <v>3.4294734666996995</v>
      </c>
      <c r="N27" s="11">
        <f>IF(+B27=Title_RESULTS!$H$9,'Value of Defferal'!$O$16,+'Value of Defferal'!N26*(1+'Value of Defferal'!$F$7))</f>
        <v>0.10610964047051051</v>
      </c>
      <c r="O27" s="5">
        <f t="shared" si="7"/>
        <v>1.0276601534525864</v>
      </c>
      <c r="P27" s="48">
        <f t="shared" si="4"/>
        <v>2.7252802104850304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21.424587869289663</v>
      </c>
      <c r="E28" s="11">
        <f>IF(B28=Title_RESULTS!$H$8,$F$16,+E27*(1+$F$7))</f>
        <v>0.10362269577198292</v>
      </c>
      <c r="F28" s="9">
        <f t="shared" si="1"/>
        <v>17.204262631260313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1.249758138689373</v>
      </c>
      <c r="L28" s="5">
        <f t="shared" si="3"/>
        <v>3.3142679628279432</v>
      </c>
      <c r="N28" s="11">
        <f>IF(+B28=Title_RESULTS!$H$9,'Value of Defferal'!$O$16,+'Value of Defferal'!N27*(1+'Value of Defferal'!$F$7))</f>
        <v>0.10865627184180277</v>
      </c>
      <c r="O28" s="5">
        <f t="shared" si="7"/>
        <v>1.0523239971354486</v>
      </c>
      <c r="P28" s="48">
        <f t="shared" si="4"/>
        <v>2.7906869355366712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20.71552757762578</v>
      </c>
      <c r="E29" s="11">
        <f>IF(B29=Title_RESULTS!$H$8,$F$16,+E28*(1+$F$7))</f>
        <v>0.10610964047051051</v>
      </c>
      <c r="F29" s="9">
        <f t="shared" si="1"/>
        <v>17.61716493441056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1.2083966023212163</v>
      </c>
      <c r="L29" s="5">
        <f t="shared" si="3"/>
        <v>3.2045801675381402</v>
      </c>
      <c r="N29" s="11">
        <f>IF(+B29=Title_RESULTS!$H$9,'Value of Defferal'!$O$16,+'Value of Defferal'!N28*(1+'Value of Defferal'!$F$7))</f>
        <v>0.11126402236600604</v>
      </c>
      <c r="O29" s="5">
        <f t="shared" si="7"/>
        <v>1.0775797730666992</v>
      </c>
      <c r="P29" s="48">
        <f t="shared" si="4"/>
        <v>2.857663421989552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20.038558964689578</v>
      </c>
      <c r="E30" s="11">
        <f>IF(B30=Title_RESULTS!$H$8,$F$16,+E29*(1+$F$7))</f>
        <v>0.10865627184180277</v>
      </c>
      <c r="F30" s="9">
        <f t="shared" si="1"/>
        <v>18.039976892836414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1.168907066334995</v>
      </c>
      <c r="L30" s="5">
        <f t="shared" si="3"/>
        <v>3.0998567815209643</v>
      </c>
      <c r="N30" s="11">
        <f>IF(+B30=Title_RESULTS!$H$9,'Value of Defferal'!$O$16,+'Value of Defferal'!N29*(1+'Value of Defferal'!$F$7))</f>
        <v>0.11393435890279018</v>
      </c>
      <c r="O30" s="5">
        <f t="shared" si="7"/>
        <v>1.1034416876203</v>
      </c>
      <c r="P30" s="48">
        <f t="shared" si="4"/>
        <v>2.926247344117301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19.390500527848566</v>
      </c>
      <c r="E31" s="11">
        <f>IF(B31=Title_RESULTS!$H$8,$F$16,+E30*(1+$F$7))</f>
        <v>0.11126402236600604</v>
      </c>
      <c r="F31" s="9">
        <f t="shared" si="1"/>
        <v>18.47293633826449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1.131103944485948</v>
      </c>
      <c r="L31" s="5">
        <f t="shared" si="3"/>
        <v>2.9996056435123184</v>
      </c>
      <c r="N31" s="11">
        <f>IF(+B31=Title_RESULTS!$H$9,'Value of Defferal'!$O$16,+'Value of Defferal'!N30*(1+'Value of Defferal'!$F$7))</f>
        <v>0.11666878351645714</v>
      </c>
      <c r="O31" s="5">
        <f t="shared" si="7"/>
        <v>1.1299242881231872</v>
      </c>
      <c r="P31" s="48">
        <f t="shared" si="4"/>
        <v>2.9964772803761157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18.76261795552786</v>
      </c>
      <c r="E32" s="11">
        <f>IF(B32=Title_RESULTS!$H$8,$F$16,+E31*(1+$F$7))</f>
        <v>0.11393435890279018</v>
      </c>
      <c r="F32" s="9">
        <f t="shared" si="1"/>
        <v>18.916286810382836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1.0944777391331801</v>
      </c>
      <c r="L32" s="5">
        <f t="shared" si="3"/>
        <v>2.902475602712634</v>
      </c>
      <c r="N32" s="11">
        <f>IF(+B32=Title_RESULTS!$H$9,'Value of Defferal'!$O$16,+'Value of Defferal'!N31*(1+'Value of Defferal'!$F$7))</f>
        <v>0.11946883432085212</v>
      </c>
      <c r="O32" s="5">
        <f t="shared" si="7"/>
        <v>1.1570424710381437</v>
      </c>
      <c r="P32" s="48">
        <f t="shared" si="4"/>
        <v>3.0683927351051428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18.1411971929017</v>
      </c>
      <c r="E33" s="11">
        <f>IF(B33=Title_RESULTS!$H$8,$F$16,+E32*(1+$F$7))</f>
        <v>0.11666878351645714</v>
      </c>
      <c r="F33" s="9">
        <f t="shared" si="1"/>
        <v>19.370277693832026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1.0582284698179079</v>
      </c>
      <c r="L33" s="5">
        <f t="shared" si="3"/>
        <v>2.8063451689524506</v>
      </c>
      <c r="N33" s="11">
        <f>IF(+B33=Title_RESULTS!$H$9,'Value of Defferal'!$O$16,+'Value of Defferal'!N32*(1+'Value of Defferal'!$F$7))</f>
        <v>0.12233608634455258</v>
      </c>
      <c r="O33" s="5">
        <f t="shared" si="7"/>
        <v>1.1848114903430593</v>
      </c>
      <c r="P33" s="48">
        <f t="shared" si="4"/>
        <v>3.1420341607476665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17.519776430275538</v>
      </c>
      <c r="E34" s="11">
        <f>IF(B34=Title_RESULTS!$H$8,$F$16,+E33*(1+$F$7))</f>
        <v>0.11946883432085212</v>
      </c>
      <c r="F34" s="9">
        <f t="shared" si="1"/>
        <v>19.835164358483993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1.0219792005026354</v>
      </c>
      <c r="L34" s="5">
        <f t="shared" si="3"/>
        <v>2.7102147351922663</v>
      </c>
      <c r="N34" s="11">
        <f>IF(+B34=Title_RESULTS!$H$9,'Value of Defferal'!$O$16,+'Value of Defferal'!N33*(1+'Value of Defferal'!$F$7))</f>
        <v>0.12527215241682185</v>
      </c>
      <c r="O34" s="5">
        <f t="shared" si="7"/>
        <v>1.2132469661112928</v>
      </c>
      <c r="P34" s="48">
        <f t="shared" si="4"/>
        <v>3.217442980605611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16.89835566764938</v>
      </c>
      <c r="E35" s="11">
        <f>IF(B35=Title_RESULTS!$H$8,$F$16,+E34*(1+$F$7))</f>
        <v>0.12233608634455258</v>
      </c>
      <c r="F35" s="9">
        <f t="shared" si="1"/>
        <v>20.31120830308761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0.9857299311873629</v>
      </c>
      <c r="L35" s="5">
        <f t="shared" si="3"/>
        <v>2.6140843014320825</v>
      </c>
      <c r="N35" s="11">
        <f>IF(+B35=Title_RESULTS!$H$9,'Value of Defferal'!$O$16,+'Value of Defferal'!N34*(1+'Value of Defferal'!$F$7))</f>
        <v>0.12827868407482557</v>
      </c>
      <c r="O35" s="5">
        <f t="shared" si="7"/>
        <v>1.2423648932979638</v>
      </c>
      <c r="P35" s="48">
        <f t="shared" si="4"/>
        <v>3.2946616121401453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16.276934905023225</v>
      </c>
      <c r="E36" s="11">
        <f>IF(B36=Title_RESULTS!$H$8,$F$16,+E35*(1+$F$7))</f>
        <v>0.12527215241682185</v>
      </c>
      <c r="F36" s="9">
        <f t="shared" si="1"/>
        <v>20.798677302361718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0.9494806618720906</v>
      </c>
      <c r="L36" s="5">
        <f t="shared" si="3"/>
        <v>2.517953867671899</v>
      </c>
      <c r="N36" s="11">
        <f>IF(+B36=Title_RESULTS!$H$9,'Value of Defferal'!$O$16,+'Value of Defferal'!N35*(1+'Value of Defferal'!$F$7))</f>
        <v>0.1313573724926214</v>
      </c>
      <c r="O36" s="5">
        <f t="shared" si="7"/>
        <v>1.2721816507371149</v>
      </c>
      <c r="P36" s="48">
        <f t="shared" si="4"/>
        <v>3.373733490831509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15.655514142397063</v>
      </c>
      <c r="E37" s="11">
        <f>IF(B37&gt;Title_RESULTS!$H$8-1+Title_RESULTS!$C$18,0,+E36*(1+$F$7))</f>
        <v>0.12827868407482557</v>
      </c>
      <c r="F37" s="9">
        <f t="shared" si="1"/>
        <v>21.297845557618395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0.9132313925568181</v>
      </c>
      <c r="L37" s="5">
        <f t="shared" si="3"/>
        <v>2.4218234339117153</v>
      </c>
      <c r="N37" s="11">
        <f>IF(+B37=Title_RESULTS!$H$9,'Value of Defferal'!$O$16,+'Value of Defferal'!N36*(1+'Value of Defferal'!$F$7))</f>
        <v>0.1345099494324443</v>
      </c>
      <c r="O37" s="5">
        <f t="shared" si="7"/>
        <v>1.3027140103548056</v>
      </c>
      <c r="P37" s="48">
        <f t="shared" si="4"/>
        <v>3.4547030946114647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15.034093379770901</v>
      </c>
      <c r="E38" s="11">
        <f>IF(B38&gt;Title_RESULTS!$H$8-1+Title_RESULTS!$C$18,0,+E37*(1+$F$7))</f>
        <v>0.1313573724926214</v>
      </c>
      <c r="F38" s="9">
        <f t="shared" si="1"/>
        <v>21.80899385100124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0.8769821232415456</v>
      </c>
      <c r="L38" s="5">
        <f t="shared" si="3"/>
        <v>2.325693000151531</v>
      </c>
      <c r="N38" s="11">
        <f>IF(+B38=Title_RESULTS!$H$9,'Value of Defferal'!$O$16,+'Value of Defferal'!N37*(1+'Value of Defferal'!$F$7))</f>
        <v>0.13773818821882297</v>
      </c>
      <c r="O38" s="5">
        <f t="shared" si="7"/>
        <v>1.333979146603321</v>
      </c>
      <c r="P38" s="48">
        <f t="shared" si="4"/>
        <v>3.5376159688821405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14.412672617144741</v>
      </c>
      <c r="E39" s="11">
        <f>IF(B39&gt;Title_RESULTS!$H$8-1+Title_RESULTS!$C$18,0,+E38*(1+$F$7))</f>
        <v>0.1345099494324443</v>
      </c>
      <c r="F39" s="9">
        <f t="shared" si="1"/>
        <v>22.332409703425267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0.8407328539262731</v>
      </c>
      <c r="L39" s="5">
        <f t="shared" si="3"/>
        <v>2.2295625663913468</v>
      </c>
      <c r="N39" s="11">
        <f>IF(+B39&gt;Title_RESULTS!$H$9+Title_RESULTS!$C$19-1,0,+'Value of Defferal'!N38*(1+'Value of Defferal'!$F$7))</f>
        <v>0.14104390473607473</v>
      </c>
      <c r="O39" s="5">
        <f t="shared" si="7"/>
        <v>1.3659946461218009</v>
      </c>
      <c r="P39" s="48">
        <f t="shared" si="4"/>
        <v>3.622518752135312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13.791251854518586</v>
      </c>
      <c r="E40" s="11">
        <f>IF(B40&gt;Title_RESULTS!$H$8-1+Title_RESULTS!$C$18,0,+E39*(1+$F$7))</f>
        <v>0.13773818821882297</v>
      </c>
      <c r="F40" s="9">
        <f t="shared" si="1"/>
        <v>22.868387536307477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0.8044835846110009</v>
      </c>
      <c r="L40" s="5">
        <f t="shared" si="3"/>
        <v>2.133432132631164</v>
      </c>
      <c r="N40" s="11">
        <f>IF(+B40&gt;Title_RESULTS!$H$9+Title_RESULTS!$C$19-1,0,+'Value of Defferal'!N39*(1+'Value of Defferal'!$F$7))</f>
        <v>0.14442895844974052</v>
      </c>
      <c r="O40" s="5">
        <f t="shared" si="7"/>
        <v>1.398778517628724</v>
      </c>
      <c r="P40" s="48">
        <f t="shared" si="4"/>
        <v>3.7094592021865593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13.228184988002548</v>
      </c>
      <c r="E41" s="11">
        <f>IF(B41&gt;Title_RESULTS!$H$8-1+Title_RESULTS!$C$18,0,+E40*(1+$F$7))</f>
        <v>0.14104390473607473</v>
      </c>
      <c r="F41" s="9">
        <f t="shared" si="1"/>
        <v>23.417228837178858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0.771638266729137</v>
      </c>
      <c r="L41" s="5">
        <f t="shared" si="3"/>
        <v>2.0463287312491003</v>
      </c>
      <c r="N41" s="11">
        <f>IF(+B41&gt;Title_RESULTS!$H$9+Title_RESULTS!$C$19-1,0,+'Value of Defferal'!N40*(1+'Value of Defferal'!$F$7))</f>
        <v>0.1478952534525343</v>
      </c>
      <c r="O41" s="5">
        <f t="shared" si="7"/>
        <v>1.4323492020518134</v>
      </c>
      <c r="P41" s="48">
        <f t="shared" si="4"/>
        <v>3.798486223039037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12.781806152820844</v>
      </c>
      <c r="E42" s="11">
        <f>IF(B42&gt;Title_RESULTS!$H$8-1+Title_RESULTS!$C$18,0,+E41*(1+$F$7))</f>
        <v>0.14442895844974052</v>
      </c>
      <c r="F42" s="9">
        <f t="shared" si="1"/>
        <v>23.97924232927115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0.7455996990044962</v>
      </c>
      <c r="L42" s="5">
        <f t="shared" si="3"/>
        <v>1.9772763377210176</v>
      </c>
      <c r="N42" s="11">
        <f>IF(+B42&gt;Title_RESULTS!$H$9+Title_RESULTS!$C$19-1,0,+'Value of Defferal'!N41*(1+'Value of Defferal'!$F$7))</f>
        <v>0.1514447395353951</v>
      </c>
      <c r="O42" s="5">
        <f t="shared" si="7"/>
        <v>1.466725582901057</v>
      </c>
      <c r="P42" s="48">
        <f t="shared" si="4"/>
        <v>3.8896498923919736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12.393761452863346</v>
      </c>
      <c r="E43" s="11">
        <f>IF(B43&gt;Title_RESULTS!$H$8-1+Title_RESULTS!$C$18,0,+E42*(1+$F$7))</f>
        <v>0.1478952534525343</v>
      </c>
      <c r="F43" s="9">
        <f t="shared" si="1"/>
        <v>24.554744145173657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0.7229639300036693</v>
      </c>
      <c r="L43" s="5">
        <f t="shared" si="3"/>
        <v>1.9172479196687942</v>
      </c>
      <c r="N43" s="11">
        <f>IF(+B43&gt;Title_RESULTS!$H$9+Title_RESULTS!$C$19-1,0,+'Value of Defferal'!N42*(1+'Value of Defferal'!$F$7))</f>
        <v>0.1550794132842446</v>
      </c>
      <c r="O43" s="5">
        <f t="shared" si="7"/>
        <v>1.5019269968906823</v>
      </c>
      <c r="P43" s="48">
        <f t="shared" si="4"/>
        <v>3.9830014898093813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12.005716752905851</v>
      </c>
      <c r="E44" s="11">
        <f>IF(B44&gt;Title_RESULTS!$H$8-1+Title_RESULTS!$C$18,0,+E43*(1+$F$7))</f>
        <v>0.1514447395353951</v>
      </c>
      <c r="F44" s="9">
        <f t="shared" si="1"/>
        <v>25.144058004657825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0.7003281610028427</v>
      </c>
      <c r="L44" s="5">
        <f t="shared" si="3"/>
        <v>1.8572195016165711</v>
      </c>
      <c r="N44" s="11">
        <f>IF(+B44&gt;Title_RESULTS!$H$9+Title_RESULTS!$C$19-1,0,+'Value of Defferal'!N43*(1+'Value of Defferal'!$F$7))</f>
        <v>0.15880131920306648</v>
      </c>
      <c r="O44" s="5">
        <f t="shared" si="7"/>
        <v>1.5379732448160588</v>
      </c>
      <c r="P44" s="48">
        <f t="shared" si="4"/>
        <v>4.0785935255648065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11.61767205294835</v>
      </c>
      <c r="E45" s="11">
        <f>IF(B45&gt;Title_RESULTS!$H$8-1+Title_RESULTS!$C$18,0,+E44*(1+$F$7))</f>
        <v>0.1550794132842446</v>
      </c>
      <c r="F45" s="9">
        <f t="shared" si="1"/>
        <v>25.74751539676961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0.6776923920020156</v>
      </c>
      <c r="L45" s="5">
        <f t="shared" si="3"/>
        <v>1.797191083564347</v>
      </c>
      <c r="N45" s="11">
        <f>IF(+B45&gt;Title_RESULTS!$H$9+Title_RESULTS!$C$19-1,0,+'Value of Defferal'!N44*(1+'Value of Defferal'!$F$7))</f>
        <v>0.16261255086394008</v>
      </c>
      <c r="O45" s="5">
        <f t="shared" si="7"/>
        <v>1.5748846026916443</v>
      </c>
      <c r="P45" s="48">
        <f t="shared" si="4"/>
        <v>4.1764797701783625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11.229627352990853</v>
      </c>
      <c r="E46" s="11">
        <f>IF(B46&gt;Title_RESULTS!$H$8-1+Title_RESULTS!$C$18,0,+E45*(1+$F$7))</f>
        <v>0.15880131920306648</v>
      </c>
      <c r="F46" s="9">
        <f t="shared" si="1"/>
        <v>26.365455766292083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0.6550566230011887</v>
      </c>
      <c r="L46" s="5">
        <f t="shared" si="3"/>
        <v>1.7371626655121237</v>
      </c>
      <c r="N46" s="11">
        <f>IF(+B46&gt;Title_RESULTS!$H$9+Title_RESULTS!$C$19-1,0,+'Value of Defferal'!N45*(1+'Value of Defferal'!$F$7))</f>
        <v>0.16651525208467466</v>
      </c>
      <c r="O46" s="5">
        <f t="shared" si="7"/>
        <v>1.612681833156244</v>
      </c>
      <c r="P46" s="48">
        <f t="shared" si="4"/>
        <v>4.276715284662643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10.841582653033358</v>
      </c>
      <c r="E47" s="11">
        <f>IF(B47&gt;Title_RESULTS!$H$8-1+Title_RESULTS!$C$18,0,+E46*(1+$F$7))</f>
        <v>0.16261255086394008</v>
      </c>
      <c r="F47" s="9">
        <f t="shared" si="1"/>
        <v>26.998226704683095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0.6324208540003621</v>
      </c>
      <c r="L47" s="5">
        <f t="shared" si="3"/>
        <v>1.6771342474599007</v>
      </c>
      <c r="N47" s="11">
        <f>IF(+B47&gt;Title_RESULTS!$H$9+Title_RESULTS!$C$19-1,0,+'Value of Defferal'!N46*(1+'Value of Defferal'!$F$7))</f>
        <v>0.17051161813470686</v>
      </c>
      <c r="O47" s="5">
        <f t="shared" si="7"/>
        <v>1.6513861971519939</v>
      </c>
      <c r="P47" s="48">
        <f t="shared" si="4"/>
        <v>4.379356451494547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10.45353795307586</v>
      </c>
      <c r="E48" s="11">
        <f>IF(B48&gt;Title_RESULTS!$H$8-1+Title_RESULTS!$C$18,0,+E47*(1+$F$7))</f>
        <v>0.16651525208467466</v>
      </c>
      <c r="F48" s="9">
        <f t="shared" si="1"/>
        <v>27.64618414559549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0.6097850849995352</v>
      </c>
      <c r="L48" s="5">
        <f t="shared" si="3"/>
        <v>1.6171058294076772</v>
      </c>
      <c r="N48" s="11">
        <f>IF(+B48&gt;Title_RESULTS!$H$9+Title_RESULTS!$C$19-1,0,+'Value of Defferal'!N47*(1+'Value of Defferal'!$F$7))</f>
        <v>0.17460389696993983</v>
      </c>
      <c r="O48" s="5">
        <f t="shared" si="7"/>
        <v>1.6910194658836417</v>
      </c>
      <c r="P48" s="48">
        <f t="shared" si="4"/>
        <v>4.484461006330416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10.065493253118362</v>
      </c>
      <c r="E49" s="11">
        <f>IF(B49&gt;Title_RESULTS!$H$8-1+Title_RESULTS!$C$18,0,+E48*(1+$F$7))</f>
        <v>0.17051161813470686</v>
      </c>
      <c r="F49" s="9">
        <f t="shared" si="1"/>
        <v>28.309692565089787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0.5871493159987081</v>
      </c>
      <c r="L49" s="5">
        <f t="shared" si="3"/>
        <v>1.5570774113554533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9.677448553160865</v>
      </c>
      <c r="E50" s="11">
        <f>IF(B50&gt;Title_RESULTS!$H$8-1+Title_RESULTS!$C$18,0,+E49*(1+$F$7))</f>
        <v>0.17460389696993983</v>
      </c>
      <c r="F50" s="9">
        <f t="shared" si="1"/>
        <v>28.989125186651943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0.5645135469978814</v>
      </c>
      <c r="L50" s="5">
        <f t="shared" si="3"/>
        <v>1.49704899330323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9.289403853203368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0.5418777779970545</v>
      </c>
      <c r="L51" s="5">
        <f t="shared" si="3"/>
        <v>1.4370205752510068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396.6590347685906</v>
      </c>
      <c r="F63" s="9">
        <f>SUM(F23:F61)</f>
        <v>553.2333661246166</v>
      </c>
      <c r="J63" t="s">
        <v>87</v>
      </c>
      <c r="K63" s="9">
        <f>SUM(K23:K61)</f>
        <v>23.138268050294737</v>
      </c>
      <c r="O63" s="9">
        <f>SUM(O23:O61)</f>
        <v>32.27170138006866</v>
      </c>
    </row>
    <row r="64" spans="3:15" ht="12.75">
      <c r="C64" t="s">
        <v>89</v>
      </c>
      <c r="D64" s="9">
        <f>NPV(+Title_RESULTS!$C$37,'Value of Defferal'!D24:D61)+'Value of Defferal'!D23</f>
        <v>177.11065797704342</v>
      </c>
      <c r="F64" s="9">
        <f>NPV(+Title_RESULTS!$C$37,'Value of Defferal'!F24:F61)+'Value of Defferal'!F23</f>
        <v>205.7173659971921</v>
      </c>
      <c r="J64" t="s">
        <v>89</v>
      </c>
      <c r="K64" s="9">
        <f>NPV(+Title_RESULTS!$C$37,'Value of Defferal'!K24:K61)+'Value of Defferal'!K23</f>
        <v>10.331376622311602</v>
      </c>
      <c r="O64" s="9">
        <f>NPV(+Title_RESULTS!$C$37,'Value of Defferal'!O24:O61)+'Value of Defferal'!O23</f>
        <v>13.759453257825934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0.09021270109281929</v>
      </c>
      <c r="C25" t="s">
        <v>372</v>
      </c>
    </row>
    <row r="26" spans="2:3" ht="18">
      <c r="B26" s="15">
        <f>+((Input!$C$6*'EUE_Line Losses'!C4)+(Input!$C$7*'EUE_Line Losses'!C3))/'EUE_Line Losses'!C22</f>
        <v>0.08992169237961666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4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0.1015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112.576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33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14.22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Programmable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43599.32903530093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0.1015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0.09021270109281929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119.2542372881356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112.576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33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14.22</v>
      </c>
      <c r="D39" s="13" t="s">
        <v>189</v>
      </c>
      <c r="G39" s="20" t="s">
        <v>346</v>
      </c>
      <c r="H39" s="79">
        <f>+'Sheet7(F_23)'!H32</f>
        <v>1.4525114078316006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151.16001253272603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0.9932334792158577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2019-05-14T11:53:51Z</dcterms:created>
  <dcterms:modified xsi:type="dcterms:W3CDTF">2019-05-14T11:53:59Z</dcterms:modified>
  <cp:category/>
  <cp:version/>
  <cp:contentType/>
  <cp:contentStatus/>
</cp:coreProperties>
</file>