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'Sheet2(F_12)'!$A$1:$K$47</definedName>
    <definedName name="_xlnm.Print_Area" localSheetId="11">'Sheet3(F_21)'!$A$1:$J$36</definedName>
    <definedName name="_xlnm.Print_Area" localSheetId="14">'Sheet4(F_22)'!$A$1:$J$36</definedName>
    <definedName name="_xlnm.Print_Area" localSheetId="12">'Sheet5(p_5)'!$A$1:$H$36</definedName>
    <definedName name="_xlnm.Print_Area" localSheetId="15">'Sheet6(p_6)'!$A$1:$R$36</definedName>
    <definedName name="_xlnm.Print_Area" localSheetId="16">'Sheet7(F_23)'!$A$1:$M$36</definedName>
    <definedName name="_xlnm.Print_Area" localSheetId="17">'Sheet8(F_24)'!$A$1:$M$36</definedName>
    <definedName name="_xlnm.Print_Area" localSheetId="18">'Sheet9(F_25)'!$A$1:$N$36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<sst xmlns="http://schemas.openxmlformats.org/spreadsheetml/2006/main" count="1258" uniqueCount="468">
  <si>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</si>
  <si>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</si>
  <si>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</si>
  <si>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</si>
  <si>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</si>
  <si>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</si>
  <si>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</si>
  <si>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</si>
  <si>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</si>
  <si>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</si>
  <si>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</si>
  <si>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</si>
  <si>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</si>
  <si>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</si>
  <si>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</si>
  <si>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</si>
  <si>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</si>
  <si>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</si>
  <si>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</si>
  <si>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</si>
  <si>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</si>
  <si>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</si>
  <si>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</si>
  <si>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</si>
  <si>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</si>
  <si>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</si>
  <si>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</si>
  <si>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</si>
  <si>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</si>
  <si>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</si>
  <si>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</si>
  <si>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</si>
  <si>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</si>
  <si>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</si>
  <si>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</si>
  <si>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</si>
  <si>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</si>
  <si>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</si>
  <si>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</si>
  <si>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</si>
  <si>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</si>
  <si>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</si>
  <si>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</si>
  <si>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</si>
  <si>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</si>
  <si>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</si>
  <si>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</si>
  <si>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</si>
  <si>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</si>
  <si>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</si>
  <si>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</si>
  <si>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</si>
  <si>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</si>
  <si>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</si>
  <si>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</si>
  <si>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</si>
  <si>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</si>
  <si>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</si>
  <si>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</si>
  <si>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</si>
  <si>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</si>
  <si>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</si>
  <si>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</si>
  <si>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</si>
  <si>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</si>
  <si>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</si>
  <si>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</si>
  <si>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</si>
  <si>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</si>
  <si>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</si>
  <si>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</si>
  <si>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</si>
  <si>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</si>
  <si>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</si>
  <si>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</si>
  <si>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</si>
  <si>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</si>
  <si>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</si>
  <si>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</si>
  <si>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</si>
  <si>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</si>
  <si>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</si>
  <si>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</si>
  <si>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</si>
  <si>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</si>
  <si>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</si>
  <si>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</si>
  <si>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</si>
  <si>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</si>
  <si>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</si>
  <si>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</si>
  <si>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</si>
  <si>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</si>
  <si>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</si>
  <si>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</si>
  <si>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</si>
  <si>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</si>
  <si>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</si>
  <si>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</si>
  <si>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</si>
  <si>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</si>
  <si>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</si>
  <si>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</si>
  <si>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</si>
  <si>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</si>
  <si>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</si>
  <si>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</si>
  <si>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</si>
  <si>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</si>
  <si>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</si>
  <si>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</si>
  <si>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</si>
  <si>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</si>
  <si>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</si>
  <si>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</si>
  <si>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</si>
  <si>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</si>
  <si>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</si>
  <si>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</si>
  <si>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</si>
  <si>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</si>
  <si>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</si>
  <si>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</si>
  <si>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</si>
  <si>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</si>
  <si>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</si>
  <si>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</si>
  <si>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</si>
  <si>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</si>
  <si>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</si>
  <si>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</si>
  <si>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</si>
  <si>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</si>
  <si>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</si>
  <si>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</si>
  <si>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</si>
  <si>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</si>
  <si>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</si>
  <si>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</si>
  <si>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</si>
  <si>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</si>
  <si>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</si>
  <si>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</si>
  <si>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</si>
  <si>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</si>
  <si>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</si>
  <si>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</si>
  <si>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</si>
  <si>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</si>
  <si>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</si>
  <si>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</si>
  <si>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</si>
  <si>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</si>
  <si>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</si>
  <si>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</si>
  <si>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</si>
  <si>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</si>
  <si>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</si>
  <si>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</si>
  <si>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</si>
  <si>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</si>
  <si>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</si>
  <si>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</si>
  <si>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</si>
  <si>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</si>
  <si>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</si>
  <si>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</si>
  <si>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</si>
  <si>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</si>
  <si>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</si>
  <si>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</si>
  <si>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</si>
  <si>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</si>
  <si>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</si>
  <si>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</si>
  <si>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</si>
  <si>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</si>
  <si>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</si>
  <si>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</si>
  <si>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</si>
  <si>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</si>
  <si>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</si>
  <si>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</si>
  <si>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</si>
  <si>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</si>
  <si>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</si>
  <si>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</si>
  <si>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</si>
  <si>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</si>
  <si>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</si>
  <si>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</si>
  <si>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</si>
  <si>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</si>
  <si>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</si>
  <si>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</si>
  <si>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</si>
  <si>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</si>
  <si>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</si>
  <si>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</si>
  <si>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</si>
  <si>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</si>
  <si>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</si>
  <si>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</si>
  <si>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</si>
  <si>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</si>
  <si>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</si>
  <si>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</si>
  <si>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</si>
  <si>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</si>
  <si>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</si>
  <si>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</si>
  <si>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</si>
  <si>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</si>
  <si>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</si>
  <si>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</si>
  <si>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</si>
  <si>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</si>
  <si>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</si>
  <si>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</si>
  <si>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</si>
  <si>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</si>
  <si>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</si>
  <si>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</si>
  <si>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</si>
  <si>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</si>
  <si>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</si>
  <si>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</si>
  <si>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</si>
  <si>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</si>
  <si>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</si>
  <si>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</si>
  <si>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</si>
  <si>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</si>
  <si>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</si>
  <si>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</si>
  <si>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</si>
  <si>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</si>
  <si>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</si>
  <si>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</si>
  <si>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</si>
  <si>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</si>
  <si>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</si>
  <si>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</si>
  <si>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</si>
  <si>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</si>
  <si>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</si>
  <si>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</si>
  <si>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</si>
  <si>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</si>
  <si>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</si>
  <si>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</si>
  <si>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</si>
  <si>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</si>
  <si>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</si>
  <si>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</si>
  <si>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</si>
  <si>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</si>
  <si>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</si>
  <si>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</si>
  <si>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</si>
  <si>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</si>
  <si>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</si>
  <si>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</si>
  <si>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</si>
  <si>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</si>
  <si>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</si>
  <si>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</si>
  <si>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</si>
  <si>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</si>
  <si>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</si>
  <si>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</si>
  <si>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</si>
  <si>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</si>
  <si>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</si>
  <si>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</si>
  <si>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</si>
  <si>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</si>
  <si>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</si>
  <si>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</si>
  <si>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</si>
  <si>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</si>
  <si>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</si>
  <si>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</si>
  <si>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</si>
  <si>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</si>
  <si>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</si>
  <si>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</si>
  <si>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</si>
  <si>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</si>
  <si>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</si>
  <si>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</si>
  <si>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</si>
  <si>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</si>
  <si>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</si>
  <si>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</si>
  <si>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</si>
  <si>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</si>
  <si>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</si>
  <si>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</si>
  <si>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</si>
  <si>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</si>
  <si>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</si>
  <si>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</si>
  <si>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</si>
  <si>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</si>
  <si>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</si>
  <si>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</si>
  <si>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</si>
  <si>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</si>
  <si>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</si>
  <si>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</si>
  <si>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</si>
  <si>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</si>
  <si>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</si>
  <si>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</si>
  <si>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</si>
  <si>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</si>
  <si>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</si>
  <si>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</si>
  <si>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</si>
  <si>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</si>
  <si>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</si>
  <si>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</si>
  <si>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</si>
  <si>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</si>
  <si>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</si>
  <si>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</si>
  <si>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</si>
  <si>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</si>
  <si>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</si>
  <si>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</si>
  <si>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</si>
  <si>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</si>
  <si>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</si>
  <si>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</si>
  <si>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</si>
  <si>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</si>
  <si>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</si>
  <si>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</si>
  <si>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</si>
  <si>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</si>
  <si>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</si>
  <si>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</si>
  <si>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</si>
  <si>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</si>
  <si>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</si>
  <si>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</si>
  <si>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</si>
  <si>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</si>
  <si>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</si>
  <si>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</si>
  <si>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</si>
  <si>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</si>
  <si>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</si>
  <si>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</si>
  <si>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</si>
  <si>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</si>
  <si>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</si>
  <si>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</si>
  <si>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</si>
  <si>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</si>
  <si>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</si>
  <si>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</si>
  <si>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</si>
  <si>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</si>
  <si>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</si>
  <si>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</si>
  <si>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</si>
  <si>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</si>
  <si>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</si>
  <si>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</si>
  <si>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</si>
  <si>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</si>
  <si>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</si>
  <si>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</si>
  <si>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</si>
  <si>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</si>
  <si>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</si>
  <si>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</si>
  <si>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</si>
  <si>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</si>
  <si>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</si>
  <si>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</si>
  <si>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</si>
  <si>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</si>
  <si>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</si>
  <si>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</si>
  <si>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</si>
  <si>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</si>
  <si>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</si>
  <si>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</si>
  <si>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</si>
  <si>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</si>
  <si>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</si>
  <si>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</si>
  <si>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</si>
  <si>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</si>
  <si>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</si>
  <si>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</si>
  <si>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</si>
  <si>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</si>
  <si>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</si>
  <si>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</si>
  <si>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</si>
  <si>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</si>
  <si>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</si>
  <si>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</si>
  <si>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</si>
  <si>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</si>
  <si>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</si>
  <si>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</si>
  <si>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</si>
  <si>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</si>
  <si>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</si>
  <si>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</si>
  <si>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</si>
  <si>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</si>
  <si>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</si>
  <si>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</si>
  <si>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</si>
  <si>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</si>
  <si>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</si>
  <si>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</si>
  <si>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</si>
  <si>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</si>
  <si>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</si>
  <si>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</si>
  <si>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</si>
  <si>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</si>
  <si>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</si>
  <si>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</si>
  <si>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</si>
  <si>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</si>
  <si>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</si>
  <si>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</si>
  <si>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</si>
  <si>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</si>
  <si>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</si>
  <si>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</si>
  <si>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</si>
  <si>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</si>
  <si>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</si>
  <si>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</si>
  <si>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</si>
  <si>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</si>
  <si>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</si>
  <si>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</si>
  <si>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</si>
  <si>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</si>
  <si>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</si>
  <si>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</si>
  <si>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</si>
  <si>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</si>
  <si>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</si>
  <si>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</si>
  <si>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</si>
  <si>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</si>
  <si>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</si>
  <si>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</si>
  <si>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</si>
  <si>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</si>
  <si>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</si>
  <si>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</si>
  <si>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</si>
  <si>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</si>
  <si>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</si>
  <si>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</si>
  <si>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Solar Pool Heater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</si>
</sst>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43599.32932291667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0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43599.32932291667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Solar Pool Heater</v>
      </c>
      <c r="J2" t="s">
        <v>55</v>
      </c>
    </row>
    <row r="3" ht="12.75">
      <c r="J3" s="35">
        <f>+Title_RESULTS!I4</f>
        <v>43599.32932291667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0</v>
      </c>
      <c r="H5" t="s">
        <v>59</v>
      </c>
    </row>
    <row r="6" spans="3:7" ht="12.75">
      <c r="C6" t="s">
        <v>61</v>
      </c>
      <c r="G6" s="36">
        <f>+'Value of Defferal'!E3</f>
        <v>0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30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0</v>
      </c>
      <c r="D19" s="5">
        <f>IF((Title_RESULTS!$H$8-Title_RESULTS!$H$7)&lt;=('Sheet3(F_21)'!A19-Title_RESULTS!$H$7),((Title_RESULTS!$C$8*Partcipation!$C$26*8760*Title_RESULTS!$H$21/100000)),0)</f>
        <v>0</v>
      </c>
      <c r="E19" s="5">
        <f>IF($G19=0,0,((Title_RESULTS!$H$14*((1+Title_RESULTS!$H$15/100)^($A19-Title_RESULTS!$H$7))*'EUE_Line Losses'!$B$25*Partcipation!$C$26))/1000)</f>
        <v>0</v>
      </c>
      <c r="F19" s="5">
        <f>IF($G19=0,0,(Title_RESULTS!$H$19/100*((1+Title_RESULTS!$H$20/100)^($A19-Title_RESULTS!$H$7))*$D19*1000)/1000)</f>
        <v>0</v>
      </c>
      <c r="G19" s="5">
        <f>(+Title_RESULTS!$H$22/100*((1+Title_RESULTS!$H$23/100)^(+'Sheet4(F_22)'!A19-Title_RESULTS!$H$7)))*'Sheet3(F_21)'!D19</f>
        <v>0</v>
      </c>
      <c r="H19" s="5">
        <f>IF($G19=0,0,(($D19))*(Partcipation!$G19/100))</f>
        <v>0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0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0</v>
      </c>
      <c r="D20" s="5">
        <f>IF((Title_RESULTS!$H$8-Title_RESULTS!$H$7)&lt;=('Sheet3(F_21)'!A20-Title_RESULTS!$H$7),((Title_RESULTS!$C$8*Partcipation!$C$26*8760*Title_RESULTS!$H$21/100000)),0)</f>
        <v>0</v>
      </c>
      <c r="E20" s="5">
        <f>IF($G20=0,0,((Title_RESULTS!$H$14*((1+Title_RESULTS!$H$15/100)^($A20-Title_RESULTS!$H$7))*'EUE_Line Losses'!$B$25*Partcipation!$C$26))/1000)</f>
        <v>0</v>
      </c>
      <c r="F20" s="5">
        <f>IF($G20=0,0,(Title_RESULTS!$H$19/100*((1+Title_RESULTS!$H$20/100)^($A20-Title_RESULTS!$H$7))*$D20*1000)/1000)</f>
        <v>0</v>
      </c>
      <c r="G20" s="5">
        <f>(+Title_RESULTS!$H$22/100*((1+Title_RESULTS!$H$23/100)^(+'Sheet4(F_22)'!A20-Title_RESULTS!$H$7)))*'Sheet3(F_21)'!D20</f>
        <v>0</v>
      </c>
      <c r="H20" s="5">
        <f>IF($G20=0,0,(($D20))*(Partcipation!$G20/100))</f>
        <v>0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0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0</v>
      </c>
      <c r="D21" s="5">
        <f>IF((Title_RESULTS!$H$8-Title_RESULTS!$H$7)&lt;=('Sheet3(F_21)'!A21-Title_RESULTS!$H$7),((Title_RESULTS!$C$8*Partcipation!$C$26*8760*Title_RESULTS!$H$21/100000)),0)</f>
        <v>0</v>
      </c>
      <c r="E21" s="5">
        <f>IF($G21=0,0,((Title_RESULTS!$H$14*((1+Title_RESULTS!$H$15/100)^($A21-Title_RESULTS!$H$7))*'EUE_Line Losses'!$B$25*Partcipation!$C$26))/1000)</f>
        <v>0</v>
      </c>
      <c r="F21" s="5">
        <f>IF($G21=0,0,(Title_RESULTS!$H$19/100*((1+Title_RESULTS!$H$20/100)^($A21-Title_RESULTS!$H$7))*$D21*1000)/1000)</f>
        <v>0</v>
      </c>
      <c r="G21" s="5">
        <f>(+Title_RESULTS!$H$22/100*((1+Title_RESULTS!$H$23/100)^(+'Sheet4(F_22)'!A21-Title_RESULTS!$H$7)))*'Sheet3(F_21)'!D21</f>
        <v>0</v>
      </c>
      <c r="H21" s="5">
        <f>IF($G21=0,0,(($D21))*(Partcipation!$G21/100))</f>
        <v>0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0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0</v>
      </c>
      <c r="D22" s="5">
        <f>IF((Title_RESULTS!$H$8-Title_RESULTS!$H$7)&lt;=('Sheet3(F_21)'!A22-Title_RESULTS!$H$7),((Title_RESULTS!$C$8*Partcipation!$C$26*8760*Title_RESULTS!$H$21/100000)),0)</f>
        <v>0</v>
      </c>
      <c r="E22" s="5">
        <f>IF($G22=0,0,((Title_RESULTS!$H$14*((1+Title_RESULTS!$H$15/100)^($A22-Title_RESULTS!$H$7))*'EUE_Line Losses'!$B$25*Partcipation!$C$26))/1000)</f>
        <v>0</v>
      </c>
      <c r="F22" s="5">
        <f>IF($G22=0,0,(Title_RESULTS!$H$19/100*((1+Title_RESULTS!$H$20/100)^($A22-Title_RESULTS!$H$7))*$D22*1000)/1000)</f>
        <v>0</v>
      </c>
      <c r="G22" s="5">
        <f>(+Title_RESULTS!$H$22/100*((1+Title_RESULTS!$H$23/100)^(+'Sheet4(F_22)'!A22-Title_RESULTS!$H$7)))*'Sheet3(F_21)'!D22</f>
        <v>0</v>
      </c>
      <c r="H22" s="5">
        <f>IF($G22=0,0,(($D22))*(Partcipation!$G22/100))</f>
        <v>0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0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0</v>
      </c>
      <c r="D23" s="5">
        <f>IF((Title_RESULTS!$H$8-Title_RESULTS!$H$7)&lt;=('Sheet3(F_21)'!A23-Title_RESULTS!$H$7),((Title_RESULTS!$C$8*Partcipation!$C$26*8760*Title_RESULTS!$H$21/100000)),0)</f>
        <v>0</v>
      </c>
      <c r="E23" s="5">
        <f>IF($G23=0,0,((Title_RESULTS!$H$14*((1+Title_RESULTS!$H$15/100)^($A23-Title_RESULTS!$H$7))*'EUE_Line Losses'!$B$25*Partcipation!$C$26))/1000)</f>
        <v>0</v>
      </c>
      <c r="F23" s="5">
        <f>IF($G23=0,0,(Title_RESULTS!$H$19/100*((1+Title_RESULTS!$H$20/100)^($A23-Title_RESULTS!$H$7))*$D23*1000)/1000)</f>
        <v>0</v>
      </c>
      <c r="G23" s="5">
        <f>(+Title_RESULTS!$H$22/100*((1+Title_RESULTS!$H$23/100)^(+'Sheet4(F_22)'!A23-Title_RESULTS!$H$7)))*'Sheet3(F_21)'!D23</f>
        <v>0</v>
      </c>
      <c r="H23" s="5">
        <f>IF($G23=0,0,(($D23))*(Partcipation!$G23/100))</f>
        <v>0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0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0</v>
      </c>
      <c r="D24" s="5">
        <f>IF((Title_RESULTS!$H$8-Title_RESULTS!$H$7)&lt;=('Sheet3(F_21)'!A24-Title_RESULTS!$H$7),((Title_RESULTS!$C$8*Partcipation!$C$26*8760*Title_RESULTS!$H$21/100000)),0)</f>
        <v>0</v>
      </c>
      <c r="E24" s="5">
        <f>IF($G24=0,0,((Title_RESULTS!$H$14*((1+Title_RESULTS!$H$15/100)^($A24-Title_RESULTS!$H$7))*'EUE_Line Losses'!$B$25*Partcipation!$C$26))/1000)</f>
        <v>0</v>
      </c>
      <c r="F24" s="5">
        <f>IF($G24=0,0,(Title_RESULTS!$H$19/100*((1+Title_RESULTS!$H$20/100)^($A24-Title_RESULTS!$H$7))*$D24*1000)/1000)</f>
        <v>0</v>
      </c>
      <c r="G24" s="5">
        <f>(+Title_RESULTS!$H$22/100*((1+Title_RESULTS!$H$23/100)^(+'Sheet4(F_22)'!A24-Title_RESULTS!$H$7)))*'Sheet3(F_21)'!D24</f>
        <v>0</v>
      </c>
      <c r="H24" s="5">
        <f>IF($G24=0,0,(($D24))*(Partcipation!$G24/100))</f>
        <v>0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0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0</v>
      </c>
      <c r="D25" s="5">
        <f>IF((Title_RESULTS!$H$8-Title_RESULTS!$H$7)&lt;=('Sheet3(F_21)'!A25-Title_RESULTS!$H$7),((Title_RESULTS!$C$8*Partcipation!$C$26*8760*Title_RESULTS!$H$21/100000)),0)</f>
        <v>0</v>
      </c>
      <c r="E25" s="5">
        <f>IF($G25=0,0,((Title_RESULTS!$H$14*((1+Title_RESULTS!$H$15/100)^($A25-Title_RESULTS!$H$7))*'EUE_Line Losses'!$B$25*Partcipation!$C$26))/1000)</f>
        <v>0</v>
      </c>
      <c r="F25" s="5">
        <f>IF($G25=0,0,(Title_RESULTS!$H$19/100*((1+Title_RESULTS!$H$20/100)^($A25-Title_RESULTS!$H$7))*$D25*1000)/1000)</f>
        <v>0</v>
      </c>
      <c r="G25" s="5">
        <f>(+Title_RESULTS!$H$22/100*((1+Title_RESULTS!$H$23/100)^(+'Sheet4(F_22)'!A25-Title_RESULTS!$H$7)))*'Sheet3(F_21)'!D25</f>
        <v>0</v>
      </c>
      <c r="H25" s="5">
        <f>IF($G25=0,0,(($D25))*(Partcipation!$G25/100))</f>
        <v>0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0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0</v>
      </c>
      <c r="D26" s="5">
        <f>IF((Title_RESULTS!$H$8-Title_RESULTS!$H$7)&lt;=('Sheet3(F_21)'!A26-Title_RESULTS!$H$7),((Title_RESULTS!$C$8*Partcipation!$C$26*8760*Title_RESULTS!$H$21/100000)),0)</f>
        <v>0</v>
      </c>
      <c r="E26" s="5">
        <f>IF($G26=0,0,((Title_RESULTS!$H$14*((1+Title_RESULTS!$H$15/100)^($A26-Title_RESULTS!$H$7))*'EUE_Line Losses'!$B$25*Partcipation!$C$26))/1000)</f>
        <v>0</v>
      </c>
      <c r="F26" s="5">
        <f>IF($G26=0,0,(Title_RESULTS!$H$19/100*((1+Title_RESULTS!$H$20/100)^($A26-Title_RESULTS!$H$7))*$D26*1000)/1000)</f>
        <v>0</v>
      </c>
      <c r="G26" s="5">
        <f>(+Title_RESULTS!$H$22/100*((1+Title_RESULTS!$H$23/100)^(+'Sheet4(F_22)'!A26-Title_RESULTS!$H$7)))*'Sheet3(F_21)'!D26</f>
        <v>0</v>
      </c>
      <c r="H26" s="5">
        <f>IF($G26=0,0,(($D26))*(Partcipation!$G26/100))</f>
        <v>0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0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0</v>
      </c>
      <c r="D27" s="5">
        <f>IF((Title_RESULTS!$H$8-Title_RESULTS!$H$7)&lt;=('Sheet3(F_21)'!A27-Title_RESULTS!$H$7),((Title_RESULTS!$C$8*Partcipation!$C$26*8760*Title_RESULTS!$H$21/100000)),0)</f>
        <v>0</v>
      </c>
      <c r="E27" s="5">
        <f>IF($G27=0,0,((Title_RESULTS!$H$14*((1+Title_RESULTS!$H$15/100)^($A27-Title_RESULTS!$H$7))*'EUE_Line Losses'!$B$25*Partcipation!$C$26))/1000)</f>
        <v>0</v>
      </c>
      <c r="F27" s="5">
        <f>IF($G27=0,0,(Title_RESULTS!$H$19/100*((1+Title_RESULTS!$H$20/100)^($A27-Title_RESULTS!$H$7))*$D27*1000)/1000)</f>
        <v>0</v>
      </c>
      <c r="G27" s="5">
        <f>(+Title_RESULTS!$H$22/100*((1+Title_RESULTS!$H$23/100)^(+'Sheet4(F_22)'!A27-Title_RESULTS!$H$7)))*'Sheet3(F_21)'!D27</f>
        <v>0</v>
      </c>
      <c r="H27" s="5">
        <f>IF($G27=0,0,(($D27))*(Partcipation!$G27/100))</f>
        <v>0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0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0</v>
      </c>
      <c r="D28" s="5">
        <f>IF((Title_RESULTS!$H$8-Title_RESULTS!$H$7)&lt;=('Sheet3(F_21)'!A28-Title_RESULTS!$H$7),((Title_RESULTS!$C$8*Partcipation!$C$26*8760*Title_RESULTS!$H$21/100000)),0)</f>
        <v>0</v>
      </c>
      <c r="E28" s="5">
        <f>IF($G28=0,0,((Title_RESULTS!$H$14*((1+Title_RESULTS!$H$15/100)^($A28-Title_RESULTS!$H$7))*'EUE_Line Losses'!$B$25*Partcipation!$C$26))/1000)</f>
        <v>0</v>
      </c>
      <c r="F28" s="5">
        <f>IF($G28=0,0,(Title_RESULTS!$H$19/100*((1+Title_RESULTS!$H$20/100)^($A28-Title_RESULTS!$H$7))*$D28*1000)/1000)</f>
        <v>0</v>
      </c>
      <c r="G28" s="5">
        <f>(+Title_RESULTS!$H$22/100*((1+Title_RESULTS!$H$23/100)^(+'Sheet4(F_22)'!A28-Title_RESULTS!$H$7)))*'Sheet3(F_21)'!D28</f>
        <v>0</v>
      </c>
      <c r="H28" s="5">
        <f>IF($G28=0,0,(($D28))*(Partcipation!$G28/100))</f>
        <v>0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0</v>
      </c>
    </row>
    <row r="29" spans="1:10" ht="12.75">
      <c r="A29">
        <f t="shared" si="0"/>
        <v>2033</v>
      </c>
      <c r="B29" s="43">
        <f>VLOOKUP(A29,'Value of Defferal'!$B36:$F$61,'Value of Defferal'!$C$10)</f>
        <v>0.12527215241682185</v>
      </c>
      <c r="C29" s="44">
        <f>VLOOKUP(A29,'Value of Defferal'!$B36:$F$61,'Value of Defferal'!$C$9)</f>
        <v>0</v>
      </c>
      <c r="D29" s="5">
        <f>IF((Title_RESULTS!$H$8-Title_RESULTS!$H$7)&lt;=('Sheet3(F_21)'!A29-Title_RESULTS!$H$7),((Title_RESULTS!$C$8*Partcipation!$C$26*8760*Title_RESULTS!$H$21/100000)),0)</f>
        <v>0</v>
      </c>
      <c r="E29" s="5">
        <f>IF($G29=0,0,((Title_RESULTS!$H$14*((1+Title_RESULTS!$H$15/100)^($A29-Title_RESULTS!$H$7))*'EUE_Line Losses'!$B$25*Partcipation!$C$26))/1000)</f>
        <v>0</v>
      </c>
      <c r="F29" s="5">
        <f>IF($G29=0,0,(Title_RESULTS!$H$19/100*((1+Title_RESULTS!$H$20/100)^($A29-Title_RESULTS!$H$7))*$D29*1000)/1000)</f>
        <v>0</v>
      </c>
      <c r="G29" s="5">
        <f>(+Title_RESULTS!$H$22/100*((1+Title_RESULTS!$H$23/100)^(+'Sheet4(F_22)'!A29-Title_RESULTS!$H$7)))*'Sheet3(F_21)'!D29</f>
        <v>0</v>
      </c>
      <c r="H29" s="5">
        <f>IF($G29=0,0,(($D29))*(Partcipation!$G29/100))</f>
        <v>0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0</v>
      </c>
    </row>
    <row r="30" spans="1:10" ht="12.75">
      <c r="A30">
        <f t="shared" si="0"/>
        <v>2034</v>
      </c>
      <c r="B30" s="43">
        <f>VLOOKUP(A30,'Value of Defferal'!$B37:$F$61,'Value of Defferal'!$C$10)</f>
        <v>0.12827868407482557</v>
      </c>
      <c r="C30" s="44">
        <f>VLOOKUP(A30,'Value of Defferal'!$B37:$F$61,'Value of Defferal'!$C$9)</f>
        <v>0</v>
      </c>
      <c r="D30" s="5">
        <f>IF((Title_RESULTS!$H$8-Title_RESULTS!$H$7)&lt;=('Sheet3(F_21)'!A30-Title_RESULTS!$H$7),((Title_RESULTS!$C$8*Partcipation!$C$26*8760*Title_RESULTS!$H$21/100000)),0)</f>
        <v>0</v>
      </c>
      <c r="E30" s="5">
        <f>IF($G30=0,0,((Title_RESULTS!$H$14*((1+Title_RESULTS!$H$15/100)^($A30-Title_RESULTS!$H$7))*'EUE_Line Losses'!$B$25*Partcipation!$C$26))/1000)</f>
        <v>0</v>
      </c>
      <c r="F30" s="5">
        <f>IF($G30=0,0,(Title_RESULTS!$H$19/100*((1+Title_RESULTS!$H$20/100)^($A30-Title_RESULTS!$H$7))*$D30*1000)/1000)</f>
        <v>0</v>
      </c>
      <c r="G30" s="5">
        <f>(+Title_RESULTS!$H$22/100*((1+Title_RESULTS!$H$23/100)^(+'Sheet4(F_22)'!A30-Title_RESULTS!$H$7)))*'Sheet3(F_21)'!D30</f>
        <v>0</v>
      </c>
      <c r="H30" s="5">
        <f>IF($G30=0,0,(($D30))*(Partcipation!$G30/100))</f>
        <v>0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0</v>
      </c>
    </row>
    <row r="31" spans="3:10" ht="12.75"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87</v>
      </c>
      <c r="B32" s="9"/>
      <c r="C32" s="9">
        <f aca="true" t="shared" si="1" ref="C32:J32">SUM(C16:C31)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  <c r="I32" s="9">
        <f t="shared" si="1"/>
        <v>0</v>
      </c>
      <c r="J32" s="9">
        <f t="shared" si="1"/>
        <v>0</v>
      </c>
    </row>
    <row r="33" spans="3:10" ht="12.75"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89</v>
      </c>
      <c r="C34" s="5">
        <f>NPV(Title_RESULTS!$C$37,C17:C31)+'Sheet3(F_21)'!C16</f>
        <v>0</v>
      </c>
      <c r="D34" s="5"/>
      <c r="E34" s="5">
        <f>NPV(Title_RESULTS!$C$37,E17:E31)+'Sheet3(F_21)'!E16</f>
        <v>0</v>
      </c>
      <c r="F34" s="5">
        <f>NPV(Title_RESULTS!$C$37,F17:F31)+'Sheet3(F_21)'!F16</f>
        <v>0</v>
      </c>
      <c r="G34" s="5">
        <f>NPV(Title_RESULTS!$C$37,G17:G31)+'Sheet3(F_21)'!G16</f>
        <v>0</v>
      </c>
      <c r="H34" s="5">
        <f>NPV(Title_RESULTS!$C$37,H17:H31)+'Sheet3(F_21)'!H16</f>
        <v>0</v>
      </c>
      <c r="I34" s="5">
        <f>NPV(Title_RESULTS!$C$37,I17:I31)+'Sheet3(F_21)'!I16</f>
        <v>0</v>
      </c>
      <c r="J34" s="5">
        <f>NPV(Title_RESULTS!$C$37,J17:J31)+'Sheet3(F_21)'!J16</f>
        <v>0</v>
      </c>
    </row>
    <row r="36" ht="12.75">
      <c r="A3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Solar Pool Heater</v>
      </c>
      <c r="F2" t="s">
        <v>55</v>
      </c>
    </row>
    <row r="3" spans="6:7" ht="12.75">
      <c r="F3" s="35">
        <f>+Title_RESULTS!I4</f>
        <v>43599.32932291667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5365.847457627118</v>
      </c>
      <c r="C16" s="5">
        <f>$B16*'Sheet2(F_12)'!$E16/100</f>
        <v>155.64765358883125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155.64765358883125</v>
      </c>
      <c r="G16" s="5">
        <f>+$F16*'Sheet2(F_12)'!$I16</f>
        <v>155.64765358883125</v>
      </c>
    </row>
    <row r="17" spans="1:7" ht="12.75">
      <c r="A17">
        <f>+A16+1</f>
        <v>2021</v>
      </c>
      <c r="B17" s="5">
        <f>(+Partcipation!$C16+(Partcipation!$C17-Partcipation!$C16)/2)*Title_RESULTS!$C$10/1000</f>
        <v>16097.542372881355</v>
      </c>
      <c r="C17" s="5">
        <f>$B17*'Sheet2(F_12)'!$E17/100</f>
        <v>463.1449152735856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463.1449152735856</v>
      </c>
      <c r="G17" s="5">
        <f>+$F17*'Sheet2(F_12)'!$I17</f>
        <v>463.1449152735856</v>
      </c>
    </row>
    <row r="18" spans="1:7" ht="12.75">
      <c r="A18">
        <f>+A17+1</f>
        <v>2022</v>
      </c>
      <c r="B18" s="5">
        <f>(+Partcipation!$C17+(Partcipation!$C18-Partcipation!$C17)/2)*Title_RESULTS!$C$10/1000</f>
        <v>26829.23728813559</v>
      </c>
      <c r="C18" s="5">
        <f>$B18*'Sheet2(F_12)'!$E18/100</f>
        <v>796.6609199494363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796.6609199494363</v>
      </c>
      <c r="G18" s="5">
        <f>+$F18*'Sheet2(F_12)'!$I18</f>
        <v>796.6609199494363</v>
      </c>
    </row>
    <row r="19" spans="1:7" ht="12.75">
      <c r="A19">
        <f aca="true" t="shared" si="0" ref="A19:A30">+A18+1</f>
        <v>2023</v>
      </c>
      <c r="B19" s="5">
        <f>(+Partcipation!$C18+(Partcipation!$C19-Partcipation!$C18)/2)*Title_RESULTS!$C$10/1000</f>
        <v>32195.08474576271</v>
      </c>
      <c r="C19" s="5">
        <f>$B19*'Sheet2(F_12)'!$E19/100</f>
        <v>995.2115684738023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30">+C19-E19</f>
        <v>995.2115684738023</v>
      </c>
      <c r="G19" s="5">
        <f>+$F19*'Sheet2(F_12)'!$I19</f>
        <v>995.2115684738023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32195.08474576271</v>
      </c>
      <c r="C20" s="5">
        <f>$B20*'Sheet2(F_12)'!$E20/100</f>
        <v>1034.319631938656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1034.319631938656</v>
      </c>
      <c r="G20" s="5">
        <f>+$F20*'Sheet2(F_12)'!$I20</f>
        <v>1034.319631938656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32195.08474576271</v>
      </c>
      <c r="C21" s="5">
        <f>$B21*'Sheet2(F_12)'!$E21/100</f>
        <v>1110.547886908908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1110.547886908908</v>
      </c>
      <c r="G21" s="5">
        <f>+$F21*'Sheet2(F_12)'!$I21</f>
        <v>1110.547886908908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32195.08474576271</v>
      </c>
      <c r="C22" s="5">
        <f>$B22*'Sheet2(F_12)'!$E22/100</f>
        <v>1146.1682934563887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1146.1682934563887</v>
      </c>
      <c r="G22" s="5">
        <f>+$F22*'Sheet2(F_12)'!$I22</f>
        <v>1146.1682934563887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32195.08474576271</v>
      </c>
      <c r="C23" s="5">
        <f>$B23*'Sheet2(F_12)'!$E23/100</f>
        <v>1217.798681777726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1217.798681777726</v>
      </c>
      <c r="G23" s="5">
        <f>+$F23*'Sheet2(F_12)'!$I23</f>
        <v>1217.798681777726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32195.08474576271</v>
      </c>
      <c r="C24" s="5">
        <f>$B24*'Sheet2(F_12)'!$E24/100</f>
        <v>1349.4617663085423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1349.4617663085423</v>
      </c>
      <c r="G24" s="5">
        <f>+$F24*'Sheet2(F_12)'!$I24</f>
        <v>1349.4617663085423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32195.08474576271</v>
      </c>
      <c r="C25" s="5">
        <f>$B25*'Sheet2(F_12)'!$E25/100</f>
        <v>1445.7651184118874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1445.7651184118874</v>
      </c>
      <c r="G25" s="5">
        <f>+$F25*'Sheet2(F_12)'!$I25</f>
        <v>1445.7651184118874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32195.08474576271</v>
      </c>
      <c r="C26" s="5">
        <f>$B26*'Sheet2(F_12)'!$E26/100</f>
        <v>1614.8395415795997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1614.8395415795997</v>
      </c>
      <c r="G26" s="5">
        <f>+$F26*'Sheet2(F_12)'!$I26</f>
        <v>1614.8395415795997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32195.08474576271</v>
      </c>
      <c r="C27" s="5">
        <f>$B27*'Sheet2(F_12)'!$E27/100</f>
        <v>1608.8342027126384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1608.8342027126384</v>
      </c>
      <c r="G27" s="5">
        <f>+$F27*'Sheet2(F_12)'!$I27</f>
        <v>1608.8342027126384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32195.08474576271</v>
      </c>
      <c r="C28" s="5">
        <f>$B28*'Sheet2(F_12)'!$E28/100</f>
        <v>1758.3070888518405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1758.3070888518405</v>
      </c>
      <c r="G28" s="5">
        <f>+$F28*'Sheet2(F_12)'!$I28</f>
        <v>1758.3070888518405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32195.08474576271</v>
      </c>
      <c r="C29" s="5">
        <f>$B29*'Sheet2(F_12)'!$E29/100</f>
        <v>1875.0745677192165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1875.0745677192165</v>
      </c>
      <c r="G29" s="5">
        <f>+$F29*'Sheet2(F_12)'!$I29</f>
        <v>1875.0745677192165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32195.08474576271</v>
      </c>
      <c r="C30" s="5">
        <f>$B30*'Sheet2(F_12)'!$E30/100</f>
        <v>1962.382296203854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1962.382296203854</v>
      </c>
      <c r="G30" s="5">
        <f>+$F30*'Sheet2(F_12)'!$I30</f>
        <v>1962.382296203854</v>
      </c>
    </row>
    <row r="31" spans="2:7" ht="12.75">
      <c r="B31" s="5"/>
      <c r="C31" s="5"/>
      <c r="D31" s="5"/>
      <c r="E31" s="5"/>
      <c r="F31" s="5"/>
      <c r="G31" s="5"/>
    </row>
    <row r="32" spans="1:7" ht="12.75">
      <c r="A32" t="s">
        <v>87</v>
      </c>
      <c r="B32" s="5">
        <f aca="true" t="shared" si="2" ref="B32:G32">SUM(B16:B31)</f>
        <v>434633.6440677965</v>
      </c>
      <c r="C32" s="5">
        <f t="shared" si="2"/>
        <v>18534.164133154914</v>
      </c>
      <c r="D32" s="5">
        <f t="shared" si="2"/>
        <v>0</v>
      </c>
      <c r="E32" s="5">
        <f t="shared" si="2"/>
        <v>0</v>
      </c>
      <c r="F32" s="5">
        <f t="shared" si="2"/>
        <v>18534.164133154914</v>
      </c>
      <c r="G32" s="5">
        <f t="shared" si="2"/>
        <v>18534.164133154914</v>
      </c>
    </row>
    <row r="33" spans="2:7" ht="12.75">
      <c r="B33" s="5"/>
      <c r="C33" s="5"/>
      <c r="D33" s="5"/>
      <c r="E33" s="5"/>
      <c r="F33" s="5"/>
      <c r="G33" s="5"/>
    </row>
    <row r="34" spans="1:7" ht="12.75">
      <c r="A34" t="s">
        <v>118</v>
      </c>
      <c r="B34" s="5"/>
      <c r="C34" s="5">
        <f>NPV(+Title_RESULTS!$C$37,C17:C31)+C16</f>
        <v>10616.0104381257</v>
      </c>
      <c r="D34" s="5"/>
      <c r="E34" s="5">
        <f>NPV(+Title_RESULTS!$C$37,E17:E31)+E16</f>
        <v>0</v>
      </c>
      <c r="F34" s="5">
        <f>NPV(+Title_RESULTS!$C$37,F17:F31)+F16</f>
        <v>10616.0104381257</v>
      </c>
      <c r="G34" s="5">
        <f>NPV(+Title_RESULTS!$C$37,G17:G31)+G16</f>
        <v>10616.0104381257</v>
      </c>
    </row>
    <row r="35" spans="6:7" ht="12.75">
      <c r="F35" s="9"/>
      <c r="G35" s="9"/>
    </row>
    <row r="36" ht="12.75">
      <c r="A3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Solar Pool Heater</v>
      </c>
      <c r="J2" t="s">
        <v>42</v>
      </c>
    </row>
    <row r="3" spans="9:10" ht="12.75">
      <c r="I3" s="4"/>
      <c r="J3" s="35">
        <f>+Title_RESULTS!I4</f>
        <v>43599.32932291667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3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2:14" ht="15">
      <c r="B31" s="28"/>
      <c r="C31" s="28"/>
      <c r="D31" s="10"/>
      <c r="E31" s="10"/>
      <c r="N31" s="64"/>
    </row>
    <row r="32" spans="2:14" ht="15">
      <c r="B32" s="28"/>
      <c r="C32" s="28"/>
      <c r="D32" s="10"/>
      <c r="E32" s="10"/>
      <c r="N32" s="64"/>
    </row>
    <row r="33" spans="2:14" ht="15">
      <c r="B33" s="28"/>
      <c r="C33" s="28"/>
      <c r="D33" s="10"/>
      <c r="E33" s="10"/>
      <c r="N33" s="64"/>
    </row>
    <row r="34" spans="2:14" ht="15">
      <c r="B34" s="28"/>
      <c r="C34" s="28"/>
      <c r="D34" s="10"/>
      <c r="E34" s="10"/>
      <c r="N34" s="64"/>
    </row>
    <row r="35" spans="2:14" ht="15">
      <c r="B35" s="28"/>
      <c r="C35" s="28"/>
      <c r="D35" s="10"/>
      <c r="E35" s="10"/>
      <c r="N35" s="64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  <row r="44" spans="2:5" ht="12.75">
      <c r="B44" s="28"/>
      <c r="C44" s="28"/>
      <c r="D44" s="10"/>
      <c r="E44" s="10"/>
    </row>
    <row r="45" spans="2:5" ht="12.75">
      <c r="B45" s="28"/>
      <c r="C45" s="28"/>
      <c r="D45" s="10"/>
      <c r="E4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Solar Pool Heater</v>
      </c>
      <c r="H2" t="s">
        <v>108</v>
      </c>
    </row>
    <row r="3" ht="12.75">
      <c r="H3" s="35">
        <f>+Title_RESULTS!I4</f>
        <v>43599.32932291667</v>
      </c>
    </row>
    <row r="5" spans="3:6" ht="12.75">
      <c r="C5" t="s">
        <v>60</v>
      </c>
      <c r="F5" s="38">
        <f>+'Value of Defferal'!L4</f>
        <v>0</v>
      </c>
    </row>
    <row r="6" spans="3:6" ht="12.75">
      <c r="C6" t="s">
        <v>62</v>
      </c>
      <c r="F6" s="38">
        <f>+'Value of Defferal'!L5</f>
        <v>0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155.64765358883125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0</v>
      </c>
      <c r="C17" s="5">
        <f>IF(+Title_RESULTS!$H$9&lt;='Sheet4(F_22)'!$A17,(+Title_RESULTS!$H$16*((1+Title_RESULTS!$H$18/100)^('Sheet4(F_22)'!$A17-Title_RESULTS!$H$7))*Title_RESULTS!$C$8*Partcipation!$C$26/1000),0)</f>
        <v>0</v>
      </c>
      <c r="D17" s="5">
        <f>(+B17+C17)*+Partcipation!$H17</f>
        <v>0</v>
      </c>
      <c r="E17" s="5">
        <f>VLOOKUP(A17,'Value of Defferal'!$I24:$P$58,'Value of Defferal'!$K$13)</f>
        <v>0</v>
      </c>
      <c r="F17" s="5">
        <f>IF(+'Value of Defferal'!P24=0,0,Title_RESULTS!$H$17*Title_RESULTS!$C$7*Partcipation!$C$26*(1+Title_RESULTS!$H$18/100)^('Sheet4(F_22)'!A17-Title_RESULTS!$H$7))/1000</f>
        <v>0</v>
      </c>
      <c r="G17" s="5">
        <f>(+E17+F17)*Partcipation!$H17</f>
        <v>0</v>
      </c>
      <c r="H17" s="5">
        <f>+'Sheet5(p_5)'!$F17*'Sheet2(F_12)'!$I17</f>
        <v>463.1449152735856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0</v>
      </c>
      <c r="C18" s="5">
        <f>IF(+Title_RESULTS!$H$9&lt;='Sheet4(F_22)'!$A18,(+Title_RESULTS!$H$16*((1+Title_RESULTS!$H$18/100)^('Sheet4(F_22)'!$A18-Title_RESULTS!$H$7))*Title_RESULTS!$C$8*Partcipation!$C$26/1000),0)</f>
        <v>0</v>
      </c>
      <c r="D18" s="5">
        <f>(+B18+C18)*+Partcipation!$H18</f>
        <v>0</v>
      </c>
      <c r="E18" s="5">
        <f>VLOOKUP(A18,'Value of Defferal'!$I25:$P$58,'Value of Defferal'!$K$13)</f>
        <v>0</v>
      </c>
      <c r="F18" s="5">
        <f>IF(+'Value of Defferal'!P25=0,0,Title_RESULTS!$H$17*Title_RESULTS!$C$7*Partcipation!$C$26*(1+Title_RESULTS!$H$18/100)^('Sheet4(F_22)'!A18-Title_RESULTS!$H$7))/1000</f>
        <v>0</v>
      </c>
      <c r="G18" s="5">
        <f>(+E18+F18)*Partcipation!$H18</f>
        <v>0</v>
      </c>
      <c r="H18" s="5">
        <f>+'Sheet5(p_5)'!$F18*'Sheet2(F_12)'!$I18</f>
        <v>796.6609199494363</v>
      </c>
      <c r="I18" s="5"/>
      <c r="J18" s="5"/>
    </row>
    <row r="19" spans="1:10" ht="12.75">
      <c r="A19">
        <f aca="true" t="shared" si="0" ref="A19:A30">+A18+1</f>
        <v>2023</v>
      </c>
      <c r="B19" s="5">
        <f>VLOOKUP(A19,'Value of Defferal'!$I26:$P$58,'Value of Defferal'!$K$9)</f>
        <v>0</v>
      </c>
      <c r="C19" s="5">
        <f>IF(+Title_RESULTS!$H$9&lt;='Sheet4(F_22)'!$A19,(+Title_RESULTS!$H$16*((1+Title_RESULTS!$H$18/100)^('Sheet4(F_22)'!$A19-Title_RESULTS!$H$7))*Title_RESULTS!$C$8*Partcipation!$C$26/1000),0)</f>
        <v>0</v>
      </c>
      <c r="D19" s="5">
        <f>(+B19+C19)*+Partcipation!$H19</f>
        <v>0</v>
      </c>
      <c r="E19" s="5">
        <f>VLOOKUP(A19,'Value of Defferal'!$I26:$P$58,'Value of Defferal'!$K$13)</f>
        <v>0</v>
      </c>
      <c r="F19" s="5">
        <f>IF(+'Value of Defferal'!P26=0,0,Title_RESULTS!$H$17*Title_RESULTS!$C$7*Partcipation!$C$26*(1+Title_RESULTS!$H$18/100)^('Sheet4(F_22)'!A19-Title_RESULTS!$H$7))/1000</f>
        <v>0</v>
      </c>
      <c r="G19" s="5">
        <f>(+E19+F19)*Partcipation!$H19</f>
        <v>0</v>
      </c>
      <c r="H19" s="5">
        <f>+'Sheet5(p_5)'!$F19*'Sheet2(F_12)'!$I19</f>
        <v>995.2115684738023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0</v>
      </c>
      <c r="C20" s="5">
        <f>IF(+Title_RESULTS!$H$9&lt;='Sheet4(F_22)'!$A20,(+Title_RESULTS!$H$16*((1+Title_RESULTS!$H$18/100)^('Sheet4(F_22)'!$A20-Title_RESULTS!$H$7))*Title_RESULTS!$C$8*Partcipation!$C$26/1000),0)</f>
        <v>0</v>
      </c>
      <c r="D20" s="5">
        <f>(+B20+C20)*+Partcipation!$H20</f>
        <v>0</v>
      </c>
      <c r="E20" s="5">
        <f>VLOOKUP(A20,'Value of Defferal'!$I27:$P$58,'Value of Defferal'!$K$13)</f>
        <v>0</v>
      </c>
      <c r="F20" s="5">
        <f>IF(+'Value of Defferal'!P27=0,0,Title_RESULTS!$H$17*Title_RESULTS!$C$7*Partcipation!$C$26*(1+Title_RESULTS!$H$18/100)^('Sheet4(F_22)'!A20-Title_RESULTS!$H$7))/1000</f>
        <v>0</v>
      </c>
      <c r="G20" s="5">
        <f>(+E20+F20)*Partcipation!$H20</f>
        <v>0</v>
      </c>
      <c r="H20" s="5">
        <f>+'Sheet5(p_5)'!$F20*'Sheet2(F_12)'!$I20</f>
        <v>1034.319631938656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0</v>
      </c>
      <c r="C21" s="5">
        <f>IF(+Title_RESULTS!$H$9&lt;='Sheet4(F_22)'!$A21,(+Title_RESULTS!$H$16*((1+Title_RESULTS!$H$18/100)^('Sheet4(F_22)'!$A21-Title_RESULTS!$H$7))*Title_RESULTS!$C$8*Partcipation!$C$26/1000),0)</f>
        <v>0</v>
      </c>
      <c r="D21" s="5">
        <f>(+B21+C21)*+Partcipation!$H21</f>
        <v>0</v>
      </c>
      <c r="E21" s="5">
        <f>VLOOKUP(A21,'Value of Defferal'!$I28:$P$58,'Value of Defferal'!$K$13)</f>
        <v>0</v>
      </c>
      <c r="F21" s="5">
        <f>IF(+'Value of Defferal'!P28=0,0,Title_RESULTS!$H$17*Title_RESULTS!$C$7*Partcipation!$C$26*(1+Title_RESULTS!$H$18/100)^('Sheet4(F_22)'!A21-Title_RESULTS!$H$7))/1000</f>
        <v>0</v>
      </c>
      <c r="G21" s="5">
        <f>(+E21+F21)*Partcipation!$H21</f>
        <v>0</v>
      </c>
      <c r="H21" s="5">
        <f>+'Sheet5(p_5)'!$F21*'Sheet2(F_12)'!$I21</f>
        <v>1110.547886908908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0</v>
      </c>
      <c r="C22" s="5">
        <f>IF(+Title_RESULTS!$H$9&lt;='Sheet4(F_22)'!$A22,(+Title_RESULTS!$H$16*((1+Title_RESULTS!$H$18/100)^('Sheet4(F_22)'!$A22-Title_RESULTS!$H$7))*Title_RESULTS!$C$8*Partcipation!$C$26/1000),0)</f>
        <v>0</v>
      </c>
      <c r="D22" s="5">
        <f>(+B22+C22)*+Partcipation!$H22</f>
        <v>0</v>
      </c>
      <c r="E22" s="5">
        <f>VLOOKUP(A22,'Value of Defferal'!$I29:$P$58,'Value of Defferal'!$K$13)</f>
        <v>0</v>
      </c>
      <c r="F22" s="5">
        <f>IF(+'Value of Defferal'!P29=0,0,Title_RESULTS!$H$17*Title_RESULTS!$C$7*Partcipation!$C$26*(1+Title_RESULTS!$H$18/100)^('Sheet4(F_22)'!A22-Title_RESULTS!$H$7))/1000</f>
        <v>0</v>
      </c>
      <c r="G22" s="5">
        <f>(+E22+F22)*Partcipation!$H22</f>
        <v>0</v>
      </c>
      <c r="H22" s="5">
        <f>+'Sheet5(p_5)'!$F22*'Sheet2(F_12)'!$I22</f>
        <v>1146.1682934563887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0</v>
      </c>
      <c r="C23" s="5">
        <f>IF(+Title_RESULTS!$H$9&lt;='Sheet4(F_22)'!$A23,(+Title_RESULTS!$H$16*((1+Title_RESULTS!$H$18/100)^('Sheet4(F_22)'!$A23-Title_RESULTS!$H$7))*Title_RESULTS!$C$8*Partcipation!$C$26/1000),0)</f>
        <v>0</v>
      </c>
      <c r="D23" s="5">
        <f>(+B23+C23)*+Partcipation!$H23</f>
        <v>0</v>
      </c>
      <c r="E23" s="5">
        <f>VLOOKUP(A23,'Value of Defferal'!$I30:$P$58,'Value of Defferal'!$K$13)</f>
        <v>0</v>
      </c>
      <c r="F23" s="5">
        <f>IF(+'Value of Defferal'!P30=0,0,Title_RESULTS!$H$17*Title_RESULTS!$C$7*Partcipation!$C$26*(1+Title_RESULTS!$H$18/100)^('Sheet4(F_22)'!A23-Title_RESULTS!$H$7))/1000</f>
        <v>0</v>
      </c>
      <c r="G23" s="5">
        <f>(+E23+F23)*Partcipation!$H23</f>
        <v>0</v>
      </c>
      <c r="H23" s="5">
        <f>+'Sheet5(p_5)'!$F23*'Sheet2(F_12)'!$I23</f>
        <v>1217.798681777726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0</v>
      </c>
      <c r="C24" s="5">
        <f>IF(+Title_RESULTS!$H$9&lt;='Sheet4(F_22)'!$A24,(+Title_RESULTS!$H$16*((1+Title_RESULTS!$H$18/100)^('Sheet4(F_22)'!$A24-Title_RESULTS!$H$7))*Title_RESULTS!$C$8*Partcipation!$C$26/1000),0)</f>
        <v>0</v>
      </c>
      <c r="D24" s="5">
        <f>(+B24+C24)*+Partcipation!$H24</f>
        <v>0</v>
      </c>
      <c r="E24" s="5">
        <f>VLOOKUP(A24,'Value of Defferal'!$I31:$P$58,'Value of Defferal'!$K$13)</f>
        <v>0</v>
      </c>
      <c r="F24" s="5">
        <f>IF(+'Value of Defferal'!P31=0,0,Title_RESULTS!$H$17*Title_RESULTS!$C$7*Partcipation!$C$26*(1+Title_RESULTS!$H$18/100)^('Sheet4(F_22)'!A24-Title_RESULTS!$H$7))/1000</f>
        <v>0</v>
      </c>
      <c r="G24" s="5">
        <f>(+E24+F24)*Partcipation!$H24</f>
        <v>0</v>
      </c>
      <c r="H24" s="5">
        <f>+'Sheet5(p_5)'!$F24*'Sheet2(F_12)'!$I24</f>
        <v>1349.4617663085423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0</v>
      </c>
      <c r="C25" s="5">
        <f>IF(+Title_RESULTS!$H$9&lt;='Sheet4(F_22)'!$A25,(+Title_RESULTS!$H$16*((1+Title_RESULTS!$H$18/100)^('Sheet4(F_22)'!$A25-Title_RESULTS!$H$7))*Title_RESULTS!$C$8*Partcipation!$C$26/1000),0)</f>
        <v>0</v>
      </c>
      <c r="D25" s="5">
        <f>(+B25+C25)*+Partcipation!$H25</f>
        <v>0</v>
      </c>
      <c r="E25" s="5">
        <f>VLOOKUP(A25,'Value of Defferal'!$I32:$P$58,'Value of Defferal'!$K$13)</f>
        <v>0</v>
      </c>
      <c r="F25" s="5">
        <f>IF(+'Value of Defferal'!P32=0,0,Title_RESULTS!$H$17*Title_RESULTS!$C$7*Partcipation!$C$26*(1+Title_RESULTS!$H$18/100)^('Sheet4(F_22)'!A25-Title_RESULTS!$H$7))/1000</f>
        <v>0</v>
      </c>
      <c r="G25" s="5">
        <f>(+E25+F25)*Partcipation!$H25</f>
        <v>0</v>
      </c>
      <c r="H25" s="5">
        <f>+'Sheet5(p_5)'!$F25*'Sheet2(F_12)'!$I25</f>
        <v>1445.7651184118874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0</v>
      </c>
      <c r="C26" s="5">
        <f>IF(+Title_RESULTS!$H$9&lt;='Sheet4(F_22)'!$A26,(+Title_RESULTS!$H$16*((1+Title_RESULTS!$H$18/100)^('Sheet4(F_22)'!$A26-Title_RESULTS!$H$7))*Title_RESULTS!$C$8*Partcipation!$C$26/1000),0)</f>
        <v>0</v>
      </c>
      <c r="D26" s="5">
        <f>(+B26+C26)*+Partcipation!$H26</f>
        <v>0</v>
      </c>
      <c r="E26" s="5">
        <f>VLOOKUP(A26,'Value of Defferal'!$I33:$P$58,'Value of Defferal'!$K$13)</f>
        <v>0</v>
      </c>
      <c r="F26" s="5">
        <f>IF(+'Value of Defferal'!P33=0,0,Title_RESULTS!$H$17*Title_RESULTS!$C$7*Partcipation!$C$26*(1+Title_RESULTS!$H$18/100)^('Sheet4(F_22)'!A26-Title_RESULTS!$H$7))/1000</f>
        <v>0</v>
      </c>
      <c r="G26" s="5">
        <f>(+E26+F26)*Partcipation!$H26</f>
        <v>0</v>
      </c>
      <c r="H26" s="5">
        <f>+'Sheet5(p_5)'!$F26*'Sheet2(F_12)'!$I26</f>
        <v>1614.8395415795997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0</v>
      </c>
      <c r="C27" s="5">
        <f>IF(+Title_RESULTS!$H$9&lt;='Sheet4(F_22)'!$A27,(+Title_RESULTS!$H$16*((1+Title_RESULTS!$H$18/100)^('Sheet4(F_22)'!$A27-Title_RESULTS!$H$7))*Title_RESULTS!$C$8*Partcipation!$C$26/1000),0)</f>
        <v>0</v>
      </c>
      <c r="D27" s="5">
        <f>(+B27+C27)*+Partcipation!$H27</f>
        <v>0</v>
      </c>
      <c r="E27" s="5">
        <f>VLOOKUP(A27,'Value of Defferal'!$I34:$P$58,'Value of Defferal'!$K$13)</f>
        <v>0</v>
      </c>
      <c r="F27" s="5">
        <f>IF(+'Value of Defferal'!P34=0,0,Title_RESULTS!$H$17*Title_RESULTS!$C$7*Partcipation!$C$26*(1+Title_RESULTS!$H$18/100)^('Sheet4(F_22)'!A27-Title_RESULTS!$H$7))/1000</f>
        <v>0</v>
      </c>
      <c r="G27" s="5">
        <f>(+E27+F27)*Partcipation!$H27</f>
        <v>0</v>
      </c>
      <c r="H27" s="5">
        <f>+'Sheet5(p_5)'!$F27*'Sheet2(F_12)'!$I27</f>
        <v>1608.8342027126384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0</v>
      </c>
      <c r="C28" s="5">
        <f>IF(+Title_RESULTS!$H$9&lt;='Sheet4(F_22)'!$A28,(+Title_RESULTS!$H$16*((1+Title_RESULTS!$H$18/100)^('Sheet4(F_22)'!$A28-Title_RESULTS!$H$7))*Title_RESULTS!$C$8*Partcipation!$C$26/1000),0)</f>
        <v>0</v>
      </c>
      <c r="D28" s="5">
        <f>(+B28+C28)*+Partcipation!$H28</f>
        <v>0</v>
      </c>
      <c r="E28" s="5">
        <f>VLOOKUP(A28,'Value of Defferal'!$I35:$P$58,'Value of Defferal'!$K$13)</f>
        <v>0</v>
      </c>
      <c r="F28" s="5">
        <f>IF(+'Value of Defferal'!P35=0,0,Title_RESULTS!$H$17*Title_RESULTS!$C$7*Partcipation!$C$26*(1+Title_RESULTS!$H$18/100)^('Sheet4(F_22)'!A28-Title_RESULTS!$H$7))/1000</f>
        <v>0</v>
      </c>
      <c r="G28" s="5">
        <f>(+E28+F28)*Partcipation!$H28</f>
        <v>0</v>
      </c>
      <c r="H28" s="5">
        <f>+'Sheet5(p_5)'!$F28*'Sheet2(F_12)'!$I28</f>
        <v>1758.3070888518405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0</v>
      </c>
      <c r="C29" s="5">
        <f>IF(+Title_RESULTS!$H$9&lt;='Sheet4(F_22)'!$A29,(+Title_RESULTS!$H$16*((1+Title_RESULTS!$H$18/100)^('Sheet4(F_22)'!$A29-Title_RESULTS!$H$7))*Title_RESULTS!$C$8*Partcipation!$C$26/1000),0)</f>
        <v>0</v>
      </c>
      <c r="D29" s="5">
        <f>(+B29+C29)*+Partcipation!$H29</f>
        <v>0</v>
      </c>
      <c r="E29" s="5">
        <f>VLOOKUP(A29,'Value of Defferal'!$I36:$P$58,'Value of Defferal'!$K$13)</f>
        <v>0</v>
      </c>
      <c r="F29" s="5">
        <f>IF(+'Value of Defferal'!P36=0,0,Title_RESULTS!$H$17*Title_RESULTS!$C$7*Partcipation!$C$26*(1+Title_RESULTS!$H$18/100)^('Sheet4(F_22)'!A29-Title_RESULTS!$H$7))/1000</f>
        <v>0</v>
      </c>
      <c r="G29" s="5">
        <f>(+E29+F29)*Partcipation!$H29</f>
        <v>0</v>
      </c>
      <c r="H29" s="5">
        <f>+'Sheet5(p_5)'!$F29*'Sheet2(F_12)'!$I29</f>
        <v>1875.0745677192165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0</v>
      </c>
      <c r="C30" s="5">
        <f>IF(+Title_RESULTS!$H$9&lt;='Sheet4(F_22)'!$A30,(+Title_RESULTS!$H$16*((1+Title_RESULTS!$H$18/100)^('Sheet4(F_22)'!$A30-Title_RESULTS!$H$7))*Title_RESULTS!$C$8*Partcipation!$C$26/1000),0)</f>
        <v>0</v>
      </c>
      <c r="D30" s="5">
        <f>(+B30+C30)*+Partcipation!$H30</f>
        <v>0</v>
      </c>
      <c r="E30" s="5">
        <f>VLOOKUP(A30,'Value of Defferal'!$I37:$P$58,'Value of Defferal'!$K$13)</f>
        <v>0</v>
      </c>
      <c r="F30" s="5">
        <f>IF(+'Value of Defferal'!P37=0,0,Title_RESULTS!$H$17*Title_RESULTS!$C$7*Partcipation!$C$26*(1+Title_RESULTS!$H$18/100)^('Sheet4(F_22)'!A30-Title_RESULTS!$H$7))/1000</f>
        <v>0</v>
      </c>
      <c r="G30" s="5">
        <f>(+E30+F30)*Partcipation!$H30</f>
        <v>0</v>
      </c>
      <c r="H30" s="5">
        <f>+'Sheet5(p_5)'!$F30*'Sheet2(F_12)'!$I30</f>
        <v>1962.382296203854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88</v>
      </c>
      <c r="B32" s="5">
        <f aca="true" t="shared" si="1" ref="B32:H32">SUM(B16:B31)</f>
        <v>0</v>
      </c>
      <c r="C32" s="5">
        <f t="shared" si="1"/>
        <v>0</v>
      </c>
      <c r="D32" s="5">
        <f t="shared" si="1"/>
        <v>0</v>
      </c>
      <c r="E32" s="5">
        <f t="shared" si="1"/>
        <v>0</v>
      </c>
      <c r="F32" s="5">
        <f t="shared" si="1"/>
        <v>0</v>
      </c>
      <c r="G32" s="5">
        <f t="shared" si="1"/>
        <v>0</v>
      </c>
      <c r="H32" s="5">
        <f t="shared" si="1"/>
        <v>18534.164133154914</v>
      </c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90</v>
      </c>
      <c r="B34" s="5">
        <f>NPV(Title_RESULTS!$C$37,'Sheet4(F_22)'!B17:B31)+'Sheet4(F_22)'!B16</f>
        <v>0</v>
      </c>
      <c r="C34" s="5">
        <f>NPV(Title_RESULTS!$C$37,'Sheet4(F_22)'!C17:C31)+'Sheet4(F_22)'!C16</f>
        <v>0</v>
      </c>
      <c r="D34" s="5">
        <f>NPV(Title_RESULTS!$C$37,'Sheet4(F_22)'!D17:D31)+'Sheet4(F_22)'!D16</f>
        <v>0</v>
      </c>
      <c r="E34" s="5">
        <f>NPV(Title_RESULTS!$C$37,'Sheet4(F_22)'!E17:E31)+'Sheet4(F_22)'!E16</f>
        <v>0</v>
      </c>
      <c r="F34" s="5">
        <f>NPV(Title_RESULTS!$C$37,'Sheet4(F_22)'!F17:F31)+'Sheet4(F_22)'!F16</f>
        <v>0</v>
      </c>
      <c r="G34" s="5">
        <f>NPV(Title_RESULTS!$C$37,'Sheet4(F_22)'!G17:G31)+'Sheet4(F_22)'!G16</f>
        <v>0</v>
      </c>
      <c r="H34" s="5">
        <f>NPV(Title_RESULTS!$C$37,'Sheet4(F_22)'!H17:H31)+'Sheet4(F_22)'!H16</f>
        <v>10616.0104381257</v>
      </c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ht="12.75">
      <c r="A3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Solar Pool Heater</v>
      </c>
      <c r="P2" t="s">
        <v>121</v>
      </c>
    </row>
    <row r="3" ht="12.75">
      <c r="P3" s="35">
        <f>+Title_RESULTS!I4</f>
        <v>43599.32932291667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30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30</v>
      </c>
      <c r="E16" s="5">
        <f>IF(+'Sheet9(F_25)'!$A16&gt;=Title_RESULTS!$H$8,0,((Partcipation!$B16-Partcipation!$B15)*(Title_RESULTS!$C$39*((1+Title_RESULTS!$C$41/100)^('Sheet9(F_25)'!$A16-Title_RESULTS!$H$7)))/1000))</f>
        <v>1786.993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1786.993</v>
      </c>
      <c r="H16" s="5">
        <f>IF(Partcipation!$B17&lt;Partcipation!$B16,0,IF(Partcipation!$B16=0,0,(Partcipation!$B16-Partcipation!$B15)*(+Title_RESULTS!$C$29*(1+Title_RESULTS!$C$30/100)^(+'Sheet8(F_24)'!$A16-Title_RESULTS!$H$7))/1000))</f>
        <v>3477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3477</v>
      </c>
      <c r="K16" s="5">
        <f>(+Partcipation!$B15+(Partcipation!$B16-Partcipation!$B15)/2)*(+Title_RESULTS!$C$14)/1000</f>
        <v>5065.36</v>
      </c>
      <c r="L16" s="5">
        <f>($K16)*Partcipation!$E73*Title_RESULTS!$C$12/100</f>
        <v>123.32188983524873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300.69496568</v>
      </c>
      <c r="N16" s="5">
        <f>'Sheet2(F_12)'!$I16*('Sheet6(p_6)'!$L16+'Sheet6(p_6)'!$M16)</f>
        <v>424.0168555152487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30.72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30.72</v>
      </c>
      <c r="E17" s="5">
        <f>IF(+'Sheet9(F_25)'!$A17&gt;=Title_RESULTS!$H$8,0,((Partcipation!$B17-Partcipation!$B16)*(Title_RESULTS!$C$39*((1+Title_RESULTS!$C$41/100)^('Sheet9(F_25)'!$A17-Title_RESULTS!$H$7)))/1000))</f>
        <v>1786.993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1786.993</v>
      </c>
      <c r="H17" s="5">
        <f>IF(Partcipation!$B18&lt;Partcipation!$B17,0,IF(Partcipation!$B17=0,0,(Partcipation!$B17-Partcipation!$B16)*(+Title_RESULTS!$C$29*(1+Title_RESULTS!$C$30/100)^(+'Sheet8(F_24)'!$A17-Title_RESULTS!$H$7))/1000))</f>
        <v>3556.9709999999995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3556.9709999999995</v>
      </c>
      <c r="K17" s="5">
        <f>(+Partcipation!$B16+(Partcipation!$B17-Partcipation!$B16)/2)*(+Title_RESULTS!$C$14)/1000</f>
        <v>15196.079999999998</v>
      </c>
      <c r="L17" s="5">
        <f>($K17)*Partcipation!$E74*Title_RESULTS!$C$12/100</f>
        <v>387.57362460380614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911.1057460103999</v>
      </c>
      <c r="N17" s="5">
        <f>'Sheet2(F_12)'!$I17*('Sheet6(p_6)'!$L17+'Sheet6(p_6)'!$M17)</f>
        <v>1298.6793706142062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31.457279999999997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31.457279999999997</v>
      </c>
      <c r="E18" s="5">
        <f>IF(+'Sheet9(F_25)'!$A18&gt;=Title_RESULTS!$H$8,0,((Partcipation!$B18-Partcipation!$B17)*(Title_RESULTS!$C$39*((1+Title_RESULTS!$C$41/100)^('Sheet9(F_25)'!$A18-Title_RESULTS!$H$7)))/1000))</f>
        <v>1786.993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1786.993</v>
      </c>
      <c r="H18" s="5">
        <f>IF(Partcipation!$B19&lt;Partcipation!$B18,0,IF(Partcipation!$B18=0,0,(Partcipation!$B18-Partcipation!$B17)*(+Title_RESULTS!$C$29*(1+Title_RESULTS!$C$30/100)^(+'Sheet8(F_24)'!$A18-Title_RESULTS!$H$7))/1000))</f>
        <v>3638.7813329999994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3638.7813329999994</v>
      </c>
      <c r="K18" s="5">
        <f>(+Partcipation!$B17+(Partcipation!$B18-Partcipation!$B17)/2)*(+Title_RESULTS!$C$14)/1000</f>
        <v>25326.8</v>
      </c>
      <c r="L18" s="5">
        <f>($K18)*Partcipation!$E75*Title_RESULTS!$C$12/100</f>
        <v>669.7500824593029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1533.69467245084</v>
      </c>
      <c r="N18" s="5">
        <f>'Sheet2(F_12)'!$I18*('Sheet6(p_6)'!$L18+'Sheet6(p_6)'!$M18)</f>
        <v>2203.444754910143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3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30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30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30">SUM(H19:I19)</f>
        <v>0</v>
      </c>
      <c r="K19" s="5">
        <f>(+Partcipation!$B18+(Partcipation!$B19-Partcipation!$B18)/2)*(+Title_RESULTS!$C$14)/1000</f>
        <v>30392.159999999996</v>
      </c>
      <c r="L19" s="5">
        <f>($K19)*Partcipation!$E76*Title_RESULTS!$C$12/100</f>
        <v>797.1118570202921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1858.8379430104176</v>
      </c>
      <c r="N19" s="5">
        <f>'Sheet2(F_12)'!$I19*('Sheet6(p_6)'!$L19+'Sheet6(p_6)'!$M19)</f>
        <v>2655.9498000307094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30392.159999999996</v>
      </c>
      <c r="L20" s="5">
        <f>($K20)*Partcipation!$E77*Title_RESULTS!$C$12/100</f>
        <v>842.3238291562285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1877.426322440522</v>
      </c>
      <c r="N20" s="5">
        <f>'Sheet2(F_12)'!$I20*('Sheet6(p_6)'!$L20+'Sheet6(p_6)'!$M20)</f>
        <v>2719.7501515967506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30392.159999999996</v>
      </c>
      <c r="L21" s="5">
        <f>($K21)*Partcipation!$E78*Title_RESULTS!$C$12/100</f>
        <v>890.6721025004944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1896.200585664927</v>
      </c>
      <c r="N21" s="5">
        <f>'Sheet2(F_12)'!$I21*('Sheet6(p_6)'!$L21+'Sheet6(p_6)'!$M21)</f>
        <v>2786.8726881654216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30392.159999999996</v>
      </c>
      <c r="L22" s="5">
        <f>($K22)*Partcipation!$E79*Title_RESULTS!$C$12/100</f>
        <v>930.9430992057788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1915.1625915215768</v>
      </c>
      <c r="N22" s="5">
        <f>'Sheet2(F_12)'!$I22*('Sheet6(p_6)'!$L22+'Sheet6(p_6)'!$M22)</f>
        <v>2846.1056907273555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30392.159999999996</v>
      </c>
      <c r="L23" s="5">
        <f>($K23)*Partcipation!$E80*Title_RESULTS!$C$12/100</f>
        <v>985.757929971451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1934.314217436792</v>
      </c>
      <c r="N23" s="5">
        <f>'Sheet2(F_12)'!$I23*('Sheet6(p_6)'!$L23+'Sheet6(p_6)'!$M23)</f>
        <v>2920.072147408243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30392.159999999996</v>
      </c>
      <c r="L24" s="5">
        <f>($K24)*Partcipation!$E81*Title_RESULTS!$C$12/100</f>
        <v>1079.104387005811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1953.6573596111605</v>
      </c>
      <c r="N24" s="5">
        <f>'Sheet2(F_12)'!$I24*('Sheet6(p_6)'!$L24+'Sheet6(p_6)'!$M24)</f>
        <v>3032.7617466169713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30392.159999999996</v>
      </c>
      <c r="L25" s="5">
        <f>($K25)*Partcipation!$E82*Title_RESULTS!$C$12/100</f>
        <v>1134.0823256638243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1973.1939332072723</v>
      </c>
      <c r="N25" s="5">
        <f>'Sheet2(F_12)'!$I25*('Sheet6(p_6)'!$L25+'Sheet6(p_6)'!$M25)</f>
        <v>3107.2762588710966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30392.159999999996</v>
      </c>
      <c r="L26" s="5">
        <f>($K26)*Partcipation!$E83*Title_RESULTS!$C$12/100</f>
        <v>1235.6416515984572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1992.925872539345</v>
      </c>
      <c r="N26" s="5">
        <f>'Sheet2(F_12)'!$I26*('Sheet6(p_6)'!$L26+'Sheet6(p_6)'!$M26)</f>
        <v>3228.567524137802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30392.159999999996</v>
      </c>
      <c r="L27" s="5">
        <f>($K27)*Partcipation!$E84*Title_RESULTS!$C$12/100</f>
        <v>1278.2367920570944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2012.855131264738</v>
      </c>
      <c r="N27" s="5">
        <f>'Sheet2(F_12)'!$I27*('Sheet6(p_6)'!$L27+'Sheet6(p_6)'!$M27)</f>
        <v>3291.0919233218324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30392.159999999996</v>
      </c>
      <c r="L28" s="5">
        <f>($K28)*Partcipation!$E85*Title_RESULTS!$C$12/100</f>
        <v>1369.4403265613992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2032.9836825773855</v>
      </c>
      <c r="N28" s="5">
        <f>'Sheet2(F_12)'!$I28*('Sheet6(p_6)'!$L28+'Sheet6(p_6)'!$M28)</f>
        <v>3402.4240091387846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0</v>
      </c>
      <c r="D29" s="5">
        <f t="shared" si="1"/>
        <v>0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0</v>
      </c>
      <c r="G29" s="5">
        <f t="shared" si="2"/>
        <v>0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30392.159999999996</v>
      </c>
      <c r="L29" s="5">
        <f>($K29)*Partcipation!$E86*Title_RESULTS!$C$12/100</f>
        <v>1398.1648630135405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2053.3135194031593</v>
      </c>
      <c r="N29" s="5">
        <f>'Sheet2(F_12)'!$I29*('Sheet6(p_6)'!$L29+'Sheet6(p_6)'!$M29)</f>
        <v>3451.4783824167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0</v>
      </c>
      <c r="D30" s="5">
        <f t="shared" si="1"/>
        <v>0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0</v>
      </c>
      <c r="G30" s="5">
        <f t="shared" si="2"/>
        <v>0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30392.159999999996</v>
      </c>
      <c r="L30" s="5">
        <f>($K30)*Partcipation!$E87*Title_RESULTS!$C$12/100</f>
        <v>1490.5063331284223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2073.846654597191</v>
      </c>
      <c r="N30" s="5">
        <f>'Sheet2(F_12)'!$I30*('Sheet6(p_6)'!$L30+'Sheet6(p_6)'!$M30)</f>
        <v>3564.3529877256133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t="s">
        <v>87</v>
      </c>
      <c r="B32" s="5">
        <f aca="true" t="shared" si="4" ref="B32:R32">SUM(B16:B31)</f>
        <v>92.17728</v>
      </c>
      <c r="C32" s="5">
        <f t="shared" si="4"/>
        <v>0</v>
      </c>
      <c r="D32" s="5">
        <f t="shared" si="4"/>
        <v>92.17728</v>
      </c>
      <c r="E32" s="5">
        <f t="shared" si="4"/>
        <v>5360.978999999999</v>
      </c>
      <c r="F32" s="5">
        <f t="shared" si="4"/>
        <v>0</v>
      </c>
      <c r="G32" s="5">
        <f t="shared" si="4"/>
        <v>5360.978999999999</v>
      </c>
      <c r="H32" s="5">
        <f t="shared" si="4"/>
        <v>10672.752332999999</v>
      </c>
      <c r="I32" s="5">
        <f t="shared" si="4"/>
        <v>0</v>
      </c>
      <c r="J32" s="5">
        <f t="shared" si="4"/>
        <v>10672.752332999999</v>
      </c>
      <c r="K32" s="5">
        <f t="shared" si="4"/>
        <v>410294.1599999999</v>
      </c>
      <c r="L32" s="5">
        <f t="shared" si="4"/>
        <v>14612.631093781149</v>
      </c>
      <c r="M32" s="5">
        <f t="shared" si="4"/>
        <v>26320.21319741573</v>
      </c>
      <c r="N32" s="5">
        <f t="shared" si="4"/>
        <v>40932.84429119689</v>
      </c>
      <c r="O32" s="5">
        <f t="shared" si="4"/>
        <v>0</v>
      </c>
      <c r="P32" s="5">
        <f t="shared" si="4"/>
        <v>0</v>
      </c>
      <c r="Q32" s="5">
        <f t="shared" si="4"/>
        <v>0</v>
      </c>
      <c r="R32" s="5">
        <f t="shared" si="4"/>
        <v>0</v>
      </c>
    </row>
    <row r="33" spans="2:18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t="s">
        <v>89</v>
      </c>
      <c r="B34" s="5">
        <f>NPV(Title_RESULTS!$C$37,'Sheet6(p_6)'!B17:B31)+'Sheet6(p_6)'!B16</f>
        <v>86.12379783289325</v>
      </c>
      <c r="C34" s="5">
        <f>NPV(Title_RESULTS!$C$37,'Sheet6(p_6)'!C17:C31)+'Sheet6(p_6)'!C16</f>
        <v>0</v>
      </c>
      <c r="D34" s="5">
        <f>NPV(Title_RESULTS!$C$37,'Sheet6(p_6)'!D17:D31)+'Sheet6(p_6)'!D16</f>
        <v>86.12379783289325</v>
      </c>
      <c r="E34" s="5">
        <f>NPV(Title_RESULTS!$C$37,'Sheet6(p_6)'!E17:E31)+'Sheet6(p_6)'!E16</f>
        <v>5014.329744168457</v>
      </c>
      <c r="F34" s="5">
        <f>NPV(Title_RESULTS!$C$37,'Sheet6(p_6)'!F17:F31)+'Sheet6(p_6)'!F16</f>
        <v>0</v>
      </c>
      <c r="G34" s="5">
        <f>NPV(Title_RESULTS!$C$37,'Sheet6(p_6)'!G17:G31)+'Sheet6(p_6)'!G16</f>
        <v>5014.329744168457</v>
      </c>
      <c r="H34" s="5">
        <f>NPV(Title_RESULTS!$C$37,'Sheet6(p_6)'!H17:H31)+'Sheet6(p_6)'!H16</f>
        <v>9972.293719943642</v>
      </c>
      <c r="I34" s="5">
        <f>NPV(Title_RESULTS!$C$37,'Sheet6(p_6)'!I17:I31)+'Sheet6(p_6)'!I16</f>
        <v>0</v>
      </c>
      <c r="J34" s="5">
        <f>NPV(Title_RESULTS!$C$37,'Sheet6(p_6)'!J17:J31)+'Sheet6(p_6)'!J16</f>
        <v>9972.293719943642</v>
      </c>
      <c r="K34" s="5"/>
      <c r="L34" s="5">
        <f>NPV(Title_RESULTS!$C$37,'Sheet6(p_6)'!L17:L31)+'Sheet6(p_6)'!L16</f>
        <v>8432.217625681635</v>
      </c>
      <c r="M34" s="5">
        <f>NPV(Title_RESULTS!$C$37,'Sheet6(p_6)'!M17:M31)+'Sheet6(p_6)'!M16</f>
        <v>15931.499272976283</v>
      </c>
      <c r="N34" s="5">
        <f>NPV(Title_RESULTS!$C$37,'Sheet6(p_6)'!N17:N31)+'Sheet6(p_6)'!N16</f>
        <v>24363.716898657916</v>
      </c>
      <c r="O34" s="5"/>
      <c r="P34" s="5">
        <f>NPV(Title_RESULTS!$C$37,'Sheet6(p_6)'!P17:P31)+'Sheet6(p_6)'!P16</f>
        <v>0</v>
      </c>
      <c r="Q34" s="5">
        <f>NPV(Title_RESULTS!$C$37,'Sheet6(p_6)'!Q17:Q31)+'Sheet6(p_6)'!Q16</f>
        <v>0</v>
      </c>
      <c r="R34" s="5">
        <f>NPV(Title_RESULTS!$C$37,'Sheet6(p_6)'!R17:R31)+'Sheet6(p_6)'!R16</f>
        <v>0</v>
      </c>
    </row>
    <row r="36" ht="12.75">
      <c r="A3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Solar Pool Heater</v>
      </c>
      <c r="M2" t="s">
        <v>55</v>
      </c>
    </row>
    <row r="3" ht="12.75">
      <c r="M3" s="35">
        <f>+Title_RESULTS!I4</f>
        <v>43599.32932291667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30</v>
      </c>
      <c r="D16" s="5">
        <f>IF(A16&gt;=(Title_RESULTS!$H$7+Title_RESULTS!$C$17),0,(+'Sheet6(p_6)'!$J16))</f>
        <v>3477</v>
      </c>
      <c r="E16" s="5">
        <f>IF(A16&gt;=(Title_RESULTS!$H$7+Title_RESULTS!$C$17),0,(+'f-11B'!$N15))</f>
        <v>0</v>
      </c>
      <c r="F16" s="5">
        <f>IF(A16&gt;=(Title_RESULTS!$H$7+Title_RESULTS!$C$17),0,(SUM(B16:E16)))</f>
        <v>3507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155.64765358883125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155.64765358883125</v>
      </c>
      <c r="L16" s="23">
        <f>IF(A16&gt;=(Title_RESULTS!$H$7+Title_RESULTS!$C$17),0,(+$K16-$F16))</f>
        <v>-3351.3523464111686</v>
      </c>
      <c r="M16" s="23">
        <f>IF(A16&gt;=(Title_RESULTS!$H$7+Title_RESULTS!$C$17),0,(+$L16/(1+Title_RESULTS!$C$37)^('Sheet7(F_23)'!$A16-Title_RESULTS!$H$7)))</f>
        <v>-3351.3523464111686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30.72</v>
      </c>
      <c r="D17" s="5">
        <f>IF(A17&gt;=(Title_RESULTS!$H$7+Title_RESULTS!$C$17),0,(+'Sheet6(p_6)'!$J17))</f>
        <v>3556.9709999999995</v>
      </c>
      <c r="E17" s="5">
        <f>IF(A17&gt;=(Title_RESULTS!$H$7+Title_RESULTS!$C$17),0,(+'f-11B'!$N16))</f>
        <v>0</v>
      </c>
      <c r="F17" s="5">
        <f>IF(A17&gt;=(Title_RESULTS!$H$7+Title_RESULTS!$C$17),0,(SUM(B17:E17)))</f>
        <v>3587.6909999999993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0</v>
      </c>
      <c r="I17" s="5">
        <f>IF(A17&gt;=(Title_RESULTS!$H$7+Title_RESULTS!$C$17),0,(+'Sheet4(F_22)'!$H17))</f>
        <v>463.1449152735856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463.1449152735856</v>
      </c>
      <c r="L17" s="23">
        <f>IF(A17&gt;=(Title_RESULTS!$H$7+Title_RESULTS!$C$17),0,(+$K17-$F17))</f>
        <v>-3124.546084726414</v>
      </c>
      <c r="M17" s="23">
        <f>IF(A17&gt;=(Title_RESULTS!$H$7+Title_RESULTS!$C$17),0,(+M16+$L17/(1+Title_RESULTS!$C$37)^('Sheet7(F_23)'!$A17-Title_RESULTS!$H$7)))</f>
        <v>-6269.3072256849955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31.457279999999997</v>
      </c>
      <c r="D18" s="5">
        <f>IF(A18&gt;=(Title_RESULTS!$H$7+Title_RESULTS!$C$17),0,(+'Sheet6(p_6)'!$J18))</f>
        <v>3638.7813329999994</v>
      </c>
      <c r="E18" s="5">
        <f>IF(A18&gt;=(Title_RESULTS!$H$7+Title_RESULTS!$C$17),0,(+'f-11B'!$N17))</f>
        <v>0</v>
      </c>
      <c r="F18" s="5">
        <f>IF(A18&gt;=(Title_RESULTS!$H$7+Title_RESULTS!$C$17),0,(SUM(B18:E18)))</f>
        <v>3670.2386129999995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0</v>
      </c>
      <c r="I18" s="5">
        <f>IF(A18&gt;=(Title_RESULTS!$H$7+Title_RESULTS!$C$17),0,(+'Sheet4(F_22)'!$H18))</f>
        <v>796.6609199494363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796.6609199494363</v>
      </c>
      <c r="L18" s="23">
        <f>IF(A18&gt;=(Title_RESULTS!$H$7+Title_RESULTS!$C$17),0,(+$K18-$F18))</f>
        <v>-2873.577693050563</v>
      </c>
      <c r="M18" s="23">
        <f>IF(A18&gt;=(Title_RESULTS!$H$7+Title_RESULTS!$C$17),0,(+M17+$L18/(1+Title_RESULTS!$C$37)^('Sheet7(F_23)'!$A18-Title_RESULTS!$H$7)))</f>
        <v>-8775.452363811646</v>
      </c>
    </row>
    <row r="19" spans="1:13" ht="12.75">
      <c r="A19">
        <f aca="true" t="shared" si="0" ref="A19:A3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0</v>
      </c>
      <c r="H19" s="5">
        <f>IF(A19&gt;=(Title_RESULTS!$H$7+Title_RESULTS!$C$17),0,(+'Sheet4(F_22)'!$D19+'Sheet4(F_22)'!$G19))</f>
        <v>0</v>
      </c>
      <c r="I19" s="5">
        <f>IF(A19&gt;=(Title_RESULTS!$H$7+Title_RESULTS!$C$17),0,(+'Sheet4(F_22)'!$H19))</f>
        <v>995.2115684738023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995.2115684738023</v>
      </c>
      <c r="L19" s="23">
        <f>IF(A19&gt;=(Title_RESULTS!$H$7+Title_RESULTS!$C$17),0,(+$K19-$F19))</f>
        <v>995.2115684738023</v>
      </c>
      <c r="M19" s="23">
        <f>IF(A19&gt;=(Title_RESULTS!$H$7+Title_RESULTS!$C$17),0,(+M18+$L19/(1+Title_RESULTS!$C$37)^('Sheet7(F_23)'!$A19-Title_RESULTS!$H$7)))</f>
        <v>-7964.882733181308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0</v>
      </c>
      <c r="H20" s="5">
        <f>IF(A20&gt;=(Title_RESULTS!$H$7+Title_RESULTS!$C$17),0,(+'Sheet4(F_22)'!$D20+'Sheet4(F_22)'!$G20))</f>
        <v>0</v>
      </c>
      <c r="I20" s="5">
        <f>IF(A20&gt;=(Title_RESULTS!$H$7+Title_RESULTS!$C$17),0,(+'Sheet4(F_22)'!$H20))</f>
        <v>1034.319631938656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1034.319631938656</v>
      </c>
      <c r="L20" s="23">
        <f>IF(A20&gt;=(Title_RESULTS!$H$7+Title_RESULTS!$C$17),0,(+$K20-$F20))</f>
        <v>1034.319631938656</v>
      </c>
      <c r="M20" s="23">
        <f>IF(A20&gt;=(Title_RESULTS!$H$7+Title_RESULTS!$C$17),0,(+M19+$L20/(1+Title_RESULTS!$C$37)^('Sheet7(F_23)'!$A20-Title_RESULTS!$H$7)))</f>
        <v>-7178.160691815113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0</v>
      </c>
      <c r="H21" s="5">
        <f>IF(A21&gt;=(Title_RESULTS!$H$7+Title_RESULTS!$C$17),0,(+'Sheet4(F_22)'!$D21+'Sheet4(F_22)'!$G21))</f>
        <v>0</v>
      </c>
      <c r="I21" s="5">
        <f>IF(A21&gt;=(Title_RESULTS!$H$7+Title_RESULTS!$C$17),0,(+'Sheet4(F_22)'!$H21))</f>
        <v>1110.547886908908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1110.547886908908</v>
      </c>
      <c r="L21" s="23">
        <f>IF(A21&gt;=(Title_RESULTS!$H$7+Title_RESULTS!$C$17),0,(+$K21-$F21))</f>
        <v>1110.547886908908</v>
      </c>
      <c r="M21" s="23">
        <f>IF(A21&gt;=(Title_RESULTS!$H$7+Title_RESULTS!$C$17),0,(+M20+$L21/(1+Title_RESULTS!$C$37)^('Sheet7(F_23)'!$A21-Title_RESULTS!$H$7)))</f>
        <v>-6389.308788857282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0</v>
      </c>
      <c r="H22" s="5">
        <f>IF(A22&gt;=(Title_RESULTS!$H$7+Title_RESULTS!$C$17),0,(+'Sheet4(F_22)'!$D22+'Sheet4(F_22)'!$G22))</f>
        <v>0</v>
      </c>
      <c r="I22" s="5">
        <f>IF(A22&gt;=(Title_RESULTS!$H$7+Title_RESULTS!$C$17),0,(+'Sheet4(F_22)'!$H22))</f>
        <v>1146.1682934563887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1146.1682934563887</v>
      </c>
      <c r="L22" s="23">
        <f>IF(A22&gt;=(Title_RESULTS!$H$7+Title_RESULTS!$C$17),0,(+$K22-$F22))</f>
        <v>1146.1682934563887</v>
      </c>
      <c r="M22" s="23">
        <f>IF(A22&gt;=(Title_RESULTS!$H$7+Title_RESULTS!$C$17),0,(+M21+$L22/(1+Title_RESULTS!$C$37)^('Sheet7(F_23)'!$A22-Title_RESULTS!$H$7)))</f>
        <v>-5628.985636455223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0</v>
      </c>
      <c r="H23" s="5">
        <f>IF(A23&gt;=(Title_RESULTS!$H$7+Title_RESULTS!$C$17),0,(+'Sheet4(F_22)'!$D23+'Sheet4(F_22)'!$G23))</f>
        <v>0</v>
      </c>
      <c r="I23" s="5">
        <f>IF(A23&gt;=(Title_RESULTS!$H$7+Title_RESULTS!$C$17),0,(+'Sheet4(F_22)'!$H23))</f>
        <v>1217.798681777726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1217.798681777726</v>
      </c>
      <c r="L23" s="23">
        <f>IF(A23&gt;=(Title_RESULTS!$H$7+Title_RESULTS!$C$17),0,(+$K23-$F23))</f>
        <v>1217.798681777726</v>
      </c>
      <c r="M23" s="23">
        <f>IF(A23&gt;=(Title_RESULTS!$H$7+Title_RESULTS!$C$17),0,(+M22+$L23/(1+Title_RESULTS!$C$37)^('Sheet7(F_23)'!$A23-Title_RESULTS!$H$7)))</f>
        <v>-4874.559089599545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0</v>
      </c>
      <c r="H24" s="5">
        <f>IF(A24&gt;=(Title_RESULTS!$H$7+Title_RESULTS!$C$17),0,(+'Sheet4(F_22)'!$D24+'Sheet4(F_22)'!$G24))</f>
        <v>0</v>
      </c>
      <c r="I24" s="5">
        <f>IF(A24&gt;=(Title_RESULTS!$H$7+Title_RESULTS!$C$17),0,(+'Sheet4(F_22)'!$H24))</f>
        <v>1349.4617663085423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1349.4617663085423</v>
      </c>
      <c r="L24" s="23">
        <f>IF(A24&gt;=(Title_RESULTS!$H$7+Title_RESULTS!$C$17),0,(+$K24-$F24))</f>
        <v>1349.4617663085423</v>
      </c>
      <c r="M24" s="23">
        <f>IF(A24&gt;=(Title_RESULTS!$H$7+Title_RESULTS!$C$17),0,(+M23+$L24/(1+Title_RESULTS!$C$37)^('Sheet7(F_23)'!$A24-Title_RESULTS!$H$7)))</f>
        <v>-4093.842003112448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0</v>
      </c>
      <c r="H25" s="5">
        <f>IF(A25&gt;=(Title_RESULTS!$H$7+Title_RESULTS!$C$17),0,(+'Sheet4(F_22)'!$D25+'Sheet4(F_22)'!$G25))</f>
        <v>0</v>
      </c>
      <c r="I25" s="5">
        <f>IF(A25&gt;=(Title_RESULTS!$H$7+Title_RESULTS!$C$17),0,(+'Sheet4(F_22)'!$H25))</f>
        <v>1445.7651184118874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1445.7651184118874</v>
      </c>
      <c r="L25" s="23">
        <f>IF(A25&gt;=(Title_RESULTS!$H$7+Title_RESULTS!$C$17),0,(+$K25-$F25))</f>
        <v>1445.7651184118874</v>
      </c>
      <c r="M25" s="23">
        <f>IF(A25&gt;=(Title_RESULTS!$H$7+Title_RESULTS!$C$17),0,(+M24+$L25/(1+Title_RESULTS!$C$37)^('Sheet7(F_23)'!$A25-Title_RESULTS!$H$7)))</f>
        <v>-3312.713509992483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0</v>
      </c>
      <c r="H26" s="5">
        <f>IF(A26&gt;=(Title_RESULTS!$H$7+Title_RESULTS!$C$17),0,(+'Sheet4(F_22)'!$D26+'Sheet4(F_22)'!$G26))</f>
        <v>0</v>
      </c>
      <c r="I26" s="5">
        <f>IF(A26&gt;=(Title_RESULTS!$H$7+Title_RESULTS!$C$17),0,(+'Sheet4(F_22)'!$H26))</f>
        <v>1614.8395415795997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1614.8395415795997</v>
      </c>
      <c r="L26" s="23">
        <f>IF(A26&gt;=(Title_RESULTS!$H$7+Title_RESULTS!$C$17),0,(+$K26-$F26))</f>
        <v>1614.8395415795997</v>
      </c>
      <c r="M26" s="23">
        <f>IF(A26&gt;=(Title_RESULTS!$H$7+Title_RESULTS!$C$17),0,(+M25+$L26/(1+Title_RESULTS!$C$37)^('Sheet7(F_23)'!$A26-Title_RESULTS!$H$7)))</f>
        <v>-2497.9233978006823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0</v>
      </c>
      <c r="H27" s="5">
        <f>IF(A27&gt;=(Title_RESULTS!$H$7+Title_RESULTS!$C$17),0,(+'Sheet4(F_22)'!$D27+'Sheet4(F_22)'!$G27))</f>
        <v>0</v>
      </c>
      <c r="I27" s="5">
        <f>IF(A27&gt;=(Title_RESULTS!$H$7+Title_RESULTS!$C$17),0,(+'Sheet4(F_22)'!$H27))</f>
        <v>1608.8342027126384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1608.8342027126384</v>
      </c>
      <c r="L27" s="23">
        <f>IF(A27&gt;=(Title_RESULTS!$H$7+Title_RESULTS!$C$17),0,(+$K27-$F27))</f>
        <v>1608.8342027126384</v>
      </c>
      <c r="M27" s="23">
        <f>IF(A27&gt;=(Title_RESULTS!$H$7+Title_RESULTS!$C$17),0,(+M26+$L27/(1+Title_RESULTS!$C$37)^('Sheet7(F_23)'!$A27-Title_RESULTS!$H$7)))</f>
        <v>-1739.8359551438962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0</v>
      </c>
      <c r="H28" s="5">
        <f>IF(A28&gt;=(Title_RESULTS!$H$7+Title_RESULTS!$C$17),0,(+'Sheet4(F_22)'!$D28+'Sheet4(F_22)'!$G28))</f>
        <v>0</v>
      </c>
      <c r="I28" s="5">
        <f>IF(A28&gt;=(Title_RESULTS!$H$7+Title_RESULTS!$C$17),0,(+'Sheet4(F_22)'!$H28))</f>
        <v>1758.3070888518405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1758.3070888518405</v>
      </c>
      <c r="L28" s="23">
        <f>IF(A28&gt;=(Title_RESULTS!$H$7+Title_RESULTS!$C$17),0,(+$K28-$F28))</f>
        <v>1758.3070888518405</v>
      </c>
      <c r="M28" s="23">
        <f>IF(A28&gt;=(Title_RESULTS!$H$7+Title_RESULTS!$C$17),0,(+M27+$L28/(1+Title_RESULTS!$C$37)^('Sheet7(F_23)'!$A28-Title_RESULTS!$H$7)))</f>
        <v>-966.0971529076769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0</v>
      </c>
      <c r="G29" s="5">
        <f>IF(A29&gt;=(Title_RESULTS!$H$7+Title_RESULTS!$C$17),0,('Sheet3(F_21)'!$J29))</f>
        <v>0</v>
      </c>
      <c r="H29" s="5">
        <f>IF(A29&gt;=(Title_RESULTS!$H$7+Title_RESULTS!$C$17),0,(+'Sheet4(F_22)'!$D29+'Sheet4(F_22)'!$G29))</f>
        <v>0</v>
      </c>
      <c r="I29" s="5">
        <f>IF(A29&gt;=(Title_RESULTS!$H$7+Title_RESULTS!$C$17),0,(+'Sheet4(F_22)'!$H29))</f>
        <v>1875.0745677192165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1875.0745677192165</v>
      </c>
      <c r="L29" s="23">
        <f>IF(A29&gt;=(Title_RESULTS!$H$7+Title_RESULTS!$C$17),0,(+$K29-$F29))</f>
        <v>1875.0745677192165</v>
      </c>
      <c r="M29" s="23">
        <f>IF(A29&gt;=(Title_RESULTS!$H$7+Title_RESULTS!$C$17),0,(+M28+$L29/(1+Title_RESULTS!$C$37)^('Sheet7(F_23)'!$A29-Title_RESULTS!$H$7)))</f>
        <v>-195.53117396238338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0</v>
      </c>
      <c r="G30" s="5">
        <f>IF(A30&gt;=(Title_RESULTS!$H$7+Title_RESULTS!$C$17),0,('Sheet3(F_21)'!$J30))</f>
        <v>0</v>
      </c>
      <c r="H30" s="5">
        <f>IF(A30&gt;=(Title_RESULTS!$H$7+Title_RESULTS!$C$17),0,(+'Sheet4(F_22)'!$D30+'Sheet4(F_22)'!$G30))</f>
        <v>0</v>
      </c>
      <c r="I30" s="5">
        <f>IF(A30&gt;=(Title_RESULTS!$H$7+Title_RESULTS!$C$17),0,(+'Sheet4(F_22)'!$H30))</f>
        <v>1962.382296203854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1962.382296203854</v>
      </c>
      <c r="L30" s="23">
        <f>IF(A30&gt;=(Title_RESULTS!$H$7+Title_RESULTS!$C$17),0,(+$K30-$F30))</f>
        <v>1962.382296203854</v>
      </c>
      <c r="M30" s="23">
        <f>IF(A30&gt;=(Title_RESULTS!$H$7+Title_RESULTS!$C$17),0,(+M29+$L30/(1+Title_RESULTS!$C$37)^('Sheet7(F_23)'!$A30-Title_RESULTS!$H$7)))</f>
        <v>557.5929203491689</v>
      </c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L32">SUM(B16:B31)</f>
        <v>0</v>
      </c>
      <c r="C32" s="5">
        <f t="shared" si="1"/>
        <v>92.17728</v>
      </c>
      <c r="D32" s="5">
        <f t="shared" si="1"/>
        <v>10672.752332999999</v>
      </c>
      <c r="E32" s="5">
        <f t="shared" si="1"/>
        <v>0</v>
      </c>
      <c r="F32" s="5">
        <f t="shared" si="1"/>
        <v>10764.929612999998</v>
      </c>
      <c r="G32" s="5">
        <f t="shared" si="1"/>
        <v>0</v>
      </c>
      <c r="H32" s="5">
        <f t="shared" si="1"/>
        <v>0</v>
      </c>
      <c r="I32" s="5">
        <f t="shared" si="1"/>
        <v>18534.164133154914</v>
      </c>
      <c r="J32" s="5">
        <f t="shared" si="1"/>
        <v>0</v>
      </c>
      <c r="K32" s="5">
        <f t="shared" si="1"/>
        <v>18534.164133154914</v>
      </c>
      <c r="L32" s="5">
        <f t="shared" si="1"/>
        <v>7769.234520154913</v>
      </c>
      <c r="M32" s="5"/>
    </row>
    <row r="33" spans="2:13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t="s">
        <v>118</v>
      </c>
      <c r="B34" s="5">
        <f>NPV(Title_RESULTS!$C$37,'Sheet7(F_23)'!B17:B31)+'Sheet7(F_23)'!B16</f>
        <v>0</v>
      </c>
      <c r="C34" s="5">
        <f>NPV(Title_RESULTS!$C$37,'Sheet7(F_23)'!C17:C31)+'Sheet7(F_23)'!C16</f>
        <v>86.12379783289325</v>
      </c>
      <c r="D34" s="5">
        <f>NPV(Title_RESULTS!$C$37,'Sheet7(F_23)'!D17:D31)+'Sheet7(F_23)'!D16</f>
        <v>9972.293719943642</v>
      </c>
      <c r="E34" s="5">
        <f>NPV(Title_RESULTS!$C$37,'Sheet7(F_23)'!E17:E31)+'Sheet7(F_23)'!E16</f>
        <v>0</v>
      </c>
      <c r="F34" s="5">
        <f>NPV(Title_RESULTS!$C$37,'Sheet7(F_23)'!F17:F31)+'Sheet7(F_23)'!F16</f>
        <v>10058.417517776534</v>
      </c>
      <c r="G34" s="5">
        <f>NPV(Title_RESULTS!$C$37,'Sheet7(F_23)'!G17:G31)+'Sheet7(F_23)'!G16</f>
        <v>0</v>
      </c>
      <c r="H34" s="5">
        <f>NPV(Title_RESULTS!$C$37,'Sheet7(F_23)'!H17:H31)+'Sheet7(F_23)'!H16</f>
        <v>0</v>
      </c>
      <c r="I34" s="5">
        <f>NPV(Title_RESULTS!$C$37,'Sheet7(F_23)'!I17:I31)+'Sheet7(F_23)'!I16</f>
        <v>10616.0104381257</v>
      </c>
      <c r="J34" s="5">
        <f>NPV(Title_RESULTS!$C$37,'Sheet7(F_23)'!J17:J31)+'Sheet7(F_23)'!J16</f>
        <v>0</v>
      </c>
      <c r="K34" s="5">
        <f>NPV(Title_RESULTS!$C$37,'Sheet7(F_23)'!K17:K31)+'Sheet7(F_23)'!K16</f>
        <v>10616.0104381257</v>
      </c>
      <c r="L34" s="5">
        <f>NPV(Title_RESULTS!$C$37,'Sheet7(F_23)'!L17:L31)+'Sheet7(F_23)'!L16</f>
        <v>557.5929203491692</v>
      </c>
      <c r="M34" s="5"/>
    </row>
    <row r="36" spans="1:8" ht="12.75">
      <c r="A36" t="s">
        <v>162</v>
      </c>
      <c r="C36">
        <f>+Title_RESULTS!C37</f>
        <v>0.0708</v>
      </c>
      <c r="D36" t="s">
        <v>163</v>
      </c>
      <c r="H36" s="10">
        <f>+K34/F34</f>
        <v>1.0554354518853206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Solar Pool Heater</v>
      </c>
      <c r="L2" t="s">
        <v>55</v>
      </c>
    </row>
    <row r="3" ht="12.75">
      <c r="L3" s="35">
        <f>+Title_RESULTS!I4</f>
        <v>43599.32932291667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424.0168555152487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1786.993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2211.0098555152485</v>
      </c>
      <c r="G16" s="5">
        <f>IF(A16&gt;=(Title_RESULTS!$H$7+Title_RESULTS!$C$17),0,(+'Sheet6(p_6)'!$H16))</f>
        <v>3477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3477</v>
      </c>
      <c r="K16" s="23">
        <f>IF(A16&gt;=(Title_RESULTS!$H$7+Title_RESULTS!$C$17),0,(+F16-J16))</f>
        <v>-1265.9901444847515</v>
      </c>
      <c r="L16" s="23">
        <f>IF(A16&gt;=(Title_RESULTS!$H$7+Title_RESULTS!$C$17),0,(+$K16/((1+Title_RESULTS!$C$37)^('Sheet8(F_24)'!$A16-Title_RESULTS!$H$7))))</f>
        <v>-1265.9901444847515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1298.6793706142062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1786.993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3085.672370614206</v>
      </c>
      <c r="G17" s="5">
        <f>IF(A17&gt;=(Title_RESULTS!$H$7+Title_RESULTS!$C$17),0,(+'Sheet6(p_6)'!$H17))</f>
        <v>3556.9709999999995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3556.9709999999995</v>
      </c>
      <c r="K17" s="23">
        <f>IF(A17&gt;=(Title_RESULTS!$H$7+Title_RESULTS!$C$17),0,(+F17-J17))</f>
        <v>-471.29862938579345</v>
      </c>
      <c r="L17" s="23">
        <f>IF(A16&gt;=(Title_RESULTS!$H$7+Title_RESULTS!$C$17),0,(+$K17/((1+Title_RESULTS!$C$37)^('Sheet8(F_24)'!$A17-Title_RESULTS!$H$7))+L16))</f>
        <v>-1706.1270789130233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2203.444754910143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1786.993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3990.4377549101428</v>
      </c>
      <c r="G18" s="5">
        <f>IF(A18&gt;=(Title_RESULTS!$H$7+Title_RESULTS!$C$17),0,(+'Sheet6(p_6)'!$H18))</f>
        <v>3638.7813329999994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3638.7813329999994</v>
      </c>
      <c r="K18" s="23">
        <f>IF(A18&gt;=(Title_RESULTS!$H$7+Title_RESULTS!$C$17),0,(+F18-J18))</f>
        <v>351.6564219101433</v>
      </c>
      <c r="L18" s="23">
        <f>IF(A17&gt;=(Title_RESULTS!$H$7+Title_RESULTS!$C$17),0,(+$K18/((1+Title_RESULTS!$C$37)^('Sheet8(F_24)'!$A18-Title_RESULTS!$H$7))+L17))</f>
        <v>-1399.4355166168468</v>
      </c>
      <c r="M18" s="5"/>
    </row>
    <row r="19" spans="1:13" ht="12.75">
      <c r="A19">
        <f aca="true" t="shared" si="0" ref="A19:A30">+A18+1</f>
        <v>2023</v>
      </c>
      <c r="B19" s="5">
        <f>IF(A19&gt;=(Title_RESULTS!$H$7+Title_RESULTS!$C$17),0,(+'Sheet6(p_6)'!N19-'Sheet6(p_6)'!R19))</f>
        <v>2655.9498000307094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2655.9498000307094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2655.9498000307094</v>
      </c>
      <c r="L19" s="23">
        <f>IF(A18&gt;=(Title_RESULTS!$H$7+Title_RESULTS!$C$17),0,(+$K19/((1+Title_RESULTS!$C$37)^('Sheet8(F_24)'!$A19-Title_RESULTS!$H$7))+L18))</f>
        <v>763.7550215368321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2719.7501515967506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2719.7501515967506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2719.7501515967506</v>
      </c>
      <c r="L20" s="23">
        <f>IF(A19&gt;=(Title_RESULTS!$H$7+Title_RESULTS!$C$17),0,(+$K20/((1+Title_RESULTS!$C$37)^('Sheet8(F_24)'!$A20-Title_RESULTS!$H$7))+L19))</f>
        <v>2832.445709791232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2786.8726881654216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2786.8726881654216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2786.8726881654216</v>
      </c>
      <c r="L21" s="23">
        <f>IF(A20&gt;=(Title_RESULTS!$H$7+Title_RESULTS!$C$17),0,(+$K21/((1+Title_RESULTS!$C$37)^('Sheet8(F_24)'!$A21-Title_RESULTS!$H$7))+L20))</f>
        <v>4812.0360086657765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2846.1056907273555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2846.1056907273555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2846.1056907273555</v>
      </c>
      <c r="L22" s="23">
        <f>IF(A21&gt;=(Title_RESULTS!$H$7+Title_RESULTS!$C$17),0,(+$K22/((1+Title_RESULTS!$C$37)^('Sheet8(F_24)'!$A22-Title_RESULTS!$H$7))+L21))</f>
        <v>6700.03104673965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2920.072147408243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2920.072147408243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2920.072147408243</v>
      </c>
      <c r="L23" s="23">
        <f>IF(A22&gt;=(Title_RESULTS!$H$7+Title_RESULTS!$C$17),0,(+$K23/((1+Title_RESULTS!$C$37)^('Sheet8(F_24)'!$A23-Title_RESULTS!$H$7))+L22))</f>
        <v>8509.016373873334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3032.7617466169713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3032.7617466169713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3032.7617466169713</v>
      </c>
      <c r="L24" s="23">
        <f>IF(A23&gt;=(Title_RESULTS!$H$7+Title_RESULTS!$C$17),0,(+$K24/((1+Title_RESULTS!$C$37)^('Sheet8(F_24)'!$A24-Title_RESULTS!$H$7))+L23))</f>
        <v>10263.589177595852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3107.2762588710966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3107.2762588710966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3107.2762588710966</v>
      </c>
      <c r="L25" s="23">
        <f>IF(A24&gt;=(Title_RESULTS!$H$7+Title_RESULTS!$C$17),0,(+$K25/((1+Title_RESULTS!$C$37)^('Sheet8(F_24)'!$A25-Title_RESULTS!$H$7))+L24))</f>
        <v>11942.41099373261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3228.567524137802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3228.567524137802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3228.567524137802</v>
      </c>
      <c r="L26" s="23">
        <f>IF(A25&gt;=(Title_RESULTS!$H$7+Title_RESULTS!$C$17),0,(+$K26/((1+Title_RESULTS!$C$37)^('Sheet8(F_24)'!$A26-Title_RESULTS!$H$7))+L25))</f>
        <v>13571.430365303018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3291.0919233218324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3291.0919233218324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3291.0919233218324</v>
      </c>
      <c r="L27" s="23">
        <f>IF(A26&gt;=(Title_RESULTS!$H$7+Title_RESULTS!$C$17),0,(+$K27/((1+Title_RESULTS!$C$37)^('Sheet8(F_24)'!$A27-Title_RESULTS!$H$7))+L26))</f>
        <v>15122.202629774252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3402.4240091387846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3402.4240091387846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3402.4240091387846</v>
      </c>
      <c r="L28" s="23">
        <f>IF(A27&gt;=(Title_RESULTS!$H$7+Title_RESULTS!$C$17),0,(+$K28/((1+Title_RESULTS!$C$37)^('Sheet8(F_24)'!$A28-Title_RESULTS!$H$7))+L27))</f>
        <v>16619.431125423358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3451.4783824167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0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3451.4783824167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3451.4783824167</v>
      </c>
      <c r="L29" s="23">
        <f>IF(A28&gt;=(Title_RESULTS!$H$7+Title_RESULTS!$C$17),0,(+$K29/((1+Title_RESULTS!$C$37)^('Sheet8(F_24)'!$A29-Title_RESULTS!$H$7))+L28))</f>
        <v>18037.8236866272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3564.3529877256133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0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3564.3529877256133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3564.3529877256133</v>
      </c>
      <c r="L30" s="23">
        <f>IF(A29&gt;=(Title_RESULTS!$H$7+Title_RESULTS!$C$17),0,(+$K30/((1+Title_RESULTS!$C$37)^('Sheet8(F_24)'!$A30-Title_RESULTS!$H$7))+L29))</f>
        <v>19405.752922882737</v>
      </c>
      <c r="M30" s="5"/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K32">SUM(B16:B31)</f>
        <v>40932.84429119689</v>
      </c>
      <c r="C32" s="5">
        <f t="shared" si="1"/>
        <v>0</v>
      </c>
      <c r="D32" s="5">
        <f t="shared" si="1"/>
        <v>5360.978999999999</v>
      </c>
      <c r="E32" s="5">
        <f t="shared" si="1"/>
        <v>0</v>
      </c>
      <c r="F32" s="5">
        <f t="shared" si="1"/>
        <v>46293.82329119688</v>
      </c>
      <c r="G32" s="5">
        <f t="shared" si="1"/>
        <v>10672.752332999999</v>
      </c>
      <c r="H32" s="5">
        <f t="shared" si="1"/>
        <v>0</v>
      </c>
      <c r="I32" s="5">
        <f t="shared" si="1"/>
        <v>0</v>
      </c>
      <c r="J32" s="5">
        <f t="shared" si="1"/>
        <v>10672.752332999999</v>
      </c>
      <c r="K32" s="5">
        <f t="shared" si="1"/>
        <v>35621.07095819688</v>
      </c>
      <c r="L32" s="5"/>
      <c r="M32" s="5"/>
    </row>
    <row r="33" ht="12.75">
      <c r="M33" s="5"/>
    </row>
    <row r="34" spans="1:13" ht="12.75">
      <c r="A34" t="s">
        <v>118</v>
      </c>
      <c r="B34" s="5">
        <f>NPV(Title_RESULTS!$C$37,'Sheet8(F_24)'!B17:B31)+'Sheet8(F_24)'!B16</f>
        <v>24363.716898657916</v>
      </c>
      <c r="C34" s="5">
        <f>NPV(Title_RESULTS!$C$37,'Sheet8(F_24)'!C17:C31)+'Sheet8(F_24)'!C16</f>
        <v>0</v>
      </c>
      <c r="D34" s="5">
        <f>NPV(Title_RESULTS!$C$37,'Sheet8(F_24)'!D17:D31)+'Sheet8(F_24)'!D16</f>
        <v>5014.329744168457</v>
      </c>
      <c r="E34" s="5">
        <f>NPV(Title_RESULTS!$C$37,'Sheet8(F_24)'!E17:E31)+'Sheet8(F_24)'!E16</f>
        <v>0</v>
      </c>
      <c r="F34" s="5">
        <f>NPV(Title_RESULTS!$C$37,'Sheet8(F_24)'!F17:F31)+'Sheet8(F_24)'!F16</f>
        <v>29378.046642826375</v>
      </c>
      <c r="G34" s="5">
        <f>NPV(Title_RESULTS!$C$37,'Sheet8(F_24)'!G17:G31)+'Sheet8(F_24)'!G16</f>
        <v>9972.293719943642</v>
      </c>
      <c r="H34" s="5">
        <f>NPV(Title_RESULTS!$C$37,'Sheet8(F_24)'!H17:H31)+'Sheet8(F_24)'!H16</f>
        <v>0</v>
      </c>
      <c r="I34" s="5">
        <f>NPV(Title_RESULTS!$C$37,'Sheet8(F_24)'!I17:I31)+'Sheet8(F_24)'!I16</f>
        <v>0</v>
      </c>
      <c r="J34" s="5">
        <f>NPV(Title_RESULTS!$C$37,'Sheet8(F_24)'!J17:J31)+'Sheet8(F_24)'!J16</f>
        <v>9972.293719943642</v>
      </c>
      <c r="K34" s="5">
        <f>NPV(Title_RESULTS!$C$37,'Sheet8(F_24)'!K17:K31)+'Sheet8(F_24)'!K16</f>
        <v>19405.752922882726</v>
      </c>
      <c r="L34" s="5"/>
      <c r="M34" s="5"/>
    </row>
    <row r="35" spans="2:12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1" ht="12.75">
      <c r="A36" t="s">
        <v>174</v>
      </c>
      <c r="D36">
        <f>+Title_RESULTS!H8</f>
        <v>2023</v>
      </c>
      <c r="F36">
        <f>+F34/J34</f>
        <v>2.9459668425201984</v>
      </c>
      <c r="K36" s="10"/>
    </row>
    <row r="37" spans="1:10" ht="12.75">
      <c r="A37" t="s">
        <v>175</v>
      </c>
      <c r="D37">
        <f>+Title_RESULTS!C37</f>
        <v>0.0708</v>
      </c>
      <c r="J3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Solar Pool Heater</v>
      </c>
      <c r="N2" t="s">
        <v>55</v>
      </c>
    </row>
    <row r="3" ht="12.75">
      <c r="N3" s="35">
        <f>+Title_RESULTS!I4</f>
        <v>43599.32932291667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30</v>
      </c>
      <c r="D16" s="5">
        <f>IF(A16&gt;=(Title_RESULTS!$H$7+Title_RESULTS!$C$17),0,(+'Sheet6(p_6)'!$G16))</f>
        <v>1786.993</v>
      </c>
      <c r="E16" s="5">
        <f>+'Sheet6(p_6)'!M16</f>
        <v>300.69496568</v>
      </c>
      <c r="F16">
        <f>IF(A16&gt;=(Title_RESULTS!$H$7+Title_RESULTS!$C$17),0,(+'f-11B'!$R15))</f>
        <v>0</v>
      </c>
      <c r="G16" s="5">
        <f>IF(A16&gt;=(Title_RESULTS!$H$7+Title_RESULTS!$C$17),0,(SUM(B16:F16)))</f>
        <v>2117.68796568</v>
      </c>
      <c r="H16" s="5">
        <f>IF(A16&gt;=(Title_RESULTS!$H$7+Title_RESULTS!$C$17),0,(+'Sheet3(F_21)'!$J16+'Sheet4(F_22)'!$H16))</f>
        <v>155.64765358883125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155.64765358883125</v>
      </c>
      <c r="M16" s="23">
        <f>IF(A16&gt;=(Title_RESULTS!$H$7+Title_RESULTS!$C$17),0,(+L16-G16))</f>
        <v>-1962.040312091169</v>
      </c>
      <c r="N16" s="24">
        <f>IF(A16&gt;=(Title_RESULTS!$H$7+Title_RESULTS!$C$17),0,(+$M16/((1+Title_RESULTS!$C$37)^('Sheet9(F_25)'!$A16-Title_RESULTS!$H$7))))</f>
        <v>-1962.040312091169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30.72</v>
      </c>
      <c r="D17" s="5">
        <f>IF(A17&gt;=(Title_RESULTS!$H$7+Title_RESULTS!$C$17),0,(+'Sheet6(p_6)'!$G17))</f>
        <v>1786.993</v>
      </c>
      <c r="E17" s="5">
        <f>+'Sheet6(p_6)'!M17</f>
        <v>911.1057460103999</v>
      </c>
      <c r="F17">
        <f>IF(A17&gt;=(Title_RESULTS!$H$7+Title_RESULTS!$C$17),0,(+'f-11B'!$R16))</f>
        <v>0</v>
      </c>
      <c r="G17" s="5">
        <f>IF(A17&gt;=(Title_RESULTS!$H$7+Title_RESULTS!$C$17),0,(SUM(B17:F17)))</f>
        <v>2728.8187460104</v>
      </c>
      <c r="H17" s="5">
        <f>IF(A17&gt;=(Title_RESULTS!$H$7+Title_RESULTS!$C$17),0,(+'Sheet3(F_21)'!$J17+'Sheet4(F_22)'!$H17))</f>
        <v>463.1449152735856</v>
      </c>
      <c r="I17" s="5">
        <f>IF(A17&gt;=(Title_RESULTS!$H$7+Title_RESULTS!$C$17),0,(+'Sheet4(F_22)'!$D17+'Sheet4(F_22)'!$G17))</f>
        <v>0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463.1449152735856</v>
      </c>
      <c r="M17" s="23">
        <f>IF(A17&gt;=(Title_RESULTS!$H$7+Title_RESULTS!$C$17),0,(+L17-G17))</f>
        <v>-2265.6738307368146</v>
      </c>
      <c r="N17" s="24">
        <f>(IF(A16&gt;=(Title_RESULTS!$H$7+Title_RESULTS!$C$17),0,(+$M17/((1+Title_RESULTS!$C$37)^('Sheet9(F_25)'!$A17-Title_RESULTS!$H$7))+N16)))</f>
        <v>-4077.9105313074697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31.457279999999997</v>
      </c>
      <c r="D18" s="5">
        <f>IF(A18&gt;=(Title_RESULTS!$H$7+Title_RESULTS!$C$17),0,(+'Sheet6(p_6)'!$G18))</f>
        <v>1786.993</v>
      </c>
      <c r="E18" s="5">
        <f>+'Sheet6(p_6)'!M18</f>
        <v>1533.69467245084</v>
      </c>
      <c r="F18">
        <f>IF(A18&gt;=(Title_RESULTS!$H$7+Title_RESULTS!$C$17),0,(+'f-11B'!$R17))</f>
        <v>0</v>
      </c>
      <c r="G18" s="5">
        <f>IF(A18&gt;=(Title_RESULTS!$H$7+Title_RESULTS!$C$17),0,(SUM(B18:F18)))</f>
        <v>3352.14495245084</v>
      </c>
      <c r="H18" s="5">
        <f>IF(A18&gt;=(Title_RESULTS!$H$7+Title_RESULTS!$C$17),0,(+'Sheet3(F_21)'!$J18+'Sheet4(F_22)'!$H18))</f>
        <v>796.6609199494363</v>
      </c>
      <c r="I18" s="5">
        <f>IF(A18&gt;=(Title_RESULTS!$H$7+Title_RESULTS!$C$17),0,(+'Sheet4(F_22)'!$D18+'Sheet4(F_22)'!$G18))</f>
        <v>0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796.6609199494363</v>
      </c>
      <c r="M18" s="23">
        <f>IF(A18&gt;=(Title_RESULTS!$H$7+Title_RESULTS!$C$17),0,(+L18-G18))</f>
        <v>-2555.4840325014034</v>
      </c>
      <c r="N18" s="24">
        <f>(IF(A17&gt;=(Title_RESULTS!$H$7+Title_RESULTS!$C$17),0,(+$M18/((1+Title_RESULTS!$C$37)^('Sheet9(F_25)'!$A18-Title_RESULTS!$H$7))+N17)))</f>
        <v>-6306.63533631346</v>
      </c>
    </row>
    <row r="19" spans="1:14" ht="12.75">
      <c r="A19">
        <f aca="true" t="shared" si="0" ref="A19:A3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1858.8379430104176</v>
      </c>
      <c r="F19">
        <f>IF(A19&gt;=(Title_RESULTS!$H$7+Title_RESULTS!$C$17),0,(+'f-11B'!$R18))</f>
        <v>0</v>
      </c>
      <c r="G19" s="5">
        <f>IF(A19&gt;=(Title_RESULTS!$H$7+Title_RESULTS!$C$17),0,(SUM(B19:F19)))</f>
        <v>1858.8379430104176</v>
      </c>
      <c r="H19" s="5">
        <f>IF(A19&gt;=(Title_RESULTS!$H$7+Title_RESULTS!$C$17),0,(+'Sheet3(F_21)'!$J19+'Sheet4(F_22)'!$H19))</f>
        <v>995.2115684738023</v>
      </c>
      <c r="I19" s="5">
        <f>IF(A19&gt;=(Title_RESULTS!$H$7+Title_RESULTS!$C$17),0,(+'Sheet4(F_22)'!$D19+'Sheet4(F_22)'!$G19))</f>
        <v>0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995.2115684738023</v>
      </c>
      <c r="M19" s="23">
        <f>IF(A19&gt;=(Title_RESULTS!$H$7+Title_RESULTS!$C$17),0,(+L19-G19))</f>
        <v>-863.6263745366152</v>
      </c>
      <c r="N19" s="24">
        <f>(IF(A18&gt;=(Title_RESULTS!$H$7+Title_RESULTS!$C$17),0,(+$M19/((1+Title_RESULTS!$C$37)^('Sheet9(F_25)'!$A19-Title_RESULTS!$H$7))+N18)))</f>
        <v>-7010.032818402908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1877.426322440522</v>
      </c>
      <c r="F20">
        <f>IF(A20&gt;=(Title_RESULTS!$H$7+Title_RESULTS!$C$17),0,(+'f-11B'!$R19))</f>
        <v>0</v>
      </c>
      <c r="G20" s="5">
        <f>IF(A20&gt;=(Title_RESULTS!$H$7+Title_RESULTS!$C$17),0,(SUM(B20:F20)))</f>
        <v>1877.426322440522</v>
      </c>
      <c r="H20" s="5">
        <f>IF(A20&gt;=(Title_RESULTS!$H$7+Title_RESULTS!$C$17),0,(+'Sheet3(F_21)'!$J20+'Sheet4(F_22)'!$H20))</f>
        <v>1034.319631938656</v>
      </c>
      <c r="I20" s="5">
        <f>IF(A20&gt;=(Title_RESULTS!$H$7+Title_RESULTS!$C$17),0,(+'Sheet4(F_22)'!$D20+'Sheet4(F_22)'!$G20))</f>
        <v>0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1034.319631938656</v>
      </c>
      <c r="M20" s="23">
        <f>IF(A20&gt;=(Title_RESULTS!$H$7+Title_RESULTS!$C$17),0,(+L20-G20))</f>
        <v>-843.1066905018661</v>
      </c>
      <c r="N20" s="24">
        <f>(IF(A19&gt;=(Title_RESULTS!$H$7+Title_RESULTS!$C$17),0,(+$M20/((1+Title_RESULTS!$C$37)^('Sheet9(F_25)'!$A20-Title_RESULTS!$H$7))+N19)))</f>
        <v>-7651.314871029039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1896.200585664927</v>
      </c>
      <c r="F21">
        <f>IF(A21&gt;=(Title_RESULTS!$H$7+Title_RESULTS!$C$17),0,(+'f-11B'!$R20))</f>
        <v>0</v>
      </c>
      <c r="G21" s="5">
        <f>IF(A21&gt;=(Title_RESULTS!$H$7+Title_RESULTS!$C$17),0,(SUM(B21:F21)))</f>
        <v>1896.200585664927</v>
      </c>
      <c r="H21" s="5">
        <f>IF(A21&gt;=(Title_RESULTS!$H$7+Title_RESULTS!$C$17),0,(+'Sheet3(F_21)'!$J21+'Sheet4(F_22)'!$H21))</f>
        <v>1110.547886908908</v>
      </c>
      <c r="I21" s="5">
        <f>IF(A21&gt;=(Title_RESULTS!$H$7+Title_RESULTS!$C$17),0,(+'Sheet4(F_22)'!$D21+'Sheet4(F_22)'!$G21))</f>
        <v>0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1110.547886908908</v>
      </c>
      <c r="M21" s="23">
        <f>IF(A21&gt;=(Title_RESULTS!$H$7+Title_RESULTS!$C$17),0,(+L21-G21))</f>
        <v>-785.6526987560192</v>
      </c>
      <c r="N21" s="24">
        <f>(IF(A20&gt;=(Title_RESULTS!$H$7+Title_RESULTS!$C$17),0,(+$M21/((1+Title_RESULTS!$C$37)^('Sheet9(F_25)'!$A21-Title_RESULTS!$H$7))+N20)))</f>
        <v>-8209.385021612718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1915.1625915215768</v>
      </c>
      <c r="F22">
        <f>IF(A22&gt;=(Title_RESULTS!$H$7+Title_RESULTS!$C$17),0,(+'f-11B'!$R21))</f>
        <v>0</v>
      </c>
      <c r="G22" s="5">
        <f>IF(A22&gt;=(Title_RESULTS!$H$7+Title_RESULTS!$C$17),0,(SUM(B22:F22)))</f>
        <v>1915.1625915215768</v>
      </c>
      <c r="H22" s="5">
        <f>IF(A22&gt;=(Title_RESULTS!$H$7+Title_RESULTS!$C$17),0,(+'Sheet3(F_21)'!$J22+'Sheet4(F_22)'!$H22))</f>
        <v>1146.1682934563887</v>
      </c>
      <c r="I22" s="5">
        <f>IF(A22&gt;=(Title_RESULTS!$H$7+Title_RESULTS!$C$17),0,(+'Sheet4(F_22)'!$D22+'Sheet4(F_22)'!$G22))</f>
        <v>0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1146.1682934563887</v>
      </c>
      <c r="M22" s="23">
        <f>IF(A22&gt;=(Title_RESULTS!$H$7+Title_RESULTS!$C$17),0,(+L22-G22))</f>
        <v>-768.9942980651881</v>
      </c>
      <c r="N22" s="24">
        <f>(IF(A21&gt;=(Title_RESULTS!$H$7+Title_RESULTS!$C$17),0,(+$M22/((1+Title_RESULTS!$C$37)^('Sheet9(F_25)'!$A22-Title_RESULTS!$H$7))+N21)))</f>
        <v>-8719.505718740847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1934.314217436792</v>
      </c>
      <c r="F23">
        <f>IF(A23&gt;=(Title_RESULTS!$H$7+Title_RESULTS!$C$17),0,(+'f-11B'!$R22))</f>
        <v>0</v>
      </c>
      <c r="G23" s="5">
        <f>IF(A23&gt;=(Title_RESULTS!$H$7+Title_RESULTS!$C$17),0,(SUM(B23:F23)))</f>
        <v>1934.314217436792</v>
      </c>
      <c r="H23" s="5">
        <f>IF(A23&gt;=(Title_RESULTS!$H$7+Title_RESULTS!$C$17),0,(+'Sheet3(F_21)'!$J23+'Sheet4(F_22)'!$H23))</f>
        <v>1217.798681777726</v>
      </c>
      <c r="I23" s="5">
        <f>IF(A23&gt;=(Title_RESULTS!$H$7+Title_RESULTS!$C$17),0,(+'Sheet4(F_22)'!$D23+'Sheet4(F_22)'!$G23))</f>
        <v>0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1217.798681777726</v>
      </c>
      <c r="M23" s="23">
        <f>IF(A23&gt;=(Title_RESULTS!$H$7+Title_RESULTS!$C$17),0,(+L23-G23))</f>
        <v>-716.515535659066</v>
      </c>
      <c r="N23" s="24">
        <f>(IF(A22&gt;=(Title_RESULTS!$H$7+Title_RESULTS!$C$17),0,(+$M23/((1+Title_RESULTS!$C$37)^('Sheet9(F_25)'!$A23-Title_RESULTS!$H$7))+N22)))</f>
        <v>-9163.38724811368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1953.6573596111605</v>
      </c>
      <c r="F24">
        <f>IF(A24&gt;=(Title_RESULTS!$H$7+Title_RESULTS!$C$17),0,(+'f-11B'!$R23))</f>
        <v>0</v>
      </c>
      <c r="G24" s="5">
        <f>IF(A24&gt;=(Title_RESULTS!$H$7+Title_RESULTS!$C$17),0,(SUM(B24:F24)))</f>
        <v>1953.6573596111605</v>
      </c>
      <c r="H24" s="5">
        <f>IF(A24&gt;=(Title_RESULTS!$H$7+Title_RESULTS!$C$17),0,(+'Sheet3(F_21)'!$J24+'Sheet4(F_22)'!$H24))</f>
        <v>1349.4617663085423</v>
      </c>
      <c r="I24" s="5">
        <f>IF(A24&gt;=(Title_RESULTS!$H$7+Title_RESULTS!$C$17),0,(+'Sheet4(F_22)'!$D24+'Sheet4(F_22)'!$G24))</f>
        <v>0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1349.4617663085423</v>
      </c>
      <c r="M24" s="23">
        <f>IF(A24&gt;=(Title_RESULTS!$H$7+Title_RESULTS!$C$17),0,(+L24-G24))</f>
        <v>-604.1955933026181</v>
      </c>
      <c r="N24" s="24">
        <f>(IF(A23&gt;=(Title_RESULTS!$H$7+Title_RESULTS!$C$17),0,(+$M24/((1+Title_RESULTS!$C$37)^('Sheet9(F_25)'!$A24-Title_RESULTS!$H$7))+N23)))</f>
        <v>-9512.938332144699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1973.1939332072723</v>
      </c>
      <c r="F25">
        <f>IF(A25&gt;=(Title_RESULTS!$H$7+Title_RESULTS!$C$17),0,(+'f-11B'!$R24))</f>
        <v>0</v>
      </c>
      <c r="G25" s="5">
        <f>IF(A25&gt;=(Title_RESULTS!$H$7+Title_RESULTS!$C$17),0,(SUM(B25:F25)))</f>
        <v>1973.1939332072723</v>
      </c>
      <c r="H25" s="5">
        <f>IF(A25&gt;=(Title_RESULTS!$H$7+Title_RESULTS!$C$17),0,(+'Sheet3(F_21)'!$J25+'Sheet4(F_22)'!$H25))</f>
        <v>1445.7651184118874</v>
      </c>
      <c r="I25" s="5">
        <f>IF(A25&gt;=(Title_RESULTS!$H$7+Title_RESULTS!$C$17),0,(+'Sheet4(F_22)'!$D25+'Sheet4(F_22)'!$G25))</f>
        <v>0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1445.7651184118874</v>
      </c>
      <c r="M25" s="23">
        <f>IF(A25&gt;=(Title_RESULTS!$H$7+Title_RESULTS!$C$17),0,(+L25-G25))</f>
        <v>-527.4288147953848</v>
      </c>
      <c r="N25" s="24">
        <f>(IF(A24&gt;=(Title_RESULTS!$H$7+Title_RESULTS!$C$17),0,(+$M25/((1+Title_RESULTS!$C$37)^('Sheet9(F_25)'!$A25-Title_RESULTS!$H$7))+N24)))</f>
        <v>-9797.901408153699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1992.925872539345</v>
      </c>
      <c r="F26">
        <f>IF(A26&gt;=(Title_RESULTS!$H$7+Title_RESULTS!$C$17),0,(+'f-11B'!$R25))</f>
        <v>0</v>
      </c>
      <c r="G26" s="5">
        <f>IF(A26&gt;=(Title_RESULTS!$H$7+Title_RESULTS!$C$17),0,(SUM(B26:F26)))</f>
        <v>1992.925872539345</v>
      </c>
      <c r="H26" s="5">
        <f>IF(A26&gt;=(Title_RESULTS!$H$7+Title_RESULTS!$C$17),0,(+'Sheet3(F_21)'!$J26+'Sheet4(F_22)'!$H26))</f>
        <v>1614.8395415795997</v>
      </c>
      <c r="I26" s="5">
        <f>IF(A26&gt;=(Title_RESULTS!$H$7+Title_RESULTS!$C$17),0,(+'Sheet4(F_22)'!$D26+'Sheet4(F_22)'!$G26))</f>
        <v>0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1614.8395415795997</v>
      </c>
      <c r="M26" s="23">
        <f>IF(A26&gt;=(Title_RESULTS!$H$7+Title_RESULTS!$C$17),0,(+L26-G26))</f>
        <v>-378.0863309597453</v>
      </c>
      <c r="N26" s="24">
        <f>(IF(A25&gt;=(Title_RESULTS!$H$7+Title_RESULTS!$C$17),0,(+$M26/((1+Title_RESULTS!$C$37)^('Sheet9(F_25)'!$A26-Title_RESULTS!$H$7))+N25)))</f>
        <v>-9988.67020969019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2012.855131264738</v>
      </c>
      <c r="F27">
        <f>IF(A27&gt;=(Title_RESULTS!$H$7+Title_RESULTS!$C$17),0,(+'f-11B'!$R26))</f>
        <v>0</v>
      </c>
      <c r="G27" s="5">
        <f>IF(A27&gt;=(Title_RESULTS!$H$7+Title_RESULTS!$C$17),0,(SUM(B27:F27)))</f>
        <v>2012.855131264738</v>
      </c>
      <c r="H27" s="5">
        <f>IF(A27&gt;=(Title_RESULTS!$H$7+Title_RESULTS!$C$17),0,(+'Sheet3(F_21)'!$J27+'Sheet4(F_22)'!$H27))</f>
        <v>1608.8342027126384</v>
      </c>
      <c r="I27" s="5">
        <f>IF(A27&gt;=(Title_RESULTS!$H$7+Title_RESULTS!$C$17),0,(+'Sheet4(F_22)'!$D27+'Sheet4(F_22)'!$G27))</f>
        <v>0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1608.8342027126384</v>
      </c>
      <c r="M27" s="23">
        <f>IF(A27&gt;=(Title_RESULTS!$H$7+Title_RESULTS!$C$17),0,(+L27-G27))</f>
        <v>-404.0209285520996</v>
      </c>
      <c r="N27" s="24">
        <f>(IF(A26&gt;=(Title_RESULTS!$H$7+Title_RESULTS!$C$17),0,(+$M27/((1+Title_RESULTS!$C$37)^('Sheet9(F_25)'!$A27-Title_RESULTS!$H$7))+N26)))</f>
        <v>-10179.046068177944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2032.9836825773855</v>
      </c>
      <c r="F28">
        <f>IF(A28&gt;=(Title_RESULTS!$H$7+Title_RESULTS!$C$17),0,(+'f-11B'!$R27))</f>
        <v>0</v>
      </c>
      <c r="G28" s="5">
        <f>IF(A28&gt;=(Title_RESULTS!$H$7+Title_RESULTS!$C$17),0,(SUM(B28:F28)))</f>
        <v>2032.9836825773855</v>
      </c>
      <c r="H28" s="5">
        <f>IF(A28&gt;=(Title_RESULTS!$H$7+Title_RESULTS!$C$17),0,(+'Sheet3(F_21)'!$J28+'Sheet4(F_22)'!$H28))</f>
        <v>1758.3070888518405</v>
      </c>
      <c r="I28" s="5">
        <f>IF(A28&gt;=(Title_RESULTS!$H$7+Title_RESULTS!$C$17),0,(+'Sheet4(F_22)'!$D28+'Sheet4(F_22)'!$G28))</f>
        <v>0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1758.3070888518405</v>
      </c>
      <c r="M28" s="23">
        <f>IF(A28&gt;=(Title_RESULTS!$H$7+Title_RESULTS!$C$17),0,(+L28-G28))</f>
        <v>-274.676593725545</v>
      </c>
      <c r="N28" s="24">
        <f>(IF(A27&gt;=(Title_RESULTS!$H$7+Title_RESULTS!$C$17),0,(+$M28/((1+Title_RESULTS!$C$37)^('Sheet9(F_25)'!$A28-Title_RESULTS!$H$7))+N27)))</f>
        <v>-10299.91684210533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IF(A29&gt;=(Title_RESULTS!$H$7+Title_RESULTS!$C$17),0,(+'Sheet6(p_6)'!$G29))</f>
        <v>0</v>
      </c>
      <c r="E29" s="5">
        <f>+'Sheet6(p_6)'!M29</f>
        <v>2053.3135194031593</v>
      </c>
      <c r="F29">
        <f>IF(A29&gt;=(Title_RESULTS!$H$7+Title_RESULTS!$C$17),0,(+'f-11B'!$R28))</f>
        <v>0</v>
      </c>
      <c r="G29" s="5">
        <f>IF(A29&gt;=(Title_RESULTS!$H$7+Title_RESULTS!$C$17),0,(SUM(B29:F29)))</f>
        <v>2053.3135194031593</v>
      </c>
      <c r="H29" s="5">
        <f>IF(A29&gt;=(Title_RESULTS!$H$7+Title_RESULTS!$C$17),0,(+'Sheet3(F_21)'!$J29+'Sheet4(F_22)'!$H29))</f>
        <v>1875.0745677192165</v>
      </c>
      <c r="I29" s="5">
        <f>IF(A29&gt;=(Title_RESULTS!$H$7+Title_RESULTS!$C$17),0,(+'Sheet4(F_22)'!$D29+'Sheet4(F_22)'!$G29))</f>
        <v>0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1875.0745677192165</v>
      </c>
      <c r="M29" s="23">
        <f>IF(A29&gt;=(Title_RESULTS!$H$7+Title_RESULTS!$C$17),0,(+L29-G29))</f>
        <v>-178.2389516839428</v>
      </c>
      <c r="N29" s="24">
        <f>(IF(A28&gt;=(Title_RESULTS!$H$7+Title_RESULTS!$C$17),0,(+$M29/((1+Title_RESULTS!$C$37)^('Sheet9(F_25)'!$A29-Title_RESULTS!$H$7))+N28)))</f>
        <v>-10373.164527640087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IF(A30&gt;=(Title_RESULTS!$H$7+Title_RESULTS!$C$17),0,(+'Sheet6(p_6)'!$G30))</f>
        <v>0</v>
      </c>
      <c r="E30" s="5">
        <f>+'Sheet6(p_6)'!M30</f>
        <v>2073.846654597191</v>
      </c>
      <c r="F30">
        <f>IF(A30&gt;=(Title_RESULTS!$H$7+Title_RESULTS!$C$17),0,(+'f-11B'!$R29))</f>
        <v>0</v>
      </c>
      <c r="G30" s="5">
        <f>IF(A30&gt;=(Title_RESULTS!$H$7+Title_RESULTS!$C$17),0,(SUM(B30:F30)))</f>
        <v>2073.846654597191</v>
      </c>
      <c r="H30" s="5">
        <f>IF(A30&gt;=(Title_RESULTS!$H$7+Title_RESULTS!$C$17),0,(+'Sheet3(F_21)'!$J30+'Sheet4(F_22)'!$H30))</f>
        <v>1962.382296203854</v>
      </c>
      <c r="I30" s="5">
        <f>IF(A30&gt;=(Title_RESULTS!$H$7+Title_RESULTS!$C$17),0,(+'Sheet4(F_22)'!$D30+'Sheet4(F_22)'!$G30))</f>
        <v>0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1962.382296203854</v>
      </c>
      <c r="M30" s="23">
        <f>IF(A30&gt;=(Title_RESULTS!$H$7+Title_RESULTS!$C$17),0,(+L30-G30))</f>
        <v>-111.46435839333708</v>
      </c>
      <c r="N30" s="24">
        <f>(IF(A29&gt;=(Title_RESULTS!$H$7+Title_RESULTS!$C$17),0,(+$M30/((1+Title_RESULTS!$C$37)^('Sheet9(F_25)'!$A30-Title_RESULTS!$H$7))+N29)))</f>
        <v>-10415.94237685193</v>
      </c>
    </row>
    <row r="31" ht="12.75">
      <c r="E31" s="5"/>
    </row>
    <row r="32" spans="1:13" ht="12.75">
      <c r="A32" t="s">
        <v>87</v>
      </c>
      <c r="B32" s="5">
        <f aca="true" t="shared" si="1" ref="B32:M32">SUM(B16:B31)</f>
        <v>0</v>
      </c>
      <c r="C32" s="5">
        <f t="shared" si="1"/>
        <v>92.17728</v>
      </c>
      <c r="D32" s="5">
        <f t="shared" si="1"/>
        <v>5360.978999999999</v>
      </c>
      <c r="E32" s="5">
        <f t="shared" si="1"/>
        <v>26320.21319741573</v>
      </c>
      <c r="F32" s="5">
        <f t="shared" si="1"/>
        <v>0</v>
      </c>
      <c r="G32" s="5">
        <f t="shared" si="1"/>
        <v>31773.369477415727</v>
      </c>
      <c r="H32" s="5">
        <f t="shared" si="1"/>
        <v>18534.164133154914</v>
      </c>
      <c r="I32" s="5">
        <f t="shared" si="1"/>
        <v>0</v>
      </c>
      <c r="J32" s="5">
        <f t="shared" si="1"/>
        <v>0</v>
      </c>
      <c r="K32" s="9">
        <f t="shared" si="1"/>
        <v>0</v>
      </c>
      <c r="L32" s="5">
        <f t="shared" si="1"/>
        <v>18534.164133154914</v>
      </c>
      <c r="M32" s="5">
        <f t="shared" si="1"/>
        <v>-13239.205344260818</v>
      </c>
    </row>
    <row r="34" spans="1:13" ht="12.75">
      <c r="A34" t="s">
        <v>118</v>
      </c>
      <c r="B34" s="5">
        <f>NPV(Title_RESULTS!$C$37,'Sheet9(F_25)'!B17:B31)+'Sheet9(F_25)'!B16</f>
        <v>0</v>
      </c>
      <c r="C34" s="5">
        <f>NPV(Title_RESULTS!$C$37,'Sheet9(F_25)'!C17:C31)+'Sheet9(F_25)'!C16</f>
        <v>86.12379783289325</v>
      </c>
      <c r="D34" s="5">
        <f>NPV(Title_RESULTS!$C$37,'Sheet9(F_25)'!D17:D31)+'Sheet9(F_25)'!D16</f>
        <v>5014.329744168457</v>
      </c>
      <c r="E34" s="5">
        <f>NPV(Title_RESULTS!$C$37,'Sheet9(F_25)'!E17:E31)+'Sheet9(F_25)'!E16</f>
        <v>15931.499272976283</v>
      </c>
      <c r="F34" s="5">
        <f>NPV(Title_RESULTS!$C$37,'Sheet9(F_25)'!F17:F31)+'Sheet9(F_25)'!F16</f>
        <v>0</v>
      </c>
      <c r="G34" s="5">
        <f>NPV(Title_RESULTS!$C$37,'Sheet9(F_25)'!G17:G31)+'Sheet9(F_25)'!G16</f>
        <v>21031.95281497763</v>
      </c>
      <c r="H34" s="5">
        <f>NPV(Title_RESULTS!$C$37,'Sheet9(F_25)'!H17:H31)+'Sheet9(F_25)'!H16</f>
        <v>10616.0104381257</v>
      </c>
      <c r="I34" s="5">
        <f>NPV(Title_RESULTS!$C$37,'Sheet9(F_25)'!I17:I31)+'Sheet9(F_25)'!I16</f>
        <v>0</v>
      </c>
      <c r="J34" s="5">
        <f>NPV(Title_RESULTS!$C$37,'Sheet9(F_25)'!J17:J31)+'Sheet9(F_25)'!J16</f>
        <v>0</v>
      </c>
      <c r="K34" s="9">
        <f>NPV(Title_RESULTS!$C$37,'Sheet9(F_25)'!K17:K31)+'Sheet9(F_25)'!K16</f>
        <v>0</v>
      </c>
      <c r="L34" s="5">
        <f>NPV(Title_RESULTS!$C$37,'Sheet9(F_25)'!L17:L31)+'Sheet9(F_25)'!L16</f>
        <v>10616.0104381257</v>
      </c>
      <c r="M34" s="5">
        <f>NPV(Title_RESULTS!$C$37,'Sheet9(F_25)'!M17:M31)+'Sheet9(F_25)'!M16</f>
        <v>-10415.942376851932</v>
      </c>
    </row>
    <row r="36" spans="1:10" ht="12.75">
      <c r="A36" t="s">
        <v>175</v>
      </c>
      <c r="D36">
        <f>+Title_RESULTS!C37</f>
        <v>0.0708</v>
      </c>
      <c r="F36" t="s">
        <v>183</v>
      </c>
      <c r="J36" s="10">
        <f>+L34/G34</f>
        <v>0.504756288277979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0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0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0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0</v>
      </c>
      <c r="P24" s="48">
        <f aca="true" t="shared" si="4" ref="P24:P61">N24*$L$5</f>
        <v>0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0</v>
      </c>
      <c r="P25" s="48">
        <f t="shared" si="4"/>
        <v>0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0</v>
      </c>
      <c r="E26" s="11">
        <f>IF(B26=Title_RESULTS!$H$8,$F$16,+E25*(1+$F$7))</f>
        <v>0.09882230355451863</v>
      </c>
      <c r="F26" s="9">
        <f t="shared" si="1"/>
        <v>0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0</v>
      </c>
      <c r="L26" s="5">
        <f t="shared" si="3"/>
        <v>0</v>
      </c>
      <c r="N26" s="11">
        <f>IF(+B26=Title_RESULTS!$H$9,'Value of Defferal'!$O$16,+'Value of Defferal'!N25*(1+'Value of Defferal'!$F$7))</f>
        <v>0.10362269577198292</v>
      </c>
      <c r="O26" s="5">
        <f t="shared" si="7"/>
        <v>0</v>
      </c>
      <c r="P26" s="48">
        <f t="shared" si="4"/>
        <v>0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0</v>
      </c>
      <c r="E27" s="11">
        <f>IF(B27=Title_RESULTS!$H$8,$F$16,+E26*(1+$F$7))</f>
        <v>0.10119403883982707</v>
      </c>
      <c r="F27" s="9">
        <f t="shared" si="1"/>
        <v>0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0</v>
      </c>
      <c r="L27" s="5">
        <f t="shared" si="3"/>
        <v>0</v>
      </c>
      <c r="N27" s="11">
        <f>IF(+B27=Title_RESULTS!$H$9,'Value of Defferal'!$O$16,+'Value of Defferal'!N26*(1+'Value of Defferal'!$F$7))</f>
        <v>0.10610964047051051</v>
      </c>
      <c r="O27" s="5">
        <f t="shared" si="7"/>
        <v>0</v>
      </c>
      <c r="P27" s="48">
        <f t="shared" si="4"/>
        <v>0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0</v>
      </c>
      <c r="E28" s="11">
        <f>IF(B28=Title_RESULTS!$H$8,$F$16,+E27*(1+$F$7))</f>
        <v>0.10362269577198292</v>
      </c>
      <c r="F28" s="9">
        <f t="shared" si="1"/>
        <v>0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0</v>
      </c>
      <c r="L28" s="5">
        <f t="shared" si="3"/>
        <v>0</v>
      </c>
      <c r="N28" s="11">
        <f>IF(+B28=Title_RESULTS!$H$9,'Value of Defferal'!$O$16,+'Value of Defferal'!N27*(1+'Value of Defferal'!$F$7))</f>
        <v>0.10865627184180277</v>
      </c>
      <c r="O28" s="5">
        <f t="shared" si="7"/>
        <v>0</v>
      </c>
      <c r="P28" s="48">
        <f t="shared" si="4"/>
        <v>0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0</v>
      </c>
      <c r="E29" s="11">
        <f>IF(B29=Title_RESULTS!$H$8,$F$16,+E28*(1+$F$7))</f>
        <v>0.10610964047051051</v>
      </c>
      <c r="F29" s="9">
        <f t="shared" si="1"/>
        <v>0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0</v>
      </c>
      <c r="L29" s="5">
        <f t="shared" si="3"/>
        <v>0</v>
      </c>
      <c r="N29" s="11">
        <f>IF(+B29=Title_RESULTS!$H$9,'Value of Defferal'!$O$16,+'Value of Defferal'!N28*(1+'Value of Defferal'!$F$7))</f>
        <v>0.11126402236600604</v>
      </c>
      <c r="O29" s="5">
        <f t="shared" si="7"/>
        <v>0</v>
      </c>
      <c r="P29" s="48">
        <f t="shared" si="4"/>
        <v>0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0</v>
      </c>
      <c r="E30" s="11">
        <f>IF(B30=Title_RESULTS!$H$8,$F$16,+E29*(1+$F$7))</f>
        <v>0.10865627184180277</v>
      </c>
      <c r="F30" s="9">
        <f t="shared" si="1"/>
        <v>0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0</v>
      </c>
      <c r="L30" s="5">
        <f t="shared" si="3"/>
        <v>0</v>
      </c>
      <c r="N30" s="11">
        <f>IF(+B30=Title_RESULTS!$H$9,'Value of Defferal'!$O$16,+'Value of Defferal'!N29*(1+'Value of Defferal'!$F$7))</f>
        <v>0.11393435890279018</v>
      </c>
      <c r="O30" s="5">
        <f t="shared" si="7"/>
        <v>0</v>
      </c>
      <c r="P30" s="48">
        <f t="shared" si="4"/>
        <v>0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0</v>
      </c>
      <c r="E31" s="11">
        <f>IF(B31=Title_RESULTS!$H$8,$F$16,+E30*(1+$F$7))</f>
        <v>0.11126402236600604</v>
      </c>
      <c r="F31" s="9">
        <f t="shared" si="1"/>
        <v>0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0</v>
      </c>
      <c r="L31" s="5">
        <f t="shared" si="3"/>
        <v>0</v>
      </c>
      <c r="N31" s="11">
        <f>IF(+B31=Title_RESULTS!$H$9,'Value of Defferal'!$O$16,+'Value of Defferal'!N30*(1+'Value of Defferal'!$F$7))</f>
        <v>0.11666878351645714</v>
      </c>
      <c r="O31" s="5">
        <f t="shared" si="7"/>
        <v>0</v>
      </c>
      <c r="P31" s="48">
        <f t="shared" si="4"/>
        <v>0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0</v>
      </c>
      <c r="E32" s="11">
        <f>IF(B32=Title_RESULTS!$H$8,$F$16,+E31*(1+$F$7))</f>
        <v>0.11393435890279018</v>
      </c>
      <c r="F32" s="9">
        <f t="shared" si="1"/>
        <v>0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0</v>
      </c>
      <c r="L32" s="5">
        <f t="shared" si="3"/>
        <v>0</v>
      </c>
      <c r="N32" s="11">
        <f>IF(+B32=Title_RESULTS!$H$9,'Value of Defferal'!$O$16,+'Value of Defferal'!N31*(1+'Value of Defferal'!$F$7))</f>
        <v>0.11946883432085212</v>
      </c>
      <c r="O32" s="5">
        <f t="shared" si="7"/>
        <v>0</v>
      </c>
      <c r="P32" s="48">
        <f t="shared" si="4"/>
        <v>0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0</v>
      </c>
      <c r="E33" s="11">
        <f>IF(B33=Title_RESULTS!$H$8,$F$16,+E32*(1+$F$7))</f>
        <v>0.11666878351645714</v>
      </c>
      <c r="F33" s="9">
        <f t="shared" si="1"/>
        <v>0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0</v>
      </c>
      <c r="L33" s="5">
        <f t="shared" si="3"/>
        <v>0</v>
      </c>
      <c r="N33" s="11">
        <f>IF(+B33=Title_RESULTS!$H$9,'Value of Defferal'!$O$16,+'Value of Defferal'!N32*(1+'Value of Defferal'!$F$7))</f>
        <v>0.12233608634455258</v>
      </c>
      <c r="O33" s="5">
        <f t="shared" si="7"/>
        <v>0</v>
      </c>
      <c r="P33" s="48">
        <f t="shared" si="4"/>
        <v>0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0</v>
      </c>
      <c r="E34" s="11">
        <f>IF(B34=Title_RESULTS!$H$8,$F$16,+E33*(1+$F$7))</f>
        <v>0.11946883432085212</v>
      </c>
      <c r="F34" s="9">
        <f t="shared" si="1"/>
        <v>0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0</v>
      </c>
      <c r="L34" s="5">
        <f t="shared" si="3"/>
        <v>0</v>
      </c>
      <c r="N34" s="11">
        <f>IF(+B34=Title_RESULTS!$H$9,'Value of Defferal'!$O$16,+'Value of Defferal'!N33*(1+'Value of Defferal'!$F$7))</f>
        <v>0.12527215241682185</v>
      </c>
      <c r="O34" s="5">
        <f t="shared" si="7"/>
        <v>0</v>
      </c>
      <c r="P34" s="48">
        <f t="shared" si="4"/>
        <v>0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0</v>
      </c>
      <c r="E35" s="11">
        <f>IF(B35=Title_RESULTS!$H$8,$F$16,+E34*(1+$F$7))</f>
        <v>0.12233608634455258</v>
      </c>
      <c r="F35" s="9">
        <f t="shared" si="1"/>
        <v>0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0</v>
      </c>
      <c r="L35" s="5">
        <f t="shared" si="3"/>
        <v>0</v>
      </c>
      <c r="N35" s="11">
        <f>IF(+B35=Title_RESULTS!$H$9,'Value of Defferal'!$O$16,+'Value of Defferal'!N34*(1+'Value of Defferal'!$F$7))</f>
        <v>0.12827868407482557</v>
      </c>
      <c r="O35" s="5">
        <f t="shared" si="7"/>
        <v>0</v>
      </c>
      <c r="P35" s="48">
        <f t="shared" si="4"/>
        <v>0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0</v>
      </c>
      <c r="E36" s="11">
        <f>IF(B36=Title_RESULTS!$H$8,$F$16,+E35*(1+$F$7))</f>
        <v>0.12527215241682185</v>
      </c>
      <c r="F36" s="9">
        <f t="shared" si="1"/>
        <v>0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0</v>
      </c>
      <c r="L36" s="5">
        <f t="shared" si="3"/>
        <v>0</v>
      </c>
      <c r="N36" s="11">
        <f>IF(+B36=Title_RESULTS!$H$9,'Value of Defferal'!$O$16,+'Value of Defferal'!N35*(1+'Value of Defferal'!$F$7))</f>
        <v>0.1313573724926214</v>
      </c>
      <c r="O36" s="5">
        <f t="shared" si="7"/>
        <v>0</v>
      </c>
      <c r="P36" s="48">
        <f t="shared" si="4"/>
        <v>0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0</v>
      </c>
      <c r="E37" s="11">
        <f>IF(B37&gt;Title_RESULTS!$H$8-1+Title_RESULTS!$C$18,0,+E36*(1+$F$7))</f>
        <v>0.12827868407482557</v>
      </c>
      <c r="F37" s="9">
        <f t="shared" si="1"/>
        <v>0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0</v>
      </c>
      <c r="L37" s="5">
        <f t="shared" si="3"/>
        <v>0</v>
      </c>
      <c r="N37" s="11">
        <f>IF(+B37=Title_RESULTS!$H$9,'Value of Defferal'!$O$16,+'Value of Defferal'!N36*(1+'Value of Defferal'!$F$7))</f>
        <v>0.1345099494324443</v>
      </c>
      <c r="O37" s="5">
        <f t="shared" si="7"/>
        <v>0</v>
      </c>
      <c r="P37" s="48">
        <f t="shared" si="4"/>
        <v>0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0</v>
      </c>
      <c r="E38" s="11">
        <f>IF(B38&gt;Title_RESULTS!$H$8-1+Title_RESULTS!$C$18,0,+E37*(1+$F$7))</f>
        <v>0.1313573724926214</v>
      </c>
      <c r="F38" s="9">
        <f t="shared" si="1"/>
        <v>0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0</v>
      </c>
      <c r="L38" s="5">
        <f t="shared" si="3"/>
        <v>0</v>
      </c>
      <c r="N38" s="11">
        <f>IF(+B38=Title_RESULTS!$H$9,'Value of Defferal'!$O$16,+'Value of Defferal'!N37*(1+'Value of Defferal'!$F$7))</f>
        <v>0.13773818821882297</v>
      </c>
      <c r="O38" s="5">
        <f t="shared" si="7"/>
        <v>0</v>
      </c>
      <c r="P38" s="48">
        <f t="shared" si="4"/>
        <v>0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0</v>
      </c>
      <c r="E39" s="11">
        <f>IF(B39&gt;Title_RESULTS!$H$8-1+Title_RESULTS!$C$18,0,+E38*(1+$F$7))</f>
        <v>0.1345099494324443</v>
      </c>
      <c r="F39" s="9">
        <f t="shared" si="1"/>
        <v>0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0</v>
      </c>
      <c r="L39" s="5">
        <f t="shared" si="3"/>
        <v>0</v>
      </c>
      <c r="N39" s="11">
        <f>IF(+B39&gt;Title_RESULTS!$H$9+Title_RESULTS!$C$19-1,0,+'Value of Defferal'!N38*(1+'Value of Defferal'!$F$7))</f>
        <v>0.14104390473607473</v>
      </c>
      <c r="O39" s="5">
        <f t="shared" si="7"/>
        <v>0</v>
      </c>
      <c r="P39" s="48">
        <f t="shared" si="4"/>
        <v>0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0</v>
      </c>
      <c r="E40" s="11">
        <f>IF(B40&gt;Title_RESULTS!$H$8-1+Title_RESULTS!$C$18,0,+E39*(1+$F$7))</f>
        <v>0.13773818821882297</v>
      </c>
      <c r="F40" s="9">
        <f t="shared" si="1"/>
        <v>0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0</v>
      </c>
      <c r="L40" s="5">
        <f t="shared" si="3"/>
        <v>0</v>
      </c>
      <c r="N40" s="11">
        <f>IF(+B40&gt;Title_RESULTS!$H$9+Title_RESULTS!$C$19-1,0,+'Value of Defferal'!N39*(1+'Value of Defferal'!$F$7))</f>
        <v>0.14442895844974052</v>
      </c>
      <c r="O40" s="5">
        <f t="shared" si="7"/>
        <v>0</v>
      </c>
      <c r="P40" s="48">
        <f t="shared" si="4"/>
        <v>0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0</v>
      </c>
      <c r="E41" s="11">
        <f>IF(B41&gt;Title_RESULTS!$H$8-1+Title_RESULTS!$C$18,0,+E40*(1+$F$7))</f>
        <v>0.14104390473607473</v>
      </c>
      <c r="F41" s="9">
        <f t="shared" si="1"/>
        <v>0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0</v>
      </c>
      <c r="L41" s="5">
        <f t="shared" si="3"/>
        <v>0</v>
      </c>
      <c r="N41" s="11">
        <f>IF(+B41&gt;Title_RESULTS!$H$9+Title_RESULTS!$C$19-1,0,+'Value of Defferal'!N40*(1+'Value of Defferal'!$F$7))</f>
        <v>0.1478952534525343</v>
      </c>
      <c r="O41" s="5">
        <f t="shared" si="7"/>
        <v>0</v>
      </c>
      <c r="P41" s="48">
        <f t="shared" si="4"/>
        <v>0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0</v>
      </c>
      <c r="E42" s="11">
        <f>IF(B42&gt;Title_RESULTS!$H$8-1+Title_RESULTS!$C$18,0,+E41*(1+$F$7))</f>
        <v>0.14442895844974052</v>
      </c>
      <c r="F42" s="9">
        <f t="shared" si="1"/>
        <v>0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0</v>
      </c>
      <c r="L42" s="5">
        <f t="shared" si="3"/>
        <v>0</v>
      </c>
      <c r="N42" s="11">
        <f>IF(+B42&gt;Title_RESULTS!$H$9+Title_RESULTS!$C$19-1,0,+'Value of Defferal'!N41*(1+'Value of Defferal'!$F$7))</f>
        <v>0.1514447395353951</v>
      </c>
      <c r="O42" s="5">
        <f t="shared" si="7"/>
        <v>0</v>
      </c>
      <c r="P42" s="48">
        <f t="shared" si="4"/>
        <v>0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0</v>
      </c>
      <c r="E43" s="11">
        <f>IF(B43&gt;Title_RESULTS!$H$8-1+Title_RESULTS!$C$18,0,+E42*(1+$F$7))</f>
        <v>0.1478952534525343</v>
      </c>
      <c r="F43" s="9">
        <f t="shared" si="1"/>
        <v>0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0</v>
      </c>
      <c r="L43" s="5">
        <f t="shared" si="3"/>
        <v>0</v>
      </c>
      <c r="N43" s="11">
        <f>IF(+B43&gt;Title_RESULTS!$H$9+Title_RESULTS!$C$19-1,0,+'Value of Defferal'!N42*(1+'Value of Defferal'!$F$7))</f>
        <v>0.1550794132842446</v>
      </c>
      <c r="O43" s="5">
        <f t="shared" si="7"/>
        <v>0</v>
      </c>
      <c r="P43" s="48">
        <f t="shared" si="4"/>
        <v>0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0</v>
      </c>
      <c r="E44" s="11">
        <f>IF(B44&gt;Title_RESULTS!$H$8-1+Title_RESULTS!$C$18,0,+E43*(1+$F$7))</f>
        <v>0.1514447395353951</v>
      </c>
      <c r="F44" s="9">
        <f t="shared" si="1"/>
        <v>0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0</v>
      </c>
      <c r="L44" s="5">
        <f t="shared" si="3"/>
        <v>0</v>
      </c>
      <c r="N44" s="11">
        <f>IF(+B44&gt;Title_RESULTS!$H$9+Title_RESULTS!$C$19-1,0,+'Value of Defferal'!N43*(1+'Value of Defferal'!$F$7))</f>
        <v>0.15880131920306648</v>
      </c>
      <c r="O44" s="5">
        <f t="shared" si="7"/>
        <v>0</v>
      </c>
      <c r="P44" s="48">
        <f t="shared" si="4"/>
        <v>0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0</v>
      </c>
      <c r="E45" s="11">
        <f>IF(B45&gt;Title_RESULTS!$H$8-1+Title_RESULTS!$C$18,0,+E44*(1+$F$7))</f>
        <v>0.1550794132842446</v>
      </c>
      <c r="F45" s="9">
        <f t="shared" si="1"/>
        <v>0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0</v>
      </c>
      <c r="L45" s="5">
        <f t="shared" si="3"/>
        <v>0</v>
      </c>
      <c r="N45" s="11">
        <f>IF(+B45&gt;Title_RESULTS!$H$9+Title_RESULTS!$C$19-1,0,+'Value of Defferal'!N44*(1+'Value of Defferal'!$F$7))</f>
        <v>0.16261255086394008</v>
      </c>
      <c r="O45" s="5">
        <f t="shared" si="7"/>
        <v>0</v>
      </c>
      <c r="P45" s="48">
        <f t="shared" si="4"/>
        <v>0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0</v>
      </c>
      <c r="E46" s="11">
        <f>IF(B46&gt;Title_RESULTS!$H$8-1+Title_RESULTS!$C$18,0,+E45*(1+$F$7))</f>
        <v>0.15880131920306648</v>
      </c>
      <c r="F46" s="9">
        <f t="shared" si="1"/>
        <v>0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0</v>
      </c>
      <c r="L46" s="5">
        <f t="shared" si="3"/>
        <v>0</v>
      </c>
      <c r="N46" s="11">
        <f>IF(+B46&gt;Title_RESULTS!$H$9+Title_RESULTS!$C$19-1,0,+'Value of Defferal'!N45*(1+'Value of Defferal'!$F$7))</f>
        <v>0.16651525208467466</v>
      </c>
      <c r="O46" s="5">
        <f t="shared" si="7"/>
        <v>0</v>
      </c>
      <c r="P46" s="48">
        <f t="shared" si="4"/>
        <v>0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0</v>
      </c>
      <c r="E47" s="11">
        <f>IF(B47&gt;Title_RESULTS!$H$8-1+Title_RESULTS!$C$18,0,+E46*(1+$F$7))</f>
        <v>0.16261255086394008</v>
      </c>
      <c r="F47" s="9">
        <f t="shared" si="1"/>
        <v>0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0</v>
      </c>
      <c r="L47" s="5">
        <f t="shared" si="3"/>
        <v>0</v>
      </c>
      <c r="N47" s="11">
        <f>IF(+B47&gt;Title_RESULTS!$H$9+Title_RESULTS!$C$19-1,0,+'Value of Defferal'!N46*(1+'Value of Defferal'!$F$7))</f>
        <v>0.17051161813470686</v>
      </c>
      <c r="O47" s="5">
        <f t="shared" si="7"/>
        <v>0</v>
      </c>
      <c r="P47" s="48">
        <f t="shared" si="4"/>
        <v>0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0</v>
      </c>
      <c r="E48" s="11">
        <f>IF(B48&gt;Title_RESULTS!$H$8-1+Title_RESULTS!$C$18,0,+E47*(1+$F$7))</f>
        <v>0.16651525208467466</v>
      </c>
      <c r="F48" s="9">
        <f t="shared" si="1"/>
        <v>0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0</v>
      </c>
      <c r="L48" s="5">
        <f t="shared" si="3"/>
        <v>0</v>
      </c>
      <c r="N48" s="11">
        <f>IF(+B48&gt;Title_RESULTS!$H$9+Title_RESULTS!$C$19-1,0,+'Value of Defferal'!N47*(1+'Value of Defferal'!$F$7))</f>
        <v>0.17460389696993983</v>
      </c>
      <c r="O48" s="5">
        <f t="shared" si="7"/>
        <v>0</v>
      </c>
      <c r="P48" s="48">
        <f t="shared" si="4"/>
        <v>0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0</v>
      </c>
      <c r="E49" s="11">
        <f>IF(B49&gt;Title_RESULTS!$H$8-1+Title_RESULTS!$C$18,0,+E48*(1+$F$7))</f>
        <v>0.17051161813470686</v>
      </c>
      <c r="F49" s="9">
        <f t="shared" si="1"/>
        <v>0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0</v>
      </c>
      <c r="L49" s="5">
        <f t="shared" si="3"/>
        <v>0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0</v>
      </c>
      <c r="E50" s="11">
        <f>IF(B50&gt;Title_RESULTS!$H$8-1+Title_RESULTS!$C$18,0,+E49*(1+$F$7))</f>
        <v>0.17460389696993983</v>
      </c>
      <c r="F50" s="9">
        <f t="shared" si="1"/>
        <v>0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0</v>
      </c>
      <c r="L50" s="5">
        <f t="shared" si="3"/>
        <v>0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0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0</v>
      </c>
      <c r="L51" s="5">
        <f t="shared" si="3"/>
        <v>0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0</v>
      </c>
      <c r="F63" s="9">
        <f>SUM(F23:F61)</f>
        <v>0</v>
      </c>
      <c r="J63" t="s">
        <v>87</v>
      </c>
      <c r="K63" s="9">
        <f>SUM(K23:K61)</f>
        <v>0</v>
      </c>
      <c r="O63" s="9">
        <f>SUM(O23:O61)</f>
        <v>0</v>
      </c>
    </row>
    <row r="64" spans="3:15" ht="12.75">
      <c r="C64" t="s">
        <v>89</v>
      </c>
      <c r="D64" s="9">
        <f>NPV(+Title_RESULTS!$C$37,'Value of Defferal'!D24:D61)+'Value of Defferal'!D23</f>
        <v>0</v>
      </c>
      <c r="F64" s="9">
        <f>NPV(+Title_RESULTS!$C$37,'Value of Defferal'!F24:F61)+'Value of Defferal'!F23</f>
        <v>0</v>
      </c>
      <c r="J64" t="s">
        <v>89</v>
      </c>
      <c r="K64" s="9">
        <f>NPV(+Title_RESULTS!$C$37,'Value of Defferal'!K24:K61)+'Value of Defferal'!K23</f>
        <v>0</v>
      </c>
      <c r="O64" s="9">
        <f>NPV(+Title_RESULTS!$C$37,'Value of Defferal'!O24:O61)+'Value of Defferal'!O23</f>
        <v>0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0</v>
      </c>
      <c r="C25" t="s">
        <v>372</v>
      </c>
    </row>
    <row r="26" spans="2:3" ht="18">
      <c r="B26" s="15">
        <f>+((Input!$C$6*'EUE_Line Losses'!C4)+(Input!$C$7*'EUE_Line Losses'!C3))/'EUE_Line Losses'!C22</f>
        <v>0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0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10130.72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1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30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3477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1786.993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Solar Pool Heater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43599.32932291667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0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0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7.3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10731.694915254237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5.6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10130.72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30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3477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5.9363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0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1786.993</v>
      </c>
      <c r="D39" s="13" t="s">
        <v>189</v>
      </c>
      <c r="G39" s="20" t="s">
        <v>346</v>
      </c>
      <c r="H39" s="79">
        <f>+'Sheet7(F_23)'!H36</f>
        <v>1.0554354518853206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+'Sheet8(F_24)'!K34</f>
        <v>19405.752922882726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+'Sheet9(F_25)'!J36</f>
        <v>0.504756288277979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2019-05-14T11:54:15Z</dcterms:created>
  <dcterms:modified xsi:type="dcterms:W3CDTF">2019-05-14T11:54:23Z</dcterms:modified>
  <cp:category/>
  <cp:version/>
  <cp:contentType/>
  <cp:contentStatus/>
</cp:coreProperties>
</file>